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eyLam\Downloads\"/>
    </mc:Choice>
  </mc:AlternateContent>
  <bookViews>
    <workbookView xWindow="0" yWindow="0" windowWidth="15345" windowHeight="4590"/>
  </bookViews>
  <sheets>
    <sheet name="Tech" sheetId="1" r:id="rId1"/>
    <sheet name="HSI" sheetId="2" r:id="rId2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83" i="2"/>
  <c r="G82" i="2"/>
  <c r="F81" i="2"/>
  <c r="H79" i="2"/>
  <c r="G78" i="2"/>
  <c r="F77" i="2"/>
  <c r="H75" i="2"/>
  <c r="G74" i="2"/>
  <c r="F73" i="2"/>
  <c r="H71" i="2"/>
  <c r="G70" i="2"/>
  <c r="F69" i="2"/>
  <c r="H67" i="2"/>
  <c r="G66" i="2"/>
  <c r="F65" i="2"/>
  <c r="H63" i="2"/>
  <c r="G62" i="2"/>
  <c r="F61" i="2"/>
  <c r="H59" i="2"/>
  <c r="G58" i="2"/>
  <c r="F57" i="2"/>
  <c r="H55" i="2"/>
  <c r="G54" i="2"/>
  <c r="F53" i="2"/>
  <c r="H51" i="2"/>
  <c r="G50" i="2"/>
  <c r="F49" i="2"/>
  <c r="H47" i="2"/>
  <c r="G46" i="2"/>
  <c r="F45" i="2"/>
  <c r="H43" i="2"/>
  <c r="G42" i="2"/>
  <c r="F41" i="2"/>
  <c r="H39" i="2"/>
  <c r="G38" i="2"/>
  <c r="F37" i="2"/>
  <c r="H35" i="2"/>
  <c r="G34" i="2"/>
  <c r="F33" i="2"/>
  <c r="H31" i="2"/>
  <c r="G30" i="2"/>
  <c r="F29" i="2"/>
  <c r="H27" i="2"/>
  <c r="G26" i="2"/>
  <c r="F25" i="2"/>
  <c r="H23" i="2"/>
  <c r="G22" i="2"/>
  <c r="F21" i="2"/>
  <c r="H19" i="2"/>
  <c r="G18" i="2"/>
  <c r="F17" i="2"/>
  <c r="H15" i="2"/>
  <c r="G14" i="2"/>
  <c r="F13" i="2"/>
  <c r="H11" i="2"/>
  <c r="G10" i="2"/>
  <c r="F9" i="2"/>
  <c r="H7" i="2"/>
  <c r="G6" i="2"/>
  <c r="F5" i="2"/>
  <c r="H3" i="2"/>
  <c r="G2" i="2"/>
  <c r="G83" i="2"/>
  <c r="F82" i="2"/>
  <c r="H80" i="2"/>
  <c r="G79" i="2"/>
  <c r="F78" i="2"/>
  <c r="H76" i="2"/>
  <c r="G75" i="2"/>
  <c r="F74" i="2"/>
  <c r="H72" i="2"/>
  <c r="G71" i="2"/>
  <c r="F70" i="2"/>
  <c r="H68" i="2"/>
  <c r="G67" i="2"/>
  <c r="F66" i="2"/>
  <c r="H64" i="2"/>
  <c r="G63" i="2"/>
  <c r="F62" i="2"/>
  <c r="H60" i="2"/>
  <c r="G59" i="2"/>
  <c r="F58" i="2"/>
  <c r="H56" i="2"/>
  <c r="G55" i="2"/>
  <c r="F54" i="2"/>
  <c r="H52" i="2"/>
  <c r="G51" i="2"/>
  <c r="F50" i="2"/>
  <c r="H48" i="2"/>
  <c r="G47" i="2"/>
  <c r="F46" i="2"/>
  <c r="H44" i="2"/>
  <c r="G43" i="2"/>
  <c r="F42" i="2"/>
  <c r="H40" i="2"/>
  <c r="G39" i="2"/>
  <c r="F38" i="2"/>
  <c r="H36" i="2"/>
  <c r="G35" i="2"/>
  <c r="F34" i="2"/>
  <c r="H32" i="2"/>
  <c r="G31" i="2"/>
  <c r="F30" i="2"/>
  <c r="H28" i="2"/>
  <c r="G27" i="2"/>
  <c r="F26" i="2"/>
  <c r="H24" i="2"/>
  <c r="G23" i="2"/>
  <c r="F22" i="2"/>
  <c r="H20" i="2"/>
  <c r="G19" i="2"/>
  <c r="F18" i="2"/>
  <c r="H16" i="2"/>
  <c r="G15" i="2"/>
  <c r="F14" i="2"/>
  <c r="H12" i="2"/>
  <c r="G11" i="2"/>
  <c r="F10" i="2"/>
  <c r="H8" i="2"/>
  <c r="G7" i="2"/>
  <c r="F6" i="2"/>
  <c r="H4" i="2"/>
  <c r="G3" i="2"/>
  <c r="F2" i="2"/>
  <c r="F83" i="2"/>
  <c r="H81" i="2"/>
  <c r="G80" i="2"/>
  <c r="H82" i="2"/>
  <c r="H78" i="2"/>
  <c r="F76" i="2"/>
  <c r="G73" i="2"/>
  <c r="H70" i="2"/>
  <c r="F68" i="2"/>
  <c r="G65" i="2"/>
  <c r="H62" i="2"/>
  <c r="F60" i="2"/>
  <c r="G57" i="2"/>
  <c r="H54" i="2"/>
  <c r="F52" i="2"/>
  <c r="G49" i="2"/>
  <c r="H46" i="2"/>
  <c r="F44" i="2"/>
  <c r="G41" i="2"/>
  <c r="H38" i="2"/>
  <c r="F36" i="2"/>
  <c r="G33" i="2"/>
  <c r="H30" i="2"/>
  <c r="F28" i="2"/>
  <c r="G25" i="2"/>
  <c r="H22" i="2"/>
  <c r="F20" i="2"/>
  <c r="G17" i="2"/>
  <c r="H14" i="2"/>
  <c r="F12" i="2"/>
  <c r="G9" i="2"/>
  <c r="H6" i="2"/>
  <c r="F4" i="2"/>
  <c r="G81" i="2"/>
  <c r="H77" i="2"/>
  <c r="F75" i="2"/>
  <c r="G72" i="2"/>
  <c r="H69" i="2"/>
  <c r="F67" i="2"/>
  <c r="G64" i="2"/>
  <c r="H61" i="2"/>
  <c r="F59" i="2"/>
  <c r="G56" i="2"/>
  <c r="H53" i="2"/>
  <c r="F51" i="2"/>
  <c r="G48" i="2"/>
  <c r="H45" i="2"/>
  <c r="F43" i="2"/>
  <c r="G40" i="2"/>
  <c r="H37" i="2"/>
  <c r="F35" i="2"/>
  <c r="G32" i="2"/>
  <c r="H29" i="2"/>
  <c r="F27" i="2"/>
  <c r="G24" i="2"/>
  <c r="H21" i="2"/>
  <c r="F19" i="2"/>
  <c r="G16" i="2"/>
  <c r="H13" i="2"/>
  <c r="F11" i="2"/>
  <c r="G8" i="2"/>
  <c r="H5" i="2"/>
  <c r="F3" i="2"/>
  <c r="F80" i="2"/>
  <c r="G77" i="2"/>
  <c r="H74" i="2"/>
  <c r="F72" i="2"/>
  <c r="G69" i="2"/>
  <c r="H66" i="2"/>
  <c r="F64" i="2"/>
  <c r="G61" i="2"/>
  <c r="H58" i="2"/>
  <c r="F56" i="2"/>
  <c r="G53" i="2"/>
  <c r="H50" i="2"/>
  <c r="F48" i="2"/>
  <c r="G45" i="2"/>
  <c r="H42" i="2"/>
  <c r="F40" i="2"/>
  <c r="G37" i="2"/>
  <c r="H34" i="2"/>
  <c r="F32" i="2"/>
  <c r="G29" i="2"/>
  <c r="H26" i="2"/>
  <c r="F24" i="2"/>
  <c r="G21" i="2"/>
  <c r="H18" i="2"/>
  <c r="F16" i="2"/>
  <c r="G13" i="2"/>
  <c r="H10" i="2"/>
  <c r="F8" i="2"/>
  <c r="G5" i="2"/>
  <c r="H2" i="2"/>
  <c r="F79" i="2"/>
  <c r="G76" i="2"/>
  <c r="H73" i="2"/>
  <c r="F71" i="2"/>
  <c r="G68" i="2"/>
  <c r="H65" i="2"/>
  <c r="F63" i="2"/>
  <c r="G60" i="2"/>
  <c r="H57" i="2"/>
  <c r="F55" i="2"/>
  <c r="G52" i="2"/>
  <c r="H49" i="2"/>
  <c r="F47" i="2"/>
  <c r="G44" i="2"/>
  <c r="H41" i="2"/>
  <c r="F39" i="2"/>
  <c r="G36" i="2"/>
  <c r="H33" i="2"/>
  <c r="F31" i="2"/>
  <c r="G28" i="2"/>
  <c r="H25" i="2"/>
  <c r="F23" i="2"/>
  <c r="G20" i="2"/>
  <c r="H17" i="2"/>
  <c r="F15" i="2"/>
  <c r="G12" i="2"/>
  <c r="H9" i="2"/>
  <c r="F7" i="2"/>
  <c r="G4" i="2"/>
  <c r="I4" i="2" l="1"/>
  <c r="I12" i="2"/>
  <c r="I20" i="2"/>
  <c r="I28" i="2"/>
  <c r="I36" i="2"/>
  <c r="I44" i="2"/>
  <c r="I52" i="2"/>
  <c r="I60" i="2"/>
  <c r="I68" i="2"/>
  <c r="I76" i="2"/>
  <c r="I5" i="2"/>
  <c r="I13" i="2"/>
  <c r="I21" i="2"/>
  <c r="I29" i="2"/>
  <c r="I37" i="2"/>
  <c r="I45" i="2"/>
  <c r="I53" i="2"/>
  <c r="I61" i="2"/>
  <c r="I69" i="2"/>
  <c r="I77" i="2"/>
  <c r="I8" i="2"/>
  <c r="I16" i="2"/>
  <c r="I24" i="2"/>
  <c r="I32" i="2"/>
  <c r="I40" i="2"/>
  <c r="I48" i="2"/>
  <c r="I56" i="2"/>
  <c r="I64" i="2"/>
  <c r="I72" i="2"/>
  <c r="I81" i="2"/>
  <c r="I9" i="2"/>
  <c r="I17" i="2"/>
  <c r="I25" i="2"/>
  <c r="I33" i="2"/>
  <c r="I41" i="2"/>
  <c r="I49" i="2"/>
  <c r="I57" i="2"/>
  <c r="I65" i="2"/>
  <c r="I73" i="2"/>
  <c r="I80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2" i="2"/>
</calcChain>
</file>

<file path=xl/sharedStrings.xml><?xml version="1.0" encoding="utf-8"?>
<sst xmlns="http://schemas.openxmlformats.org/spreadsheetml/2006/main" count="128" uniqueCount="105">
  <si>
    <t>Stock Code</t>
  </si>
  <si>
    <t>Stock Code 2</t>
  </si>
  <si>
    <t>FAF</t>
  </si>
  <si>
    <t>Weight %</t>
  </si>
  <si>
    <t>Close 20231115</t>
  </si>
  <si>
    <t>Shares</t>
  </si>
  <si>
    <t>marketcap</t>
  </si>
  <si>
    <t>price</t>
  </si>
  <si>
    <t>0020.HK</t>
  </si>
  <si>
    <t>0241.HK</t>
  </si>
  <si>
    <t>0268.HK</t>
  </si>
  <si>
    <t>0285.HK</t>
  </si>
  <si>
    <t>0700.HK</t>
  </si>
  <si>
    <t>0772.HK</t>
  </si>
  <si>
    <t>0981.HK</t>
  </si>
  <si>
    <t>0992.HK</t>
  </si>
  <si>
    <t>1024.HK</t>
  </si>
  <si>
    <t>1347.HK</t>
  </si>
  <si>
    <t>1797.HK</t>
  </si>
  <si>
    <t>1810.HK</t>
  </si>
  <si>
    <t>1833.HK</t>
  </si>
  <si>
    <t>2015.HK</t>
  </si>
  <si>
    <t>2382.HK</t>
  </si>
  <si>
    <t>3690.HK</t>
  </si>
  <si>
    <t>3888.HK</t>
  </si>
  <si>
    <t>6060.HK</t>
  </si>
  <si>
    <t>6618.HK</t>
  </si>
  <si>
    <t>6690.HK</t>
  </si>
  <si>
    <t>9618.HK</t>
  </si>
  <si>
    <t>9626.HK</t>
  </si>
  <si>
    <t>9698.HK</t>
  </si>
  <si>
    <t>9866.HK</t>
  </si>
  <si>
    <t>9868.HK</t>
  </si>
  <si>
    <t>9888.HK</t>
  </si>
  <si>
    <t>9898.HK</t>
  </si>
  <si>
    <t>9961.HK</t>
  </si>
  <si>
    <t>9988.HK</t>
  </si>
  <si>
    <t>9999.HK</t>
  </si>
  <si>
    <t>0001.HK</t>
  </si>
  <si>
    <t>0002.HK</t>
  </si>
  <si>
    <t>0003.HK</t>
  </si>
  <si>
    <t>0005.HK</t>
  </si>
  <si>
    <t>0006.HK</t>
  </si>
  <si>
    <t>0011.HK</t>
  </si>
  <si>
    <t>0012.HK</t>
  </si>
  <si>
    <t>0016.HK</t>
  </si>
  <si>
    <t>0017.HK</t>
  </si>
  <si>
    <t>0027.HK</t>
  </si>
  <si>
    <t>0066.HK</t>
  </si>
  <si>
    <t>0101.HK</t>
  </si>
  <si>
    <t>0175.HK</t>
  </si>
  <si>
    <t>0267.HK</t>
  </si>
  <si>
    <t>0288.HK</t>
  </si>
  <si>
    <t>0291.HK</t>
  </si>
  <si>
    <t>0316.HK</t>
  </si>
  <si>
    <t>0322.HK</t>
  </si>
  <si>
    <t>0386.HK</t>
  </si>
  <si>
    <t>0388.HK</t>
  </si>
  <si>
    <t>0669.HK</t>
  </si>
  <si>
    <t>0688.HK</t>
  </si>
  <si>
    <t>0762.HK</t>
  </si>
  <si>
    <t>0823.HK</t>
  </si>
  <si>
    <t>0836.HK</t>
  </si>
  <si>
    <t>0857.HK</t>
  </si>
  <si>
    <t>0868.HK</t>
  </si>
  <si>
    <t>0881.HK</t>
  </si>
  <si>
    <t>0883.HK</t>
  </si>
  <si>
    <t>0939.HK</t>
  </si>
  <si>
    <t>0941.HK</t>
  </si>
  <si>
    <t>0960.HK</t>
  </si>
  <si>
    <t>0968.HK</t>
  </si>
  <si>
    <t>1038.HK</t>
  </si>
  <si>
    <t>1044.HK</t>
  </si>
  <si>
    <t>1088.HK</t>
  </si>
  <si>
    <t>1093.HK</t>
  </si>
  <si>
    <t>1099.HK</t>
  </si>
  <si>
    <t>1109.HK</t>
  </si>
  <si>
    <t>1113.HK</t>
  </si>
  <si>
    <t>1177.HK</t>
  </si>
  <si>
    <t>1209.HK</t>
  </si>
  <si>
    <t>1211.HK</t>
  </si>
  <si>
    <t>1299.HK</t>
  </si>
  <si>
    <t>1378.HK</t>
  </si>
  <si>
    <t>1398.HK</t>
  </si>
  <si>
    <t>1876.HK</t>
  </si>
  <si>
    <t>1928.HK</t>
  </si>
  <si>
    <t>1929.HK</t>
  </si>
  <si>
    <t>1997.HK</t>
  </si>
  <si>
    <t>2020.HK</t>
  </si>
  <si>
    <t>2269.HK</t>
  </si>
  <si>
    <t>2313.HK</t>
  </si>
  <si>
    <t>2318.HK</t>
  </si>
  <si>
    <t>2319.HK</t>
  </si>
  <si>
    <t>2331.HK</t>
  </si>
  <si>
    <t>2359.HK</t>
  </si>
  <si>
    <t>2388.HK</t>
  </si>
  <si>
    <t>2628.HK</t>
  </si>
  <si>
    <t>2688.HK</t>
  </si>
  <si>
    <t>2899.HK</t>
  </si>
  <si>
    <t>3692.HK</t>
  </si>
  <si>
    <t>3968.HK</t>
  </si>
  <si>
    <t>3988.HK</t>
  </si>
  <si>
    <t>6098.HK</t>
  </si>
  <si>
    <t>6862.HK</t>
  </si>
  <si>
    <t>9633.HK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</si>
</sst>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2"/>
      <color rgb="FF000000"/>
      <name val="新細明體"/>
      <family val="1"/>
      <charset val="136"/>
    </font>
    <font>
      <sz val="10"/>
      <color theme="1"/>
      <name val="Arial"/>
      <scheme val="minor"/>
    </font>
    <font>
      <u/>
      <sz val="12"/>
      <color rgb="FF000000"/>
      <name val="新細明體"/>
      <family val="1"/>
      <charset val="136"/>
    </font>
    <font>
      <sz val="9"/>
      <name val="Arial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0992.hk/" TargetMode="External"/><Relationship Id="rId13" Type="http://schemas.openxmlformats.org/officeDocument/2006/relationships/hyperlink" Target="http://1833.hk/" TargetMode="External"/><Relationship Id="rId18" Type="http://schemas.openxmlformats.org/officeDocument/2006/relationships/hyperlink" Target="http://6060.hk/" TargetMode="External"/><Relationship Id="rId26" Type="http://schemas.openxmlformats.org/officeDocument/2006/relationships/hyperlink" Target="http://9888.hk/" TargetMode="External"/><Relationship Id="rId3" Type="http://schemas.openxmlformats.org/officeDocument/2006/relationships/hyperlink" Target="http://0268.hk/" TargetMode="External"/><Relationship Id="rId21" Type="http://schemas.openxmlformats.org/officeDocument/2006/relationships/hyperlink" Target="http://9618.hk/" TargetMode="External"/><Relationship Id="rId7" Type="http://schemas.openxmlformats.org/officeDocument/2006/relationships/hyperlink" Target="http://0981.hk/" TargetMode="External"/><Relationship Id="rId12" Type="http://schemas.openxmlformats.org/officeDocument/2006/relationships/hyperlink" Target="http://1810.hk/" TargetMode="External"/><Relationship Id="rId17" Type="http://schemas.openxmlformats.org/officeDocument/2006/relationships/hyperlink" Target="http://3888.hk/" TargetMode="External"/><Relationship Id="rId25" Type="http://schemas.openxmlformats.org/officeDocument/2006/relationships/hyperlink" Target="http://9868.hk/" TargetMode="External"/><Relationship Id="rId2" Type="http://schemas.openxmlformats.org/officeDocument/2006/relationships/hyperlink" Target="http://0241.hk/" TargetMode="External"/><Relationship Id="rId16" Type="http://schemas.openxmlformats.org/officeDocument/2006/relationships/hyperlink" Target="http://3690.hk/" TargetMode="External"/><Relationship Id="rId20" Type="http://schemas.openxmlformats.org/officeDocument/2006/relationships/hyperlink" Target="http://6690.hk/" TargetMode="External"/><Relationship Id="rId29" Type="http://schemas.openxmlformats.org/officeDocument/2006/relationships/hyperlink" Target="http://9988.hk/" TargetMode="External"/><Relationship Id="rId1" Type="http://schemas.openxmlformats.org/officeDocument/2006/relationships/hyperlink" Target="http://0020.hk/" TargetMode="External"/><Relationship Id="rId6" Type="http://schemas.openxmlformats.org/officeDocument/2006/relationships/hyperlink" Target="http://0772.hk/" TargetMode="External"/><Relationship Id="rId11" Type="http://schemas.openxmlformats.org/officeDocument/2006/relationships/hyperlink" Target="http://1797.hk/" TargetMode="External"/><Relationship Id="rId24" Type="http://schemas.openxmlformats.org/officeDocument/2006/relationships/hyperlink" Target="http://9866.hk/" TargetMode="External"/><Relationship Id="rId5" Type="http://schemas.openxmlformats.org/officeDocument/2006/relationships/hyperlink" Target="http://0700.hk/" TargetMode="External"/><Relationship Id="rId15" Type="http://schemas.openxmlformats.org/officeDocument/2006/relationships/hyperlink" Target="http://2382.hk/" TargetMode="External"/><Relationship Id="rId23" Type="http://schemas.openxmlformats.org/officeDocument/2006/relationships/hyperlink" Target="http://9698.hk/" TargetMode="External"/><Relationship Id="rId28" Type="http://schemas.openxmlformats.org/officeDocument/2006/relationships/hyperlink" Target="http://9961.hk/" TargetMode="External"/><Relationship Id="rId10" Type="http://schemas.openxmlformats.org/officeDocument/2006/relationships/hyperlink" Target="http://1347.hk/" TargetMode="External"/><Relationship Id="rId19" Type="http://schemas.openxmlformats.org/officeDocument/2006/relationships/hyperlink" Target="http://6618.hk/" TargetMode="External"/><Relationship Id="rId4" Type="http://schemas.openxmlformats.org/officeDocument/2006/relationships/hyperlink" Target="http://0285.hk/" TargetMode="External"/><Relationship Id="rId9" Type="http://schemas.openxmlformats.org/officeDocument/2006/relationships/hyperlink" Target="http://1024.hk/" TargetMode="External"/><Relationship Id="rId14" Type="http://schemas.openxmlformats.org/officeDocument/2006/relationships/hyperlink" Target="http://2015.hk/" TargetMode="External"/><Relationship Id="rId22" Type="http://schemas.openxmlformats.org/officeDocument/2006/relationships/hyperlink" Target="http://9626.hk/" TargetMode="External"/><Relationship Id="rId27" Type="http://schemas.openxmlformats.org/officeDocument/2006/relationships/hyperlink" Target="http://9898.hk/" TargetMode="External"/><Relationship Id="rId30" Type="http://schemas.openxmlformats.org/officeDocument/2006/relationships/hyperlink" Target="http://9999.h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0175.hk/" TargetMode="External"/><Relationship Id="rId18" Type="http://schemas.openxmlformats.org/officeDocument/2006/relationships/hyperlink" Target="http://0316.hk/" TargetMode="External"/><Relationship Id="rId26" Type="http://schemas.openxmlformats.org/officeDocument/2006/relationships/hyperlink" Target="http://0823.hk/" TargetMode="External"/><Relationship Id="rId39" Type="http://schemas.openxmlformats.org/officeDocument/2006/relationships/hyperlink" Target="http://1044.hk/" TargetMode="External"/><Relationship Id="rId21" Type="http://schemas.openxmlformats.org/officeDocument/2006/relationships/hyperlink" Target="http://0388.hk/" TargetMode="External"/><Relationship Id="rId34" Type="http://schemas.openxmlformats.org/officeDocument/2006/relationships/hyperlink" Target="http://0960.hk/" TargetMode="External"/><Relationship Id="rId42" Type="http://schemas.openxmlformats.org/officeDocument/2006/relationships/hyperlink" Target="http://1099.hk/" TargetMode="External"/><Relationship Id="rId47" Type="http://schemas.openxmlformats.org/officeDocument/2006/relationships/hyperlink" Target="http://1211.hk/" TargetMode="External"/><Relationship Id="rId50" Type="http://schemas.openxmlformats.org/officeDocument/2006/relationships/hyperlink" Target="http://1398.hk/" TargetMode="External"/><Relationship Id="rId55" Type="http://schemas.openxmlformats.org/officeDocument/2006/relationships/hyperlink" Target="http://1997.hk/" TargetMode="External"/><Relationship Id="rId63" Type="http://schemas.openxmlformats.org/officeDocument/2006/relationships/hyperlink" Target="http://2359.hk/" TargetMode="External"/><Relationship Id="rId68" Type="http://schemas.openxmlformats.org/officeDocument/2006/relationships/hyperlink" Target="http://2899.hk/" TargetMode="External"/><Relationship Id="rId76" Type="http://schemas.openxmlformats.org/officeDocument/2006/relationships/hyperlink" Target="http://6862.hk/" TargetMode="External"/><Relationship Id="rId7" Type="http://schemas.openxmlformats.org/officeDocument/2006/relationships/hyperlink" Target="http://0012.hk/" TargetMode="External"/><Relationship Id="rId71" Type="http://schemas.openxmlformats.org/officeDocument/2006/relationships/hyperlink" Target="http://3968.hk/" TargetMode="External"/><Relationship Id="rId2" Type="http://schemas.openxmlformats.org/officeDocument/2006/relationships/hyperlink" Target="http://0002.hk/" TargetMode="External"/><Relationship Id="rId16" Type="http://schemas.openxmlformats.org/officeDocument/2006/relationships/hyperlink" Target="http://0288.hk/" TargetMode="External"/><Relationship Id="rId29" Type="http://schemas.openxmlformats.org/officeDocument/2006/relationships/hyperlink" Target="http://0868.hk/" TargetMode="External"/><Relationship Id="rId11" Type="http://schemas.openxmlformats.org/officeDocument/2006/relationships/hyperlink" Target="http://0066.hk/" TargetMode="External"/><Relationship Id="rId24" Type="http://schemas.openxmlformats.org/officeDocument/2006/relationships/hyperlink" Target="http://0700.hk/" TargetMode="External"/><Relationship Id="rId32" Type="http://schemas.openxmlformats.org/officeDocument/2006/relationships/hyperlink" Target="http://0939.hk/" TargetMode="External"/><Relationship Id="rId37" Type="http://schemas.openxmlformats.org/officeDocument/2006/relationships/hyperlink" Target="http://0992.hk/" TargetMode="External"/><Relationship Id="rId40" Type="http://schemas.openxmlformats.org/officeDocument/2006/relationships/hyperlink" Target="http://1088.hk/" TargetMode="External"/><Relationship Id="rId45" Type="http://schemas.openxmlformats.org/officeDocument/2006/relationships/hyperlink" Target="http://1177.hk/" TargetMode="External"/><Relationship Id="rId53" Type="http://schemas.openxmlformats.org/officeDocument/2006/relationships/hyperlink" Target="http://1928.hk/" TargetMode="External"/><Relationship Id="rId58" Type="http://schemas.openxmlformats.org/officeDocument/2006/relationships/hyperlink" Target="http://2269.hk/" TargetMode="External"/><Relationship Id="rId66" Type="http://schemas.openxmlformats.org/officeDocument/2006/relationships/hyperlink" Target="http://2628.hk/" TargetMode="External"/><Relationship Id="rId74" Type="http://schemas.openxmlformats.org/officeDocument/2006/relationships/hyperlink" Target="http://6618.hk/" TargetMode="External"/><Relationship Id="rId79" Type="http://schemas.openxmlformats.org/officeDocument/2006/relationships/hyperlink" Target="http://9888.hk/" TargetMode="External"/><Relationship Id="rId5" Type="http://schemas.openxmlformats.org/officeDocument/2006/relationships/hyperlink" Target="http://0006.hk/" TargetMode="External"/><Relationship Id="rId61" Type="http://schemas.openxmlformats.org/officeDocument/2006/relationships/hyperlink" Target="http://2319.hk/" TargetMode="External"/><Relationship Id="rId82" Type="http://schemas.openxmlformats.org/officeDocument/2006/relationships/hyperlink" Target="http://9999.hk/" TargetMode="External"/><Relationship Id="rId10" Type="http://schemas.openxmlformats.org/officeDocument/2006/relationships/hyperlink" Target="http://0027.hk/" TargetMode="External"/><Relationship Id="rId19" Type="http://schemas.openxmlformats.org/officeDocument/2006/relationships/hyperlink" Target="http://0322.hk/" TargetMode="External"/><Relationship Id="rId31" Type="http://schemas.openxmlformats.org/officeDocument/2006/relationships/hyperlink" Target="http://0883.hk/" TargetMode="External"/><Relationship Id="rId44" Type="http://schemas.openxmlformats.org/officeDocument/2006/relationships/hyperlink" Target="http://1113.hk/" TargetMode="External"/><Relationship Id="rId52" Type="http://schemas.openxmlformats.org/officeDocument/2006/relationships/hyperlink" Target="http://1876.hk/" TargetMode="External"/><Relationship Id="rId60" Type="http://schemas.openxmlformats.org/officeDocument/2006/relationships/hyperlink" Target="http://2318.hk/" TargetMode="External"/><Relationship Id="rId65" Type="http://schemas.openxmlformats.org/officeDocument/2006/relationships/hyperlink" Target="http://2388.hk/" TargetMode="External"/><Relationship Id="rId73" Type="http://schemas.openxmlformats.org/officeDocument/2006/relationships/hyperlink" Target="http://6098.hk/" TargetMode="External"/><Relationship Id="rId78" Type="http://schemas.openxmlformats.org/officeDocument/2006/relationships/hyperlink" Target="http://9633.hk/" TargetMode="External"/><Relationship Id="rId81" Type="http://schemas.openxmlformats.org/officeDocument/2006/relationships/hyperlink" Target="http://9988.hk/" TargetMode="External"/><Relationship Id="rId4" Type="http://schemas.openxmlformats.org/officeDocument/2006/relationships/hyperlink" Target="http://0005.hk/" TargetMode="External"/><Relationship Id="rId9" Type="http://schemas.openxmlformats.org/officeDocument/2006/relationships/hyperlink" Target="http://0017.hk/" TargetMode="External"/><Relationship Id="rId14" Type="http://schemas.openxmlformats.org/officeDocument/2006/relationships/hyperlink" Target="http://0241.hk/" TargetMode="External"/><Relationship Id="rId22" Type="http://schemas.openxmlformats.org/officeDocument/2006/relationships/hyperlink" Target="http://0669.hk/" TargetMode="External"/><Relationship Id="rId27" Type="http://schemas.openxmlformats.org/officeDocument/2006/relationships/hyperlink" Target="http://0836.hk/" TargetMode="External"/><Relationship Id="rId30" Type="http://schemas.openxmlformats.org/officeDocument/2006/relationships/hyperlink" Target="http://0881.hk/" TargetMode="External"/><Relationship Id="rId35" Type="http://schemas.openxmlformats.org/officeDocument/2006/relationships/hyperlink" Target="http://0968.hk/" TargetMode="External"/><Relationship Id="rId43" Type="http://schemas.openxmlformats.org/officeDocument/2006/relationships/hyperlink" Target="http://1109.hk/" TargetMode="External"/><Relationship Id="rId48" Type="http://schemas.openxmlformats.org/officeDocument/2006/relationships/hyperlink" Target="http://1299.hk/" TargetMode="External"/><Relationship Id="rId56" Type="http://schemas.openxmlformats.org/officeDocument/2006/relationships/hyperlink" Target="http://2015.hk/" TargetMode="External"/><Relationship Id="rId64" Type="http://schemas.openxmlformats.org/officeDocument/2006/relationships/hyperlink" Target="http://2382.hk/" TargetMode="External"/><Relationship Id="rId69" Type="http://schemas.openxmlformats.org/officeDocument/2006/relationships/hyperlink" Target="http://3690.hk/" TargetMode="External"/><Relationship Id="rId77" Type="http://schemas.openxmlformats.org/officeDocument/2006/relationships/hyperlink" Target="http://9618.hk/" TargetMode="External"/><Relationship Id="rId8" Type="http://schemas.openxmlformats.org/officeDocument/2006/relationships/hyperlink" Target="http://0016.hk/" TargetMode="External"/><Relationship Id="rId51" Type="http://schemas.openxmlformats.org/officeDocument/2006/relationships/hyperlink" Target="http://1810.hk/" TargetMode="External"/><Relationship Id="rId72" Type="http://schemas.openxmlformats.org/officeDocument/2006/relationships/hyperlink" Target="http://3988.hk/" TargetMode="External"/><Relationship Id="rId80" Type="http://schemas.openxmlformats.org/officeDocument/2006/relationships/hyperlink" Target="http://9961.hk/" TargetMode="External"/><Relationship Id="rId3" Type="http://schemas.openxmlformats.org/officeDocument/2006/relationships/hyperlink" Target="http://0003.hk/" TargetMode="External"/><Relationship Id="rId12" Type="http://schemas.openxmlformats.org/officeDocument/2006/relationships/hyperlink" Target="http://0101.hk/" TargetMode="External"/><Relationship Id="rId17" Type="http://schemas.openxmlformats.org/officeDocument/2006/relationships/hyperlink" Target="http://0291.hk/" TargetMode="External"/><Relationship Id="rId25" Type="http://schemas.openxmlformats.org/officeDocument/2006/relationships/hyperlink" Target="http://0762.hk/" TargetMode="External"/><Relationship Id="rId33" Type="http://schemas.openxmlformats.org/officeDocument/2006/relationships/hyperlink" Target="http://0941.hk/" TargetMode="External"/><Relationship Id="rId38" Type="http://schemas.openxmlformats.org/officeDocument/2006/relationships/hyperlink" Target="http://1038.hk/" TargetMode="External"/><Relationship Id="rId46" Type="http://schemas.openxmlformats.org/officeDocument/2006/relationships/hyperlink" Target="http://1209.hk/" TargetMode="External"/><Relationship Id="rId59" Type="http://schemas.openxmlformats.org/officeDocument/2006/relationships/hyperlink" Target="http://2313.hk/" TargetMode="External"/><Relationship Id="rId67" Type="http://schemas.openxmlformats.org/officeDocument/2006/relationships/hyperlink" Target="http://2688.hk/" TargetMode="External"/><Relationship Id="rId20" Type="http://schemas.openxmlformats.org/officeDocument/2006/relationships/hyperlink" Target="http://0386.hk/" TargetMode="External"/><Relationship Id="rId41" Type="http://schemas.openxmlformats.org/officeDocument/2006/relationships/hyperlink" Target="http://1093.hk/" TargetMode="External"/><Relationship Id="rId54" Type="http://schemas.openxmlformats.org/officeDocument/2006/relationships/hyperlink" Target="http://1929.hk/" TargetMode="External"/><Relationship Id="rId62" Type="http://schemas.openxmlformats.org/officeDocument/2006/relationships/hyperlink" Target="http://2331.hk/" TargetMode="External"/><Relationship Id="rId70" Type="http://schemas.openxmlformats.org/officeDocument/2006/relationships/hyperlink" Target="http://3692.hk/" TargetMode="External"/><Relationship Id="rId75" Type="http://schemas.openxmlformats.org/officeDocument/2006/relationships/hyperlink" Target="http://6690.hk/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://0001.hk/" TargetMode="External"/><Relationship Id="rId6" Type="http://schemas.openxmlformats.org/officeDocument/2006/relationships/hyperlink" Target="http://0011.hk/" TargetMode="External"/><Relationship Id="rId15" Type="http://schemas.openxmlformats.org/officeDocument/2006/relationships/hyperlink" Target="http://0267.hk/" TargetMode="External"/><Relationship Id="rId23" Type="http://schemas.openxmlformats.org/officeDocument/2006/relationships/hyperlink" Target="http://0688.hk/" TargetMode="External"/><Relationship Id="rId28" Type="http://schemas.openxmlformats.org/officeDocument/2006/relationships/hyperlink" Target="http://0857.hk/" TargetMode="External"/><Relationship Id="rId36" Type="http://schemas.openxmlformats.org/officeDocument/2006/relationships/hyperlink" Target="http://0981.hk/" TargetMode="External"/><Relationship Id="rId49" Type="http://schemas.openxmlformats.org/officeDocument/2006/relationships/hyperlink" Target="http://1378.hk/" TargetMode="External"/><Relationship Id="rId57" Type="http://schemas.openxmlformats.org/officeDocument/2006/relationships/hyperlink" Target="http://2020.h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1"/>
  <sheetViews>
    <sheetView tabSelected="1" workbookViewId="0">
      <selection activeCell="L17" sqref="L17"/>
    </sheetView>
  </sheetViews>
  <sheetFormatPr defaultColWidth="12.5703125" defaultRowHeight="15.75" customHeight="1" x14ac:dyDescent="0.2"/>
  <cols>
    <col min="7" max="7" width="18.5703125" customWidth="1"/>
    <col min="8" max="8" width="14.7109375" customWidth="1"/>
    <col min="9" max="9" width="13" bestFit="1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</row>
    <row r="2" spans="1:9" ht="15.75" customHeight="1" x14ac:dyDescent="0.25">
      <c r="A2" s="3">
        <v>20</v>
      </c>
      <c r="B2" s="4" t="s">
        <v>8</v>
      </c>
      <c r="C2" s="3">
        <v>60</v>
      </c>
      <c r="D2" s="3">
        <v>1.52</v>
      </c>
      <c r="E2" s="5">
        <v>1.56</v>
      </c>
      <c r="F2" s="5">
        <v>2047949287</v>
      </c>
      <c r="G2" s="3">
        <v>30456718077</v>
      </c>
      <c r="H2" s="5">
        <v>0.91</v>
      </c>
      <c r="I2">
        <f>G2/H2</f>
        <v>33468920963.736263</v>
      </c>
    </row>
    <row r="3" spans="1:9" ht="15.75" customHeight="1" x14ac:dyDescent="0.25">
      <c r="A3" s="3">
        <v>241</v>
      </c>
      <c r="B3" s="4" t="s">
        <v>9</v>
      </c>
      <c r="C3" s="3">
        <v>40</v>
      </c>
      <c r="D3" s="3">
        <v>1.31</v>
      </c>
      <c r="E3" s="5">
        <v>4.9800000000000004</v>
      </c>
      <c r="F3" s="5">
        <v>11677724349</v>
      </c>
      <c r="G3" s="3">
        <v>56481972146</v>
      </c>
      <c r="H3" s="5">
        <v>3.51</v>
      </c>
      <c r="I3">
        <f t="shared" ref="I3:I31" si="0">G3/H3</f>
        <v>16091729956.125357</v>
      </c>
    </row>
    <row r="4" spans="1:9" ht="15.75" customHeight="1" x14ac:dyDescent="0.25">
      <c r="A4" s="3">
        <v>268</v>
      </c>
      <c r="B4" s="4" t="s">
        <v>10</v>
      </c>
      <c r="C4" s="3">
        <v>80</v>
      </c>
      <c r="D4" s="3">
        <v>1.67</v>
      </c>
      <c r="E4" s="5">
        <v>12.34</v>
      </c>
      <c r="F4" s="5">
        <v>3296923646</v>
      </c>
      <c r="G4" s="3">
        <v>29780168907</v>
      </c>
      <c r="H4" s="5">
        <v>8.1999999999999993</v>
      </c>
      <c r="I4">
        <f t="shared" si="0"/>
        <v>3631727915.4878054</v>
      </c>
    </row>
    <row r="5" spans="1:9" ht="15.75" customHeight="1" x14ac:dyDescent="0.25">
      <c r="A5" s="3">
        <v>285</v>
      </c>
      <c r="B5" s="4" t="s">
        <v>11</v>
      </c>
      <c r="C5" s="3">
        <v>35</v>
      </c>
      <c r="D5" s="3">
        <v>1.46</v>
      </c>
      <c r="E5" s="5">
        <v>38.1</v>
      </c>
      <c r="F5" s="5">
        <v>2253204500</v>
      </c>
      <c r="G5" s="3">
        <v>67145477480</v>
      </c>
      <c r="H5" s="5">
        <v>29.8</v>
      </c>
      <c r="I5">
        <f t="shared" si="0"/>
        <v>2253203942.2818789</v>
      </c>
    </row>
    <row r="6" spans="1:9" ht="15.75" customHeight="1" x14ac:dyDescent="0.25">
      <c r="A6" s="3">
        <v>700</v>
      </c>
      <c r="B6" s="4" t="s">
        <v>12</v>
      </c>
      <c r="C6" s="3">
        <v>70</v>
      </c>
      <c r="D6" s="3">
        <v>8</v>
      </c>
      <c r="E6" s="5">
        <v>322.60000000000002</v>
      </c>
      <c r="F6" s="5">
        <v>9520231606</v>
      </c>
      <c r="G6" s="3">
        <v>2723898815265</v>
      </c>
      <c r="H6" s="5">
        <v>288.8</v>
      </c>
      <c r="I6">
        <f t="shared" si="0"/>
        <v>9431782601.3331013</v>
      </c>
    </row>
    <row r="7" spans="1:9" ht="15.75" customHeight="1" x14ac:dyDescent="0.25">
      <c r="A7" s="3">
        <v>772</v>
      </c>
      <c r="B7" s="4" t="s">
        <v>13</v>
      </c>
      <c r="C7" s="3">
        <v>45</v>
      </c>
      <c r="D7" s="3">
        <v>0.64</v>
      </c>
      <c r="E7" s="5">
        <v>28.5</v>
      </c>
      <c r="F7" s="5">
        <v>1022554246</v>
      </c>
      <c r="G7" s="3">
        <v>25738333559</v>
      </c>
      <c r="H7" s="5">
        <v>25.15</v>
      </c>
      <c r="I7">
        <f t="shared" si="0"/>
        <v>1023392984.4532803</v>
      </c>
    </row>
    <row r="8" spans="1:9" ht="15.75" customHeight="1" x14ac:dyDescent="0.25">
      <c r="A8" s="3">
        <v>981</v>
      </c>
      <c r="B8" s="4" t="s">
        <v>14</v>
      </c>
      <c r="C8" s="3">
        <v>70</v>
      </c>
      <c r="D8" s="3">
        <v>4.53</v>
      </c>
      <c r="E8" s="5">
        <v>22.35</v>
      </c>
      <c r="F8" s="5">
        <v>5039024641</v>
      </c>
      <c r="G8" s="3">
        <v>189811717918</v>
      </c>
      <c r="H8" s="5">
        <v>15.04</v>
      </c>
      <c r="I8">
        <f t="shared" si="0"/>
        <v>12620459967.952127</v>
      </c>
    </row>
    <row r="9" spans="1:9" ht="15.75" customHeight="1" x14ac:dyDescent="0.25">
      <c r="A9" s="3">
        <v>992</v>
      </c>
      <c r="B9" s="4" t="s">
        <v>15</v>
      </c>
      <c r="C9" s="3">
        <v>65</v>
      </c>
      <c r="D9" s="3">
        <v>3.74</v>
      </c>
      <c r="E9" s="5">
        <v>9.7799999999999994</v>
      </c>
      <c r="F9" s="5">
        <v>12404659302</v>
      </c>
      <c r="G9" s="3">
        <v>106183894805</v>
      </c>
      <c r="H9" s="5">
        <v>8.56</v>
      </c>
      <c r="I9">
        <f t="shared" si="0"/>
        <v>12404660608.060747</v>
      </c>
    </row>
    <row r="10" spans="1:9" ht="15.75" customHeight="1" x14ac:dyDescent="0.25">
      <c r="A10" s="3">
        <v>1024</v>
      </c>
      <c r="B10" s="4" t="s">
        <v>16</v>
      </c>
      <c r="C10" s="3">
        <v>70</v>
      </c>
      <c r="D10" s="3">
        <v>8</v>
      </c>
      <c r="E10" s="5">
        <v>58.25</v>
      </c>
      <c r="F10" s="5" t="e">
        <v>#N/A</v>
      </c>
      <c r="G10" s="3">
        <v>198604282573</v>
      </c>
      <c r="H10" s="5">
        <v>45.55</v>
      </c>
      <c r="I10">
        <f t="shared" si="0"/>
        <v>4360137926.9593859</v>
      </c>
    </row>
    <row r="11" spans="1:9" ht="15.75" customHeight="1" x14ac:dyDescent="0.25">
      <c r="A11" s="3">
        <v>1347</v>
      </c>
      <c r="B11" s="4" t="s">
        <v>17</v>
      </c>
      <c r="C11" s="3">
        <v>50</v>
      </c>
      <c r="D11" s="3">
        <v>0.61</v>
      </c>
      <c r="E11" s="5">
        <v>19.14</v>
      </c>
      <c r="F11" s="5">
        <v>1308859694</v>
      </c>
      <c r="G11" s="3">
        <v>34771562765</v>
      </c>
      <c r="H11" s="5">
        <v>16.14</v>
      </c>
      <c r="I11">
        <f t="shared" si="0"/>
        <v>2154371918.5254025</v>
      </c>
    </row>
    <row r="12" spans="1:9" ht="15.75" customHeight="1" x14ac:dyDescent="0.25">
      <c r="A12" s="3">
        <v>1797</v>
      </c>
      <c r="B12" s="4" t="s">
        <v>18</v>
      </c>
      <c r="C12" s="3">
        <v>50</v>
      </c>
      <c r="D12" s="3">
        <v>0.73</v>
      </c>
      <c r="E12" s="5">
        <v>29.7</v>
      </c>
      <c r="F12" s="5" t="e">
        <v>#N/A</v>
      </c>
      <c r="G12" s="3">
        <v>25417200000</v>
      </c>
      <c r="H12" s="5">
        <v>25</v>
      </c>
      <c r="I12">
        <f t="shared" si="0"/>
        <v>1016688000</v>
      </c>
    </row>
    <row r="13" spans="1:9" ht="15.75" customHeight="1" x14ac:dyDescent="0.25">
      <c r="A13" s="3">
        <v>1810</v>
      </c>
      <c r="B13" s="4" t="s">
        <v>19</v>
      </c>
      <c r="C13" s="3">
        <v>70</v>
      </c>
      <c r="D13" s="3">
        <v>8</v>
      </c>
      <c r="E13" s="5">
        <v>16.8</v>
      </c>
      <c r="F13" s="5">
        <v>15882429110</v>
      </c>
      <c r="G13" s="3">
        <v>335008938591</v>
      </c>
      <c r="H13" s="5">
        <v>13.36</v>
      </c>
      <c r="I13">
        <f t="shared" si="0"/>
        <v>25075519355.613773</v>
      </c>
    </row>
    <row r="14" spans="1:9" ht="16.5" x14ac:dyDescent="0.25">
      <c r="A14" s="3">
        <v>1833</v>
      </c>
      <c r="B14" s="4" t="s">
        <v>20</v>
      </c>
      <c r="C14" s="3">
        <v>55</v>
      </c>
      <c r="D14" s="3">
        <v>0.56000000000000005</v>
      </c>
      <c r="E14" s="5">
        <v>18.899999999999999</v>
      </c>
      <c r="F14" s="5">
        <v>1067294200</v>
      </c>
      <c r="G14" s="3">
        <v>13985150000</v>
      </c>
      <c r="H14" s="5">
        <v>12.5</v>
      </c>
      <c r="I14">
        <f t="shared" si="0"/>
        <v>1118812000</v>
      </c>
    </row>
    <row r="15" spans="1:9" ht="16.5" x14ac:dyDescent="0.25">
      <c r="A15" s="3">
        <v>2015</v>
      </c>
      <c r="B15" s="4" t="s">
        <v>21</v>
      </c>
      <c r="C15" s="3">
        <v>65</v>
      </c>
      <c r="D15" s="3">
        <v>8</v>
      </c>
      <c r="E15" s="5">
        <v>159</v>
      </c>
      <c r="F15" s="5" t="e">
        <v>#N/A</v>
      </c>
      <c r="G15" s="3">
        <v>35310706457</v>
      </c>
      <c r="H15" s="5">
        <v>130.69999999999999</v>
      </c>
      <c r="I15">
        <f t="shared" si="0"/>
        <v>270166078.47742927</v>
      </c>
    </row>
    <row r="16" spans="1:9" ht="16.5" x14ac:dyDescent="0.25">
      <c r="A16" s="3">
        <v>2382</v>
      </c>
      <c r="B16" s="4" t="s">
        <v>22</v>
      </c>
      <c r="C16" s="3">
        <v>65</v>
      </c>
      <c r="D16" s="3">
        <v>2.63</v>
      </c>
      <c r="E16" s="5">
        <v>75.900000000000006</v>
      </c>
      <c r="F16" s="5">
        <v>1096849700</v>
      </c>
      <c r="G16" s="3">
        <v>54893537863</v>
      </c>
      <c r="H16" s="5">
        <v>50.05</v>
      </c>
      <c r="I16">
        <f t="shared" si="0"/>
        <v>1096773983.2767234</v>
      </c>
    </row>
    <row r="17" spans="1:9" ht="16.5" x14ac:dyDescent="0.25">
      <c r="A17" s="3">
        <v>3690</v>
      </c>
      <c r="B17" s="4" t="s">
        <v>23</v>
      </c>
      <c r="C17" s="3">
        <v>95</v>
      </c>
      <c r="D17" s="3">
        <v>8</v>
      </c>
      <c r="E17" s="5">
        <v>113.3</v>
      </c>
      <c r="F17" s="5">
        <v>4756416130</v>
      </c>
      <c r="G17" s="3">
        <v>480857531000</v>
      </c>
      <c r="H17" s="5">
        <v>77</v>
      </c>
      <c r="I17">
        <f t="shared" si="0"/>
        <v>6244903000</v>
      </c>
    </row>
    <row r="18" spans="1:9" ht="16.5" x14ac:dyDescent="0.25">
      <c r="A18" s="3">
        <v>3888</v>
      </c>
      <c r="B18" s="4" t="s">
        <v>24</v>
      </c>
      <c r="C18" s="3">
        <v>70</v>
      </c>
      <c r="D18" s="3">
        <v>1.46</v>
      </c>
      <c r="E18" s="5">
        <v>31.5</v>
      </c>
      <c r="F18" s="5">
        <v>1373728717</v>
      </c>
      <c r="G18" s="3">
        <v>29427450608</v>
      </c>
      <c r="H18" s="5">
        <v>21.55</v>
      </c>
      <c r="I18">
        <f t="shared" si="0"/>
        <v>1365542951.6473317</v>
      </c>
    </row>
    <row r="19" spans="1:9" ht="16.5" x14ac:dyDescent="0.25">
      <c r="A19" s="3">
        <v>6060</v>
      </c>
      <c r="B19" s="4" t="s">
        <v>25</v>
      </c>
      <c r="C19" s="3">
        <v>60</v>
      </c>
      <c r="D19" s="3">
        <v>0.91</v>
      </c>
      <c r="E19" s="5">
        <v>21.9</v>
      </c>
      <c r="F19" s="5">
        <v>469812900</v>
      </c>
      <c r="G19" s="3">
        <v>19107556000</v>
      </c>
      <c r="H19" s="5">
        <v>13</v>
      </c>
      <c r="I19">
        <f t="shared" si="0"/>
        <v>1469812000</v>
      </c>
    </row>
    <row r="20" spans="1:9" ht="16.5" x14ac:dyDescent="0.25">
      <c r="A20" s="3">
        <v>6618</v>
      </c>
      <c r="B20" s="4" t="s">
        <v>26</v>
      </c>
      <c r="C20" s="3">
        <v>35</v>
      </c>
      <c r="D20" s="3">
        <v>2.1800000000000002</v>
      </c>
      <c r="E20" s="5">
        <v>40.35</v>
      </c>
      <c r="F20" s="5" t="e">
        <v>#N/A</v>
      </c>
      <c r="G20" s="3">
        <v>96774466466</v>
      </c>
      <c r="H20" s="5">
        <v>30.35</v>
      </c>
      <c r="I20">
        <f t="shared" si="0"/>
        <v>3188615040.0658979</v>
      </c>
    </row>
    <row r="21" spans="1:9" ht="16.5" x14ac:dyDescent="0.25">
      <c r="A21" s="3">
        <v>6690</v>
      </c>
      <c r="B21" s="4" t="s">
        <v>27</v>
      </c>
      <c r="C21" s="3">
        <v>85</v>
      </c>
      <c r="D21" s="3">
        <v>2.71</v>
      </c>
      <c r="E21" s="5">
        <v>22.95</v>
      </c>
      <c r="F21" s="5" t="e">
        <v>#N/A</v>
      </c>
      <c r="G21" s="3">
        <v>239617614354</v>
      </c>
      <c r="H21" s="5">
        <v>24.2</v>
      </c>
      <c r="I21">
        <f t="shared" si="0"/>
        <v>9901554312.1487598</v>
      </c>
    </row>
    <row r="22" spans="1:9" ht="16.5" x14ac:dyDescent="0.25">
      <c r="A22" s="3">
        <v>9618</v>
      </c>
      <c r="B22" s="4" t="s">
        <v>28</v>
      </c>
      <c r="C22" s="3">
        <v>55</v>
      </c>
      <c r="D22" s="3">
        <v>8</v>
      </c>
      <c r="E22" s="5">
        <v>105.9</v>
      </c>
      <c r="F22" s="5" t="e">
        <v>#N/A</v>
      </c>
      <c r="G22" s="3">
        <v>38566036462</v>
      </c>
      <c r="H22" s="5">
        <v>94.2</v>
      </c>
      <c r="I22">
        <f t="shared" si="0"/>
        <v>409405907.23991507</v>
      </c>
    </row>
    <row r="23" spans="1:9" ht="16.5" x14ac:dyDescent="0.25">
      <c r="A23" s="3">
        <v>9626</v>
      </c>
      <c r="B23" s="4" t="s">
        <v>29</v>
      </c>
      <c r="C23" s="3">
        <v>65</v>
      </c>
      <c r="D23" s="3">
        <v>1.52</v>
      </c>
      <c r="E23" s="5">
        <v>115.9</v>
      </c>
      <c r="F23" s="5" t="e">
        <v>#N/A</v>
      </c>
      <c r="G23" s="3">
        <v>5191778925</v>
      </c>
      <c r="H23" s="5">
        <v>81.8</v>
      </c>
      <c r="I23">
        <f t="shared" si="0"/>
        <v>63469180.012224942</v>
      </c>
    </row>
    <row r="24" spans="1:9" ht="16.5" x14ac:dyDescent="0.25">
      <c r="A24" s="3">
        <v>9698</v>
      </c>
      <c r="B24" s="4" t="s">
        <v>30</v>
      </c>
      <c r="C24" s="3">
        <v>25</v>
      </c>
      <c r="D24" s="3">
        <v>0.21</v>
      </c>
      <c r="E24" s="5">
        <v>11.26</v>
      </c>
      <c r="F24" s="5" t="e">
        <v>#N/A</v>
      </c>
      <c r="G24" s="3">
        <v>1313996365</v>
      </c>
      <c r="H24" s="5">
        <v>6.54</v>
      </c>
      <c r="I24">
        <f t="shared" si="0"/>
        <v>200916875.382263</v>
      </c>
    </row>
    <row r="25" spans="1:9" ht="16.5" x14ac:dyDescent="0.25">
      <c r="A25" s="3">
        <v>9866</v>
      </c>
      <c r="B25" s="4" t="s">
        <v>31</v>
      </c>
      <c r="C25" s="3">
        <v>6</v>
      </c>
      <c r="D25" s="3">
        <v>0.3</v>
      </c>
      <c r="E25" s="5">
        <v>60</v>
      </c>
      <c r="F25" s="5" t="e">
        <v>#N/A</v>
      </c>
      <c r="G25" s="3">
        <v>10113849024</v>
      </c>
      <c r="H25" s="5">
        <v>48.1</v>
      </c>
      <c r="I25">
        <f t="shared" si="0"/>
        <v>210267131.47609147</v>
      </c>
    </row>
    <row r="26" spans="1:9" ht="16.5" x14ac:dyDescent="0.25">
      <c r="A26" s="3">
        <v>9868</v>
      </c>
      <c r="B26" s="4" t="s">
        <v>32</v>
      </c>
      <c r="C26" s="3">
        <v>65</v>
      </c>
      <c r="D26" s="3">
        <v>3.71</v>
      </c>
      <c r="E26" s="5">
        <v>67.8</v>
      </c>
      <c r="F26" s="5" t="e">
        <v>#N/A</v>
      </c>
      <c r="G26" s="3">
        <v>8698388893</v>
      </c>
      <c r="H26" s="5">
        <v>36.25</v>
      </c>
      <c r="I26">
        <f t="shared" si="0"/>
        <v>239955555.66896552</v>
      </c>
    </row>
    <row r="27" spans="1:9" ht="16.5" x14ac:dyDescent="0.25">
      <c r="A27" s="3">
        <v>9888</v>
      </c>
      <c r="B27" s="4" t="s">
        <v>33</v>
      </c>
      <c r="C27" s="3">
        <v>25</v>
      </c>
      <c r="D27" s="3">
        <v>3.72</v>
      </c>
      <c r="E27" s="5">
        <v>108.4</v>
      </c>
      <c r="F27" s="5" t="e">
        <v>#N/A</v>
      </c>
      <c r="G27" s="3">
        <v>37756497600</v>
      </c>
      <c r="H27" s="5">
        <v>105.9</v>
      </c>
      <c r="I27">
        <f t="shared" si="0"/>
        <v>356529722.37960339</v>
      </c>
    </row>
    <row r="28" spans="1:9" ht="16.5" x14ac:dyDescent="0.25">
      <c r="A28" s="3">
        <v>9898</v>
      </c>
      <c r="B28" s="4" t="s">
        <v>34</v>
      </c>
      <c r="C28" s="3">
        <v>2</v>
      </c>
      <c r="D28" s="3">
        <v>0.02</v>
      </c>
      <c r="E28" s="5">
        <v>90.5</v>
      </c>
      <c r="F28" s="5" t="e">
        <v>#N/A</v>
      </c>
      <c r="G28" s="3">
        <v>2253729099</v>
      </c>
      <c r="H28" s="5">
        <v>74.8</v>
      </c>
      <c r="I28">
        <f t="shared" si="0"/>
        <v>30130068.168449201</v>
      </c>
    </row>
    <row r="29" spans="1:9" ht="16.5" x14ac:dyDescent="0.25">
      <c r="A29" s="3">
        <v>9961</v>
      </c>
      <c r="B29" s="4" t="s">
        <v>35</v>
      </c>
      <c r="C29" s="3">
        <v>20</v>
      </c>
      <c r="D29" s="3">
        <v>1.85</v>
      </c>
      <c r="E29" s="5">
        <v>278.2</v>
      </c>
      <c r="F29" s="5" t="e">
        <v>#N/A</v>
      </c>
      <c r="G29" s="3">
        <v>29114415186</v>
      </c>
      <c r="H29" s="5">
        <v>331.4</v>
      </c>
      <c r="I29">
        <f t="shared" si="0"/>
        <v>87852791.750150874</v>
      </c>
    </row>
    <row r="30" spans="1:9" ht="16.5" x14ac:dyDescent="0.25">
      <c r="A30" s="3">
        <v>9988</v>
      </c>
      <c r="B30" s="4" t="s">
        <v>36</v>
      </c>
      <c r="C30" s="3">
        <v>60</v>
      </c>
      <c r="D30" s="3">
        <v>8</v>
      </c>
      <c r="E30" s="5">
        <v>83.2</v>
      </c>
      <c r="F30" s="5" t="e">
        <v>#N/A</v>
      </c>
      <c r="G30" s="3">
        <v>190171729171</v>
      </c>
      <c r="H30" s="5">
        <v>72.900000000000006</v>
      </c>
      <c r="I30">
        <f t="shared" si="0"/>
        <v>2608665695.0754457</v>
      </c>
    </row>
    <row r="31" spans="1:9" ht="16.5" x14ac:dyDescent="0.25">
      <c r="A31" s="3">
        <v>9999</v>
      </c>
      <c r="B31" s="4" t="s">
        <v>37</v>
      </c>
      <c r="C31" s="3">
        <v>20</v>
      </c>
      <c r="D31" s="3">
        <v>6.04</v>
      </c>
      <c r="E31" s="5">
        <v>180</v>
      </c>
      <c r="F31" s="5" t="e">
        <v>#N/A</v>
      </c>
      <c r="G31" s="3">
        <v>70057911000</v>
      </c>
      <c r="H31" s="5">
        <v>171.4</v>
      </c>
      <c r="I31">
        <f t="shared" si="0"/>
        <v>408739270.71178526</v>
      </c>
    </row>
    <row r="32" spans="1:9" ht="16.5" x14ac:dyDescent="0.25">
      <c r="G32" s="3"/>
    </row>
    <row r="33" spans="7:7" ht="16.5" x14ac:dyDescent="0.25">
      <c r="G33" s="3"/>
    </row>
    <row r="34" spans="7:7" ht="16.5" x14ac:dyDescent="0.25">
      <c r="G34" s="3"/>
    </row>
    <row r="35" spans="7:7" ht="16.5" x14ac:dyDescent="0.25">
      <c r="G35" s="3"/>
    </row>
    <row r="36" spans="7:7" ht="16.5" x14ac:dyDescent="0.25">
      <c r="G36" s="3"/>
    </row>
    <row r="37" spans="7:7" ht="16.5" x14ac:dyDescent="0.25">
      <c r="G37" s="3"/>
    </row>
    <row r="38" spans="7:7" ht="16.5" x14ac:dyDescent="0.25">
      <c r="G38" s="3"/>
    </row>
    <row r="39" spans="7:7" ht="16.5" x14ac:dyDescent="0.25">
      <c r="G39" s="3"/>
    </row>
    <row r="40" spans="7:7" ht="16.5" x14ac:dyDescent="0.25">
      <c r="G40" s="3"/>
    </row>
    <row r="41" spans="7:7" ht="16.5" x14ac:dyDescent="0.25">
      <c r="G41" s="3"/>
    </row>
    <row r="42" spans="7:7" ht="16.5" x14ac:dyDescent="0.25">
      <c r="G42" s="3"/>
    </row>
    <row r="43" spans="7:7" ht="16.5" x14ac:dyDescent="0.25">
      <c r="G43" s="3"/>
    </row>
    <row r="44" spans="7:7" ht="16.5" x14ac:dyDescent="0.25">
      <c r="G44" s="3"/>
    </row>
    <row r="45" spans="7:7" ht="16.5" x14ac:dyDescent="0.25">
      <c r="G45" s="3"/>
    </row>
    <row r="46" spans="7:7" ht="16.5" x14ac:dyDescent="0.25">
      <c r="G46" s="3"/>
    </row>
    <row r="47" spans="7:7" ht="16.5" x14ac:dyDescent="0.25">
      <c r="G47" s="3"/>
    </row>
    <row r="48" spans="7:7" ht="16.5" x14ac:dyDescent="0.25">
      <c r="G48" s="3"/>
    </row>
    <row r="49" spans="7:7" ht="16.5" x14ac:dyDescent="0.25">
      <c r="G49" s="3"/>
    </row>
    <row r="50" spans="7:7" ht="16.5" x14ac:dyDescent="0.25">
      <c r="G50" s="3"/>
    </row>
    <row r="51" spans="7:7" ht="16.5" x14ac:dyDescent="0.25">
      <c r="G51" s="3"/>
    </row>
    <row r="52" spans="7:7" ht="16.5" x14ac:dyDescent="0.25">
      <c r="G52" s="3"/>
    </row>
    <row r="53" spans="7:7" ht="16.5" x14ac:dyDescent="0.25">
      <c r="G53" s="3"/>
    </row>
    <row r="54" spans="7:7" ht="16.5" x14ac:dyDescent="0.25">
      <c r="G54" s="3"/>
    </row>
    <row r="55" spans="7:7" ht="16.5" x14ac:dyDescent="0.25">
      <c r="G55" s="3"/>
    </row>
    <row r="56" spans="7:7" ht="16.5" x14ac:dyDescent="0.25">
      <c r="G56" s="3"/>
    </row>
    <row r="57" spans="7:7" ht="16.5" x14ac:dyDescent="0.25">
      <c r="G57" s="3"/>
    </row>
    <row r="58" spans="7:7" ht="16.5" x14ac:dyDescent="0.25">
      <c r="G58" s="3"/>
    </row>
    <row r="59" spans="7:7" ht="16.5" x14ac:dyDescent="0.25">
      <c r="G59" s="3"/>
    </row>
    <row r="60" spans="7:7" ht="16.5" x14ac:dyDescent="0.25">
      <c r="G60" s="3"/>
    </row>
    <row r="61" spans="7:7" ht="16.5" x14ac:dyDescent="0.25">
      <c r="G61" s="3"/>
    </row>
  </sheetData>
  <phoneticPr fontId="4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3"/>
  <sheetViews>
    <sheetView workbookViewId="0">
      <selection activeCell="K12" sqref="K12"/>
    </sheetView>
  </sheetViews>
  <sheetFormatPr defaultColWidth="12.5703125" defaultRowHeight="15.75" customHeight="1" x14ac:dyDescent="0.2"/>
  <cols>
    <col min="7" max="7" width="15.570312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</row>
    <row r="2" spans="1:9" ht="15.75" customHeight="1" x14ac:dyDescent="0.25">
      <c r="A2" s="3">
        <v>1</v>
      </c>
      <c r="B2" s="4" t="s">
        <v>38</v>
      </c>
      <c r="C2" s="3">
        <v>70</v>
      </c>
      <c r="D2" s="3">
        <v>0.95</v>
      </c>
      <c r="E2" s="5">
        <v>40.85</v>
      </c>
      <c r="F2" s="5">
        <f ca="1">IFERROR(__xludf.DUMMYFUNCTION("GOOGLEFINANCE(""HKG:""&amp;text(A2,""0000""),""Shares"")"),3856240384)</f>
        <v>3856240384</v>
      </c>
      <c r="G2" s="3">
        <f ca="1">IFERROR(__xludf.DUMMYFUNCTION("GOOGLEFINANCE(""HKG:""&amp;text(A2,""0000""),""marketcap"")"),163159911155)</f>
        <v>163159911155</v>
      </c>
      <c r="H2" s="5">
        <f ca="1">IFERROR(__xludf.DUMMYFUNCTION("GOOGLEFINANCE(""HKG:""&amp;text(A2,""0000""),""price"")"),42.6)</f>
        <v>42.6</v>
      </c>
      <c r="I2">
        <f ca="1">G2/H2</f>
        <v>3830044862.793427</v>
      </c>
    </row>
    <row r="3" spans="1:9" ht="15.75" customHeight="1" x14ac:dyDescent="0.25">
      <c r="A3" s="3">
        <v>2</v>
      </c>
      <c r="B3" s="4" t="s">
        <v>39</v>
      </c>
      <c r="C3" s="3">
        <v>80</v>
      </c>
      <c r="D3" s="3">
        <v>1.06</v>
      </c>
      <c r="E3" s="5">
        <v>60.1</v>
      </c>
      <c r="F3" s="5">
        <f ca="1">IFERROR(__xludf.DUMMYFUNCTION("GOOGLEFINANCE(""HKG:""&amp;text(A3,""0000""),""Shares"")"),2526450570)</f>
        <v>2526450570</v>
      </c>
      <c r="G3" s="3">
        <f ca="1">IFERROR(__xludf.DUMMYFUNCTION("GOOGLEFINANCE(""HKG:""&amp;text(A3,""0000""),""marketcap"")"),163461307289)</f>
        <v>163461307289</v>
      </c>
      <c r="H3" s="5">
        <f ca="1">IFERROR(__xludf.DUMMYFUNCTION("GOOGLEFINANCE(""HKG:""&amp;text(A3,""0000""),""price"")"),64.7)</f>
        <v>64.7</v>
      </c>
      <c r="I3">
        <f t="shared" ref="I3:I66" ca="1" si="0">G3/H3</f>
        <v>2526449880.8191652</v>
      </c>
    </row>
    <row r="4" spans="1:9" ht="15.75" customHeight="1" x14ac:dyDescent="0.25">
      <c r="A4" s="3">
        <v>3</v>
      </c>
      <c r="B4" s="4" t="s">
        <v>40</v>
      </c>
      <c r="C4" s="3">
        <v>60</v>
      </c>
      <c r="D4" s="3">
        <v>0.54</v>
      </c>
      <c r="E4" s="5">
        <v>5.59</v>
      </c>
      <c r="F4" s="5">
        <f ca="1">IFERROR(__xludf.DUMMYFUNCTION("GOOGLEFINANCE(""HKG:""&amp;text(A4,""0000""),""Shares"")"),18659870098)</f>
        <v>18659870098</v>
      </c>
      <c r="G4" s="3">
        <f ca="1">IFERROR(__xludf.DUMMYFUNCTION("GOOGLEFINANCE(""HKG:""&amp;text(A4,""0000""),""marketcap"")"),113265353403)</f>
        <v>113265353403</v>
      </c>
      <c r="H4" s="5">
        <f ca="1">IFERROR(__xludf.DUMMYFUNCTION("GOOGLEFINANCE(""HKG:""&amp;text(A4,""0000""),""price"")"),6.07)</f>
        <v>6.07</v>
      </c>
      <c r="I4">
        <f t="shared" ca="1" si="0"/>
        <v>18659860527.677101</v>
      </c>
    </row>
    <row r="5" spans="1:9" ht="15.75" customHeight="1" x14ac:dyDescent="0.25">
      <c r="A5" s="3">
        <v>5</v>
      </c>
      <c r="B5" s="4" t="s">
        <v>41</v>
      </c>
      <c r="C5" s="3">
        <v>100</v>
      </c>
      <c r="D5" s="3">
        <v>8</v>
      </c>
      <c r="E5" s="5">
        <v>59.9</v>
      </c>
      <c r="F5" s="5">
        <f ca="1">IFERROR(__xludf.DUMMYFUNCTION("GOOGLEFINANCE(""HKG:""&amp;text(A5,""0000""),""Shares"")"),20272322534)</f>
        <v>20272322534</v>
      </c>
      <c r="G5" s="3">
        <f ca="1">IFERROR(__xludf.DUMMYFUNCTION("GOOGLEFINANCE(""HKG:""&amp;text(A5,""0000""),""marketcap"")"),141778540445)</f>
        <v>141778540445</v>
      </c>
      <c r="H5" s="5">
        <f ca="1">IFERROR(__xludf.DUMMYFUNCTION("GOOGLEFINANCE(""HKG:""&amp;text(A5,""0000""),""price"")"),60.25)</f>
        <v>60.25</v>
      </c>
      <c r="I5">
        <f t="shared" ca="1" si="0"/>
        <v>2353170795.7676349</v>
      </c>
    </row>
    <row r="6" spans="1:9" ht="15.75" customHeight="1" x14ac:dyDescent="0.25">
      <c r="A6" s="3">
        <v>6</v>
      </c>
      <c r="B6" s="4" t="s">
        <v>42</v>
      </c>
      <c r="C6" s="3">
        <v>65</v>
      </c>
      <c r="D6" s="3">
        <v>0.48</v>
      </c>
      <c r="E6" s="5">
        <v>40.15</v>
      </c>
      <c r="F6" s="5">
        <f ca="1">IFERROR(__xludf.DUMMYFUNCTION("GOOGLEFINANCE(""HKG:""&amp;text(A6,""0000""),""Shares"")"),2131105154)</f>
        <v>2131105154</v>
      </c>
      <c r="G6" s="3">
        <f ca="1">IFERROR(__xludf.DUMMYFUNCTION("GOOGLEFINANCE(""HKG:""&amp;text(A6,""0000""),""marketcap"")"),99842265998)</f>
        <v>99842265998</v>
      </c>
      <c r="H6" s="5">
        <f ca="1">IFERROR(__xludf.DUMMYFUNCTION("GOOGLEFINANCE(""HKG:""&amp;text(A6,""0000""),""price"")"),46.85)</f>
        <v>46.85</v>
      </c>
      <c r="I6">
        <f t="shared" ca="1" si="0"/>
        <v>2131104930.5869796</v>
      </c>
    </row>
    <row r="7" spans="1:9" ht="15.75" customHeight="1" x14ac:dyDescent="0.25">
      <c r="A7" s="3">
        <v>11</v>
      </c>
      <c r="B7" s="4" t="s">
        <v>43</v>
      </c>
      <c r="C7" s="3">
        <v>40</v>
      </c>
      <c r="D7" s="3">
        <v>0.61</v>
      </c>
      <c r="E7" s="5">
        <v>91.35</v>
      </c>
      <c r="F7" s="5">
        <f ca="1">IFERROR(__xludf.DUMMYFUNCTION("GOOGLEFINANCE(""HKG:""&amp;text(A7,""0000""),""Shares"")"),1911842736)</f>
        <v>1911842736</v>
      </c>
      <c r="G7" s="3">
        <f ca="1">IFERROR(__xludf.DUMMYFUNCTION("GOOGLEFINANCE(""HKG:""&amp;text(A7,""0000""),""marketcap"")"),170727496434)</f>
        <v>170727496434</v>
      </c>
      <c r="H7" s="5">
        <f ca="1">IFERROR(__xludf.DUMMYFUNCTION("GOOGLEFINANCE(""HKG:""&amp;text(A7,""0000""),""price"")"),89.3)</f>
        <v>89.3</v>
      </c>
      <c r="I7">
        <f t="shared" ca="1" si="0"/>
        <v>1911842065.3303473</v>
      </c>
    </row>
    <row r="8" spans="1:9" ht="15.75" customHeight="1" x14ac:dyDescent="0.25">
      <c r="A8" s="3">
        <v>12</v>
      </c>
      <c r="B8" s="4" t="s">
        <v>44</v>
      </c>
      <c r="C8" s="3">
        <v>30</v>
      </c>
      <c r="D8" s="3">
        <v>0.28000000000000003</v>
      </c>
      <c r="E8" s="5">
        <v>22.5</v>
      </c>
      <c r="F8" s="5">
        <f ca="1">IFERROR(__xludf.DUMMYFUNCTION("GOOGLEFINANCE(""HKG:""&amp;text(A8,""0000""),""Shares"")"),4841387003)</f>
        <v>4841387003</v>
      </c>
      <c r="G8" s="3">
        <f ca="1">IFERROR(__xludf.DUMMYFUNCTION("GOOGLEFINANCE(""HKG:""&amp;text(A8,""0000""),""marketcap"")"),106026307753)</f>
        <v>106026307753</v>
      </c>
      <c r="H8" s="5">
        <f ca="1">IFERROR(__xludf.DUMMYFUNCTION("GOOGLEFINANCE(""HKG:""&amp;text(A8,""0000""),""price"")"),21.9)</f>
        <v>21.9</v>
      </c>
      <c r="I8">
        <f t="shared" ca="1" si="0"/>
        <v>4841383915.6621008</v>
      </c>
    </row>
    <row r="9" spans="1:9" ht="15.75" customHeight="1" x14ac:dyDescent="0.25">
      <c r="A9" s="3">
        <v>16</v>
      </c>
      <c r="B9" s="4" t="s">
        <v>45</v>
      </c>
      <c r="C9" s="3">
        <v>50</v>
      </c>
      <c r="D9" s="3">
        <v>1.02</v>
      </c>
      <c r="E9" s="5">
        <v>80.75</v>
      </c>
      <c r="F9" s="5">
        <f ca="1">IFERROR(__xludf.DUMMYFUNCTION("GOOGLEFINANCE(""HKG:""&amp;text(A9,""0000""),""Shares"")"),2897780274)</f>
        <v>2897780274</v>
      </c>
      <c r="G9" s="3">
        <f ca="1">IFERROR(__xludf.DUMMYFUNCTION("GOOGLEFINANCE(""HKG:""&amp;text(A9,""0000""),""marketcap"")"),217768171421)</f>
        <v>217768171421</v>
      </c>
      <c r="H9" s="5">
        <f ca="1">IFERROR(__xludf.DUMMYFUNCTION("GOOGLEFINANCE(""HKG:""&amp;text(A9,""0000""),""price"")"),75.15)</f>
        <v>75.150000000000006</v>
      </c>
      <c r="I9">
        <f t="shared" ca="1" si="0"/>
        <v>2897780058.8290086</v>
      </c>
    </row>
    <row r="10" spans="1:9" ht="15.75" customHeight="1" x14ac:dyDescent="0.25">
      <c r="A10" s="3">
        <v>17</v>
      </c>
      <c r="B10" s="4" t="s">
        <v>46</v>
      </c>
      <c r="C10" s="3">
        <v>55</v>
      </c>
      <c r="D10" s="3">
        <v>0.19</v>
      </c>
      <c r="E10" s="5">
        <v>15.6</v>
      </c>
      <c r="F10" s="5">
        <f ca="1">IFERROR(__xludf.DUMMYFUNCTION("GOOGLEFINANCE(""HKG:""&amp;text(A10,""0000""),""Shares"")"),10200556160)</f>
        <v>10200556160</v>
      </c>
      <c r="G10" s="3">
        <f ca="1">IFERROR(__xludf.DUMMYFUNCTION("GOOGLEFINANCE(""HKG:""&amp;text(A10,""0000""),""marketcap"")"),24637836973)</f>
        <v>24637836973</v>
      </c>
      <c r="H10" s="5">
        <f ca="1">IFERROR(__xludf.DUMMYFUNCTION("GOOGLEFINANCE(""HKG:""&amp;text(A10,""0000""),""price"")"),9.79)</f>
        <v>9.7899999999999991</v>
      </c>
      <c r="I10">
        <f t="shared" ca="1" si="0"/>
        <v>2516632990.0919309</v>
      </c>
    </row>
    <row r="11" spans="1:9" ht="15.75" customHeight="1" x14ac:dyDescent="0.25">
      <c r="A11" s="3">
        <v>27</v>
      </c>
      <c r="B11" s="4" t="s">
        <v>47</v>
      </c>
      <c r="C11" s="3">
        <v>50</v>
      </c>
      <c r="D11" s="3">
        <v>0.82</v>
      </c>
      <c r="E11" s="5">
        <v>43.2</v>
      </c>
      <c r="F11" s="5">
        <f ca="1">IFERROR(__xludf.DUMMYFUNCTION("GOOGLEFINANCE(""HKG:""&amp;text(A11,""0000""),""Shares"")"),4373586962)</f>
        <v>4373586962</v>
      </c>
      <c r="G11" s="3">
        <f ca="1">IFERROR(__xludf.DUMMYFUNCTION("GOOGLEFINANCE(""HKG:""&amp;text(A11,""0000""),""marketcap"")"),197248812126)</f>
        <v>197248812126</v>
      </c>
      <c r="H11" s="5">
        <f ca="1">IFERROR(__xludf.DUMMYFUNCTION("GOOGLEFINANCE(""HKG:""&amp;text(A11,""0000""),""price"")"),45.1)</f>
        <v>45.1</v>
      </c>
      <c r="I11">
        <f t="shared" ca="1" si="0"/>
        <v>4373587852.0177383</v>
      </c>
    </row>
    <row r="12" spans="1:9" ht="15.75" customHeight="1" x14ac:dyDescent="0.25">
      <c r="A12" s="3">
        <v>66</v>
      </c>
      <c r="B12" s="4" t="s">
        <v>48</v>
      </c>
      <c r="C12" s="3">
        <v>30</v>
      </c>
      <c r="D12" s="3">
        <v>0.49</v>
      </c>
      <c r="E12" s="5">
        <v>30.45</v>
      </c>
      <c r="F12" s="5">
        <f ca="1">IFERROR(__xludf.DUMMYFUNCTION("GOOGLEFINANCE(""HKG:""&amp;text(A12,""0000""),""Shares"")"),6217197282)</f>
        <v>6217197282</v>
      </c>
      <c r="G12" s="3">
        <f ca="1">IFERROR(__xludf.DUMMYFUNCTION("GOOGLEFINANCE(""HKG:""&amp;text(A12,""0000""),""marketcap"")"),165066549056)</f>
        <v>165066549056</v>
      </c>
      <c r="H12" s="5">
        <f ca="1">IFERROR(__xludf.DUMMYFUNCTION("GOOGLEFINANCE(""HKG:""&amp;text(A12,""0000""),""price"")"),26.55)</f>
        <v>26.55</v>
      </c>
      <c r="I12">
        <f t="shared" ca="1" si="0"/>
        <v>6217195821.3182669</v>
      </c>
    </row>
    <row r="13" spans="1:9" ht="15.75" customHeight="1" x14ac:dyDescent="0.25">
      <c r="A13" s="3">
        <v>101</v>
      </c>
      <c r="B13" s="4" t="s">
        <v>49</v>
      </c>
      <c r="C13" s="3">
        <v>40</v>
      </c>
      <c r="D13" s="3">
        <v>0.18</v>
      </c>
      <c r="E13" s="5">
        <v>11.36</v>
      </c>
      <c r="F13" s="5">
        <f ca="1">IFERROR(__xludf.DUMMYFUNCTION("GOOGLEFINANCE(""HKG:""&amp;text(A13,""0000""),""Shares"")"),4499260670)</f>
        <v>4499260670</v>
      </c>
      <c r="G13" s="3">
        <f ca="1">IFERROR(__xludf.DUMMYFUNCTION("GOOGLEFINANCE(""HKG:""&amp;text(A13,""0000""),""marketcap"")"),39008593213)</f>
        <v>39008593213</v>
      </c>
      <c r="H13" s="5">
        <f ca="1">IFERROR(__xludf.DUMMYFUNCTION("GOOGLEFINANCE(""HKG:""&amp;text(A13,""0000""),""price"")"),8.67)</f>
        <v>8.67</v>
      </c>
      <c r="I13">
        <f t="shared" ca="1" si="0"/>
        <v>4499261039.5617075</v>
      </c>
    </row>
    <row r="14" spans="1:9" ht="16.5" x14ac:dyDescent="0.25">
      <c r="A14" s="3">
        <v>175</v>
      </c>
      <c r="B14" s="4" t="s">
        <v>50</v>
      </c>
      <c r="C14" s="3">
        <v>60</v>
      </c>
      <c r="D14" s="3">
        <v>0.51</v>
      </c>
      <c r="E14" s="5">
        <v>9.69</v>
      </c>
      <c r="F14" s="5">
        <f ca="1">IFERROR(__xludf.DUMMYFUNCTION("GOOGLEFINANCE(""HKG:""&amp;text(A14,""0000""),""Shares"")"),8979215540)</f>
        <v>8979215540</v>
      </c>
      <c r="G14" s="3">
        <f ca="1">IFERROR(__xludf.DUMMYFUNCTION("GOOGLEFINANCE(""HKG:""&amp;text(A14,""0000""),""marketcap"")"),82720986287)</f>
        <v>82720986287</v>
      </c>
      <c r="H14" s="5">
        <f ca="1">IFERROR(__xludf.DUMMYFUNCTION("GOOGLEFINANCE(""HKG:""&amp;text(A14,""0000""),""price"")"),8.22)</f>
        <v>8.2200000000000006</v>
      </c>
      <c r="I14">
        <f t="shared" ca="1" si="0"/>
        <v>10063380326.885645</v>
      </c>
    </row>
    <row r="15" spans="1:9" ht="16.5" x14ac:dyDescent="0.25">
      <c r="A15" s="3">
        <v>241</v>
      </c>
      <c r="B15" s="4" t="s">
        <v>9</v>
      </c>
      <c r="C15" s="3">
        <v>40</v>
      </c>
      <c r="D15" s="3">
        <v>0.23</v>
      </c>
      <c r="E15" s="5">
        <v>4.9800000000000004</v>
      </c>
      <c r="F15" s="5">
        <f ca="1">IFERROR(__xludf.DUMMYFUNCTION("GOOGLEFINANCE(""HKG:""&amp;text(A15,""0000""),""Shares"")"),11677724349)</f>
        <v>11677724349</v>
      </c>
      <c r="G15" s="3">
        <f ca="1">IFERROR(__xludf.DUMMYFUNCTION("GOOGLEFINANCE(""HKG:""&amp;text(A15,""0000""),""marketcap"")"),56481972146)</f>
        <v>56481972146</v>
      </c>
      <c r="H15" s="5">
        <f ca="1">IFERROR(__xludf.DUMMYFUNCTION("GOOGLEFINANCE(""HKG:""&amp;text(A15,""0000""),""price"")"),3.51)</f>
        <v>3.51</v>
      </c>
      <c r="I15">
        <f t="shared" ca="1" si="0"/>
        <v>16091729956.125357</v>
      </c>
    </row>
    <row r="16" spans="1:9" ht="16.5" x14ac:dyDescent="0.25">
      <c r="A16" s="3">
        <v>267</v>
      </c>
      <c r="B16" s="4" t="s">
        <v>51</v>
      </c>
      <c r="C16" s="3">
        <v>25</v>
      </c>
      <c r="D16" s="3">
        <v>0.46</v>
      </c>
      <c r="E16" s="5">
        <v>7.23</v>
      </c>
      <c r="F16" s="5">
        <f ca="1">IFERROR(__xludf.DUMMYFUNCTION("GOOGLEFINANCE(""HKG:""&amp;text(A16,""0000""),""Shares"")"),29090262630)</f>
        <v>29090262630</v>
      </c>
      <c r="G16" s="3">
        <f ca="1">IFERROR(__xludf.DUMMYFUNCTION("GOOGLEFINANCE(""HKG:""&amp;text(A16,""0000""),""marketcap"")"),236794726387)</f>
        <v>236794726387</v>
      </c>
      <c r="H16" s="5">
        <f ca="1">IFERROR(__xludf.DUMMYFUNCTION("GOOGLEFINANCE(""HKG:""&amp;text(A16,""0000""),""price"")"),8.14)</f>
        <v>8.14</v>
      </c>
      <c r="I16">
        <f t="shared" ca="1" si="0"/>
        <v>29090261226.904175</v>
      </c>
    </row>
    <row r="17" spans="1:9" ht="16.5" x14ac:dyDescent="0.25">
      <c r="A17" s="3">
        <v>288</v>
      </c>
      <c r="B17" s="4" t="s">
        <v>52</v>
      </c>
      <c r="C17" s="3">
        <v>65</v>
      </c>
      <c r="D17" s="3">
        <v>0.34</v>
      </c>
      <c r="E17" s="5">
        <v>4.74</v>
      </c>
      <c r="F17" s="5">
        <f ca="1">IFERROR(__xludf.DUMMYFUNCTION("GOOGLEFINANCE(""HKG:""&amp;text(A17,""0000""),""Shares"")"),14675484111)</f>
        <v>14675484111</v>
      </c>
      <c r="G17" s="3">
        <f ca="1">IFERROR(__xludf.DUMMYFUNCTION("GOOGLEFINANCE(""HKG:""&amp;text(A17,""0000""),""marketcap"")"),61841614402)</f>
        <v>61841614402</v>
      </c>
      <c r="H17" s="5">
        <f ca="1">IFERROR(__xludf.DUMMYFUNCTION("GOOGLEFINANCE(""HKG:""&amp;text(A17,""0000""),""price"")"),4.82)</f>
        <v>4.82</v>
      </c>
      <c r="I17">
        <f t="shared" ca="1" si="0"/>
        <v>12830210456.846472</v>
      </c>
    </row>
    <row r="18" spans="1:9" ht="16.5" x14ac:dyDescent="0.25">
      <c r="A18" s="3">
        <v>291</v>
      </c>
      <c r="B18" s="4" t="s">
        <v>53</v>
      </c>
      <c r="C18" s="3">
        <v>50</v>
      </c>
      <c r="D18" s="3">
        <v>0.59</v>
      </c>
      <c r="E18" s="5">
        <v>41.9</v>
      </c>
      <c r="F18" s="5">
        <f ca="1">IFERROR(__xludf.DUMMYFUNCTION("GOOGLEFINANCE(""HKG:""&amp;text(A18,""0000""),""Shares"")"),3244176905)</f>
        <v>3244176905</v>
      </c>
      <c r="G18" s="3">
        <f ca="1">IFERROR(__xludf.DUMMYFUNCTION("GOOGLEFINANCE(""HKG:""&amp;text(A18,""0000""),""marketcap"")"),104138076749)</f>
        <v>104138076749</v>
      </c>
      <c r="H18" s="5">
        <f ca="1">IFERROR(__xludf.DUMMYFUNCTION("GOOGLEFINANCE(""HKG:""&amp;text(A18,""0000""),""price"")"),32.1)</f>
        <v>32.1</v>
      </c>
      <c r="I18">
        <f t="shared" ca="1" si="0"/>
        <v>3244176845.7632399</v>
      </c>
    </row>
    <row r="19" spans="1:9" ht="16.5" x14ac:dyDescent="0.25">
      <c r="A19" s="3">
        <v>316</v>
      </c>
      <c r="B19" s="4" t="s">
        <v>54</v>
      </c>
      <c r="C19" s="3">
        <v>20</v>
      </c>
      <c r="D19" s="3">
        <v>0.11</v>
      </c>
      <c r="E19" s="5">
        <v>97.65</v>
      </c>
      <c r="F19" s="5">
        <f ca="1">IFERROR(__xludf.DUMMYFUNCTION("GOOGLEFINANCE(""HKG:""&amp;text(A19,""0000""),""Shares"")"),625793297)</f>
        <v>625793297</v>
      </c>
      <c r="G19" s="3">
        <f ca="1">IFERROR(__xludf.DUMMYFUNCTION("GOOGLEFINANCE(""HKG:""&amp;text(A19,""0000""),""marketcap"")"),77924049400)</f>
        <v>77924049400</v>
      </c>
      <c r="H19" s="5">
        <f ca="1">IFERROR(__xludf.DUMMYFUNCTION("GOOGLEFINANCE(""HKG:""&amp;text(A19,""0000""),""price"")"),118)</f>
        <v>118</v>
      </c>
      <c r="I19">
        <f t="shared" ca="1" si="0"/>
        <v>660373300</v>
      </c>
    </row>
    <row r="20" spans="1:9" ht="16.5" x14ac:dyDescent="0.25">
      <c r="A20" s="3">
        <v>322</v>
      </c>
      <c r="B20" s="4" t="s">
        <v>55</v>
      </c>
      <c r="C20" s="3">
        <v>35</v>
      </c>
      <c r="D20" s="3">
        <v>0.18</v>
      </c>
      <c r="E20" s="5">
        <v>10.4</v>
      </c>
      <c r="F20" s="5">
        <f ca="1">IFERROR(__xludf.DUMMYFUNCTION("GOOGLEFINANCE(""HKG:""&amp;text(A20,""0000""),""Shares"")"),5617780360)</f>
        <v>5617780360</v>
      </c>
      <c r="G20" s="3">
        <f ca="1">IFERROR(__xludf.DUMMYFUNCTION("GOOGLEFINANCE(""HKG:""&amp;text(A20,""0000""),""marketcap"")"),44342373205)</f>
        <v>44342373205</v>
      </c>
      <c r="H20" s="5">
        <f ca="1">IFERROR(__xludf.DUMMYFUNCTION("GOOGLEFINANCE(""HKG:""&amp;text(A20,""0000""),""price"")"),7.87)</f>
        <v>7.87</v>
      </c>
      <c r="I20">
        <f t="shared" ca="1" si="0"/>
        <v>5634354918.0432024</v>
      </c>
    </row>
    <row r="21" spans="1:9" ht="16.5" x14ac:dyDescent="0.25">
      <c r="A21" s="3">
        <v>386</v>
      </c>
      <c r="B21" s="4" t="s">
        <v>56</v>
      </c>
      <c r="C21" s="3">
        <v>100</v>
      </c>
      <c r="D21" s="3">
        <v>0.9</v>
      </c>
      <c r="E21" s="5">
        <v>4.2</v>
      </c>
      <c r="F21" s="5">
        <f ca="1">IFERROR(__xludf.DUMMYFUNCTION("GOOGLEFINANCE(""HKG:""&amp;text(A21,""0000""),""Shares"")"),25513438600)</f>
        <v>25513438600</v>
      </c>
      <c r="G21" s="3">
        <f ca="1">IFERROR(__xludf.DUMMYFUNCTION("GOOGLEFINANCE(""HKG:""&amp;text(A21,""0000""),""marketcap"")"),752505178502)</f>
        <v>752505178502</v>
      </c>
      <c r="H21" s="5">
        <f ca="1">IFERROR(__xludf.DUMMYFUNCTION("GOOGLEFINANCE(""HKG:""&amp;text(A21,""0000""),""price"")"),4.35)</f>
        <v>4.3499999999999996</v>
      </c>
      <c r="I21">
        <f t="shared" ca="1" si="0"/>
        <v>172989696207.35632</v>
      </c>
    </row>
    <row r="22" spans="1:9" ht="16.5" x14ac:dyDescent="0.25">
      <c r="A22" s="3">
        <v>388</v>
      </c>
      <c r="B22" s="4" t="s">
        <v>57</v>
      </c>
      <c r="C22" s="3">
        <v>95</v>
      </c>
      <c r="D22" s="3">
        <v>3.09</v>
      </c>
      <c r="E22" s="5">
        <v>295</v>
      </c>
      <c r="F22" s="5">
        <f ca="1">IFERROR(__xludf.DUMMYFUNCTION("GOOGLEFINANCE(""HKG:""&amp;text(A22,""0000""),""Shares"")"),1267836895)</f>
        <v>1267836895</v>
      </c>
      <c r="G22" s="3">
        <f ca="1">IFERROR(__xludf.DUMMYFUNCTION("GOOGLEFINANCE(""HKG:""&amp;text(A22,""0000""),""marketcap"")"),316959250000)</f>
        <v>316959250000</v>
      </c>
      <c r="H22" s="5">
        <f ca="1">IFERROR(__xludf.DUMMYFUNCTION("GOOGLEFINANCE(""HKG:""&amp;text(A22,""0000""),""price"")"),250)</f>
        <v>250</v>
      </c>
      <c r="I22">
        <f t="shared" ca="1" si="0"/>
        <v>1267837000</v>
      </c>
    </row>
    <row r="23" spans="1:9" ht="16.5" x14ac:dyDescent="0.25">
      <c r="A23" s="3">
        <v>669</v>
      </c>
      <c r="B23" s="4" t="s">
        <v>58</v>
      </c>
      <c r="C23" s="3">
        <v>85</v>
      </c>
      <c r="D23" s="3">
        <v>1.1100000000000001</v>
      </c>
      <c r="E23" s="5">
        <v>81.75</v>
      </c>
      <c r="F23" s="5">
        <f ca="1">IFERROR(__xludf.DUMMYFUNCTION("GOOGLEFINANCE(""HKG:""&amp;text(A23,""0000""),""Shares"")"),1833837941)</f>
        <v>1833837941</v>
      </c>
      <c r="G23" s="3">
        <f ca="1">IFERROR(__xludf.DUMMYFUNCTION("GOOGLEFINANCE(""HKG:""&amp;text(A23,""0000""),""marketcap"")"),159543819000)</f>
        <v>159543819000</v>
      </c>
      <c r="H23" s="5">
        <f ca="1">IFERROR(__xludf.DUMMYFUNCTION("GOOGLEFINANCE(""HKG:""&amp;text(A23,""0000""),""price"")"),87)</f>
        <v>87</v>
      </c>
      <c r="I23">
        <f t="shared" ca="1" si="0"/>
        <v>1833837000</v>
      </c>
    </row>
    <row r="24" spans="1:9" ht="16.5" x14ac:dyDescent="0.25">
      <c r="A24" s="3">
        <v>688</v>
      </c>
      <c r="B24" s="4" t="s">
        <v>59</v>
      </c>
      <c r="C24" s="3">
        <v>35</v>
      </c>
      <c r="D24" s="3">
        <v>0.5</v>
      </c>
      <c r="E24" s="5">
        <v>15.16</v>
      </c>
      <c r="F24" s="5">
        <f ca="1">IFERROR(__xludf.DUMMYFUNCTION("GOOGLEFINANCE(""HKG:""&amp;text(A24,""0000""),""Shares"")"),10944883535)</f>
        <v>10944883535</v>
      </c>
      <c r="G24" s="3">
        <f ca="1">IFERROR(__xludf.DUMMYFUNCTION("GOOGLEFINANCE(""HKG:""&amp;text(A24,""0000""),""marketcap"")"),134622026087)</f>
        <v>134622026087</v>
      </c>
      <c r="H24" s="5">
        <f ca="1">IFERROR(__xludf.DUMMYFUNCTION("GOOGLEFINANCE(""HKG:""&amp;text(A24,""0000""),""price"")"),12.3)</f>
        <v>12.3</v>
      </c>
      <c r="I24">
        <f t="shared" ca="1" si="0"/>
        <v>10944880169.674797</v>
      </c>
    </row>
    <row r="25" spans="1:9" ht="16.5" x14ac:dyDescent="0.25">
      <c r="A25" s="3">
        <v>700</v>
      </c>
      <c r="B25" s="4" t="s">
        <v>12</v>
      </c>
      <c r="C25" s="3">
        <v>70</v>
      </c>
      <c r="D25" s="3">
        <v>8</v>
      </c>
      <c r="E25" s="5">
        <v>322.60000000000002</v>
      </c>
      <c r="F25" s="5">
        <f ca="1">IFERROR(__xludf.DUMMYFUNCTION("GOOGLEFINANCE(""HKG:""&amp;text(A25,""0000""),""Shares"")"),9520231606)</f>
        <v>9520231606</v>
      </c>
      <c r="G25" s="3">
        <f ca="1">IFERROR(__xludf.DUMMYFUNCTION("GOOGLEFINANCE(""HKG:""&amp;text(A25,""0000""),""marketcap"")"),2723898815265)</f>
        <v>2723898815265</v>
      </c>
      <c r="H25" s="5">
        <f ca="1">IFERROR(__xludf.DUMMYFUNCTION("GOOGLEFINANCE(""HKG:""&amp;text(A25,""0000""),""price"")"),288.8)</f>
        <v>288.8</v>
      </c>
      <c r="I25">
        <f t="shared" ca="1" si="0"/>
        <v>9431782601.3331013</v>
      </c>
    </row>
    <row r="26" spans="1:9" ht="16.5" x14ac:dyDescent="0.25">
      <c r="A26" s="3">
        <v>762</v>
      </c>
      <c r="B26" s="4" t="s">
        <v>60</v>
      </c>
      <c r="C26" s="3">
        <v>20</v>
      </c>
      <c r="D26" s="3">
        <v>0.27</v>
      </c>
      <c r="E26" s="5">
        <v>5.05</v>
      </c>
      <c r="F26" s="5">
        <f ca="1">IFERROR(__xludf.DUMMYFUNCTION("GOOGLEFINANCE(""HKG:""&amp;text(A26,""0000""),""Shares"")"),30598124345)</f>
        <v>30598124345</v>
      </c>
      <c r="G26" s="3">
        <f ca="1">IFERROR(__xludf.DUMMYFUNCTION("GOOGLEFINANCE(""HKG:""&amp;text(A26,""0000""),""marketcap"")"),168595648203)</f>
        <v>168595648203</v>
      </c>
      <c r="H26" s="5">
        <f ca="1">IFERROR(__xludf.DUMMYFUNCTION("GOOGLEFINANCE(""HKG:""&amp;text(A26,""0000""),""price"")"),5.51)</f>
        <v>5.51</v>
      </c>
      <c r="I26">
        <f t="shared" ca="1" si="0"/>
        <v>30598121270.961887</v>
      </c>
    </row>
    <row r="27" spans="1:9" ht="16.5" x14ac:dyDescent="0.25">
      <c r="A27" s="3">
        <v>823</v>
      </c>
      <c r="B27" s="4" t="s">
        <v>61</v>
      </c>
      <c r="C27" s="3">
        <v>100</v>
      </c>
      <c r="D27" s="3">
        <v>0.91</v>
      </c>
      <c r="E27" s="5">
        <v>40.950000000000003</v>
      </c>
      <c r="F27" s="5">
        <f ca="1">IFERROR(__xludf.DUMMYFUNCTION("GOOGLEFINANCE(""HKG:""&amp;text(A27,""0000""),""Shares"")"),2572563613)</f>
        <v>2572563613</v>
      </c>
      <c r="G27" s="3">
        <f ca="1">IFERROR(__xludf.DUMMYFUNCTION("GOOGLEFINANCE(""HKG:""&amp;text(A27,""0000""),""marketcap"")"),98400534750)</f>
        <v>98400534750</v>
      </c>
      <c r="H27" s="5">
        <f ca="1">IFERROR(__xludf.DUMMYFUNCTION("GOOGLEFINANCE(""HKG:""&amp;text(A27,""0000""),""price"")"),38.25)</f>
        <v>38.25</v>
      </c>
      <c r="I27">
        <f t="shared" ca="1" si="0"/>
        <v>2572563000</v>
      </c>
    </row>
    <row r="28" spans="1:9" ht="16.5" x14ac:dyDescent="0.25">
      <c r="A28" s="3">
        <v>836</v>
      </c>
      <c r="B28" s="4" t="s">
        <v>62</v>
      </c>
      <c r="C28" s="3">
        <v>40</v>
      </c>
      <c r="D28" s="3">
        <v>0.27</v>
      </c>
      <c r="E28" s="5">
        <v>15.88</v>
      </c>
      <c r="F28" s="5">
        <f ca="1">IFERROR(__xludf.DUMMYFUNCTION("GOOGLEFINANCE(""HKG:""&amp;text(A28,""0000""),""Shares"")"),4810443740)</f>
        <v>4810443740</v>
      </c>
      <c r="G28" s="3">
        <f ca="1">IFERROR(__xludf.DUMMYFUNCTION("GOOGLEFINANCE(""HKG:""&amp;text(A28,""0000""),""marketcap"")"),80623025781)</f>
        <v>80623025781</v>
      </c>
      <c r="H28" s="5">
        <f ca="1">IFERROR(__xludf.DUMMYFUNCTION("GOOGLEFINANCE(""HKG:""&amp;text(A28,""0000""),""price"")"),16.76)</f>
        <v>16.760000000000002</v>
      </c>
      <c r="I28">
        <f t="shared" ca="1" si="0"/>
        <v>4810443065.6921234</v>
      </c>
    </row>
    <row r="29" spans="1:9" ht="16.5" x14ac:dyDescent="0.25">
      <c r="A29" s="3">
        <v>857</v>
      </c>
      <c r="B29" s="4" t="s">
        <v>63</v>
      </c>
      <c r="C29" s="3">
        <v>100</v>
      </c>
      <c r="D29" s="3">
        <v>0.95</v>
      </c>
      <c r="E29" s="5">
        <v>5.21</v>
      </c>
      <c r="F29" s="5">
        <f ca="1">IFERROR(__xludf.DUMMYFUNCTION("GOOGLEFINANCE(""HKG:""&amp;text(A29,""0000""),""Shares"")"),21098900000)</f>
        <v>21098900000</v>
      </c>
      <c r="G29" s="3">
        <f ca="1">IFERROR(__xludf.DUMMYFUNCTION("GOOGLEFINANCE(""HKG:""&amp;text(A29,""0000""),""marketcap"")"),1655794023950)</f>
        <v>1655794023950</v>
      </c>
      <c r="H29" s="5">
        <f ca="1">IFERROR(__xludf.DUMMYFUNCTION("GOOGLEFINANCE(""HKG:""&amp;text(A29,""0000""),""price"")"),5.94)</f>
        <v>5.94</v>
      </c>
      <c r="I29">
        <f t="shared" ca="1" si="0"/>
        <v>278753202685.18518</v>
      </c>
    </row>
    <row r="30" spans="1:9" ht="16.5" x14ac:dyDescent="0.25">
      <c r="A30" s="3">
        <v>868</v>
      </c>
      <c r="B30" s="4" t="s">
        <v>64</v>
      </c>
      <c r="C30" s="3">
        <v>50</v>
      </c>
      <c r="D30" s="3">
        <v>0.17</v>
      </c>
      <c r="E30" s="5">
        <v>9.5299999999999994</v>
      </c>
      <c r="F30" s="5">
        <f ca="1">IFERROR(__xludf.DUMMYFUNCTION("GOOGLEFINANCE(""HKG:""&amp;text(A30,""0000""),""Shares"")"),3999100647)</f>
        <v>3999100647</v>
      </c>
      <c r="G30" s="3">
        <f ca="1">IFERROR(__xludf.DUMMYFUNCTION("GOOGLEFINANCE(""HKG:""&amp;text(A30,""0000""),""marketcap"")"),30529000430)</f>
        <v>30529000430</v>
      </c>
      <c r="H30" s="5">
        <f ca="1">IFERROR(__xludf.DUMMYFUNCTION("GOOGLEFINANCE(""HKG:""&amp;text(A30,""0000""),""price"")"),7.23)</f>
        <v>7.23</v>
      </c>
      <c r="I30">
        <f t="shared" ca="1" si="0"/>
        <v>4222545011.0650067</v>
      </c>
    </row>
    <row r="31" spans="1:9" ht="16.5" x14ac:dyDescent="0.25">
      <c r="A31" s="3">
        <v>881</v>
      </c>
      <c r="B31" s="4" t="s">
        <v>65</v>
      </c>
      <c r="C31" s="3">
        <v>35</v>
      </c>
      <c r="D31" s="3">
        <v>0.15</v>
      </c>
      <c r="E31" s="5">
        <v>20.8</v>
      </c>
      <c r="F31" s="5">
        <f ca="1">IFERROR(__xludf.DUMMYFUNCTION("GOOGLEFINANCE(""HKG:""&amp;text(A31,""0000""),""Shares"")"),2271697955)</f>
        <v>2271697955</v>
      </c>
      <c r="G31" s="3">
        <f ca="1">IFERROR(__xludf.DUMMYFUNCTION("GOOGLEFINANCE(""HKG:""&amp;text(A31,""0000""),""marketcap"")"),33113072113)</f>
        <v>33113072113</v>
      </c>
      <c r="H31" s="5">
        <f ca="1">IFERROR(__xludf.DUMMYFUNCTION("GOOGLEFINANCE(""HKG:""&amp;text(A31,""0000""),""price"")"),13.88)</f>
        <v>13.88</v>
      </c>
      <c r="I31">
        <f t="shared" ca="1" si="0"/>
        <v>2385668019.6685877</v>
      </c>
    </row>
    <row r="32" spans="1:9" ht="16.5" x14ac:dyDescent="0.25">
      <c r="A32" s="3">
        <v>883</v>
      </c>
      <c r="B32" s="4" t="s">
        <v>66</v>
      </c>
      <c r="C32" s="3">
        <v>35</v>
      </c>
      <c r="D32" s="3">
        <v>1.79</v>
      </c>
      <c r="E32" s="5">
        <v>13.18</v>
      </c>
      <c r="F32" s="5">
        <f ca="1">IFERROR(__xludf.DUMMYFUNCTION("GOOGLEFINANCE(""HKG:""&amp;text(A32,""0000""),""Shares"")"),44576763984)</f>
        <v>44576763984</v>
      </c>
      <c r="G32" s="3">
        <f ca="1">IFERROR(__xludf.DUMMYFUNCTION("GOOGLEFINANCE(""HKG:""&amp;text(A32,""0000""),""marketcap"")"),764103475085)</f>
        <v>764103475085</v>
      </c>
      <c r="H32" s="5">
        <f ca="1">IFERROR(__xludf.DUMMYFUNCTION("GOOGLEFINANCE(""HKG:""&amp;text(A32,""0000""),""price"")"),15.38)</f>
        <v>15.38</v>
      </c>
      <c r="I32">
        <f t="shared" ca="1" si="0"/>
        <v>49681630369.635887</v>
      </c>
    </row>
    <row r="33" spans="1:9" ht="16.5" x14ac:dyDescent="0.25">
      <c r="A33" s="3">
        <v>939</v>
      </c>
      <c r="B33" s="4" t="s">
        <v>67</v>
      </c>
      <c r="C33" s="3">
        <v>45</v>
      </c>
      <c r="D33" s="3">
        <v>4.3499999999999996</v>
      </c>
      <c r="E33" s="5">
        <v>4.63</v>
      </c>
      <c r="F33" s="5">
        <f ca="1">IFERROR(__xludf.DUMMYFUNCTION("GOOGLEFINANCE(""HKG:""&amp;text(A33,""0000""),""Shares"")"),240417319880)</f>
        <v>240417319880</v>
      </c>
      <c r="G33" s="3">
        <f ca="1">IFERROR(__xludf.DUMMYFUNCTION("GOOGLEFINANCE(""HKG:""&amp;text(A33,""0000""),""marketcap"")"),1246030865719)</f>
        <v>1246030865719</v>
      </c>
      <c r="H33" s="5">
        <f ca="1">IFERROR(__xludf.DUMMYFUNCTION("GOOGLEFINANCE(""HKG:""&amp;text(A33,""0000""),""price"")"),4.87)</f>
        <v>4.87</v>
      </c>
      <c r="I33">
        <f t="shared" ca="1" si="0"/>
        <v>255858493987.47433</v>
      </c>
    </row>
    <row r="34" spans="1:9" ht="16.5" x14ac:dyDescent="0.25">
      <c r="A34" s="3">
        <v>941</v>
      </c>
      <c r="B34" s="4" t="s">
        <v>68</v>
      </c>
      <c r="C34" s="3">
        <v>30</v>
      </c>
      <c r="D34" s="3">
        <v>3.38</v>
      </c>
      <c r="E34" s="5">
        <v>63.4</v>
      </c>
      <c r="F34" s="5">
        <f ca="1">IFERROR(__xludf.DUMMYFUNCTION("GOOGLEFINANCE(""HKG:""&amp;text(A34,""0000""),""Shares"")"),20489935015)</f>
        <v>20489935015</v>
      </c>
      <c r="G34" s="3">
        <f ca="1">IFERROR(__xludf.DUMMYFUNCTION("GOOGLEFINANCE(""HKG:""&amp;text(A34,""0000""),""marketcap"")"),1494452531891)</f>
        <v>1494452531891</v>
      </c>
      <c r="H34" s="5">
        <f ca="1">IFERROR(__xludf.DUMMYFUNCTION("GOOGLEFINANCE(""HKG:""&amp;text(A34,""0000""),""price"")"),67.85)</f>
        <v>67.849999999999994</v>
      </c>
      <c r="I34">
        <f t="shared" ca="1" si="0"/>
        <v>22025829504.657333</v>
      </c>
    </row>
    <row r="35" spans="1:9" ht="16.5" x14ac:dyDescent="0.25">
      <c r="A35" s="3">
        <v>960</v>
      </c>
      <c r="B35" s="4" t="s">
        <v>69</v>
      </c>
      <c r="C35" s="3">
        <v>35</v>
      </c>
      <c r="D35" s="3">
        <v>0.26</v>
      </c>
      <c r="E35" s="5">
        <v>13.04</v>
      </c>
      <c r="F35" s="5">
        <f ca="1">IFERROR(__xludf.DUMMYFUNCTION("GOOGLEFINANCE(""HKG:""&amp;text(A35,""0000""),""Shares"")"),5930682105)</f>
        <v>5930682105</v>
      </c>
      <c r="G35" s="3">
        <f ca="1">IFERROR(__xludf.DUMMYFUNCTION("GOOGLEFINANCE(""HKG:""&amp;text(A35,""0000""),""marketcap"")"),67943551181)</f>
        <v>67943551181</v>
      </c>
      <c r="H35" s="5">
        <f ca="1">IFERROR(__xludf.DUMMYFUNCTION("GOOGLEFINANCE(""HKG:""&amp;text(A35,""0000""),""price"")"),10.04)</f>
        <v>10.039999999999999</v>
      </c>
      <c r="I35">
        <f t="shared" ca="1" si="0"/>
        <v>6767285974.2031879</v>
      </c>
    </row>
    <row r="36" spans="1:9" ht="16.5" x14ac:dyDescent="0.25">
      <c r="A36" s="3">
        <v>968</v>
      </c>
      <c r="B36" s="4" t="s">
        <v>70</v>
      </c>
      <c r="C36" s="3">
        <v>55</v>
      </c>
      <c r="D36" s="3">
        <v>0.23</v>
      </c>
      <c r="E36" s="5">
        <v>5.31</v>
      </c>
      <c r="F36" s="5">
        <f ca="1">IFERROR(__xludf.DUMMYFUNCTION("GOOGLEFINANCE(""HKG:""&amp;text(A36,""0000""),""Shares"")"),7659556647)</f>
        <v>7659556647</v>
      </c>
      <c r="G36" s="3">
        <f ca="1">IFERROR(__xludf.DUMMYFUNCTION("GOOGLEFINANCE(""HKG:""&amp;text(A36,""0000""),""marketcap"")"),35256870339)</f>
        <v>35256870339</v>
      </c>
      <c r="H36" s="5">
        <f ca="1">IFERROR(__xludf.DUMMYFUNCTION("GOOGLEFINANCE(""HKG:""&amp;text(A36,""0000""),""price"")"),3.96)</f>
        <v>3.96</v>
      </c>
      <c r="I36">
        <f t="shared" ca="1" si="0"/>
        <v>8903250085.60606</v>
      </c>
    </row>
    <row r="37" spans="1:9" ht="16.5" x14ac:dyDescent="0.25">
      <c r="A37" s="3">
        <v>981</v>
      </c>
      <c r="B37" s="4" t="s">
        <v>14</v>
      </c>
      <c r="C37" s="3">
        <v>70</v>
      </c>
      <c r="D37" s="3">
        <v>0.81</v>
      </c>
      <c r="E37" s="5">
        <v>22.35</v>
      </c>
      <c r="F37" s="5">
        <f ca="1">IFERROR(__xludf.DUMMYFUNCTION("GOOGLEFINANCE(""HKG:""&amp;text(A37,""0000""),""Shares"")"),5039024641)</f>
        <v>5039024641</v>
      </c>
      <c r="G37" s="3">
        <f ca="1">IFERROR(__xludf.DUMMYFUNCTION("GOOGLEFINANCE(""HKG:""&amp;text(A37,""0000""),""marketcap"")"),189811717918)</f>
        <v>189811717918</v>
      </c>
      <c r="H37" s="5">
        <f ca="1">IFERROR(__xludf.DUMMYFUNCTION("GOOGLEFINANCE(""HKG:""&amp;text(A37,""0000""),""price"")"),15.04)</f>
        <v>15.04</v>
      </c>
      <c r="I37">
        <f t="shared" ca="1" si="0"/>
        <v>12620459967.952127</v>
      </c>
    </row>
    <row r="38" spans="1:9" ht="16.5" x14ac:dyDescent="0.25">
      <c r="A38" s="3">
        <v>992</v>
      </c>
      <c r="B38" s="4" t="s">
        <v>15</v>
      </c>
      <c r="C38" s="3">
        <v>65</v>
      </c>
      <c r="D38" s="3">
        <v>0.67</v>
      </c>
      <c r="E38" s="5">
        <v>9.7799999999999994</v>
      </c>
      <c r="F38" s="5">
        <f ca="1">IFERROR(__xludf.DUMMYFUNCTION("GOOGLEFINANCE(""HKG:""&amp;text(A38,""0000""),""Shares"")"),12404659302)</f>
        <v>12404659302</v>
      </c>
      <c r="G38" s="3">
        <f ca="1">IFERROR(__xludf.DUMMYFUNCTION("GOOGLEFINANCE(""HKG:""&amp;text(A38,""0000""),""marketcap"")"),106183894805)</f>
        <v>106183894805</v>
      </c>
      <c r="H38" s="5">
        <f ca="1">IFERROR(__xludf.DUMMYFUNCTION("GOOGLEFINANCE(""HKG:""&amp;text(A38,""0000""),""price"")"),8.56)</f>
        <v>8.56</v>
      </c>
      <c r="I38">
        <f t="shared" ca="1" si="0"/>
        <v>12404660608.060747</v>
      </c>
    </row>
    <row r="39" spans="1:9" ht="16.5" x14ac:dyDescent="0.25">
      <c r="A39" s="3">
        <v>1038</v>
      </c>
      <c r="B39" s="4" t="s">
        <v>71</v>
      </c>
      <c r="C39" s="3">
        <v>25</v>
      </c>
      <c r="D39" s="3">
        <v>0.21</v>
      </c>
      <c r="E39" s="5">
        <v>38.799999999999997</v>
      </c>
      <c r="F39" s="5">
        <f ca="1">IFERROR(__xludf.DUMMYFUNCTION("GOOGLEFINANCE(""HKG:""&amp;text(A39,""0000""),""Shares"")"),2650676042)</f>
        <v>2650676042</v>
      </c>
      <c r="G39" s="3">
        <f ca="1">IFERROR(__xludf.DUMMYFUNCTION("GOOGLEFINANCE(""HKG:""&amp;text(A39,""0000""),""marketcap"")"),118169759744)</f>
        <v>118169759744</v>
      </c>
      <c r="H39" s="5">
        <f ca="1">IFERROR(__xludf.DUMMYFUNCTION("GOOGLEFINANCE(""HKG:""&amp;text(A39,""0000""),""price"")"),46.9)</f>
        <v>46.9</v>
      </c>
      <c r="I39">
        <f t="shared" ca="1" si="0"/>
        <v>2519611081.9616203</v>
      </c>
    </row>
    <row r="40" spans="1:9" ht="16.5" x14ac:dyDescent="0.25">
      <c r="A40" s="3">
        <v>1044</v>
      </c>
      <c r="B40" s="4" t="s">
        <v>72</v>
      </c>
      <c r="C40" s="3">
        <v>60</v>
      </c>
      <c r="D40" s="3">
        <v>0.17</v>
      </c>
      <c r="E40" s="5">
        <v>28.1</v>
      </c>
      <c r="F40" s="5">
        <f ca="1">IFERROR(__xludf.DUMMYFUNCTION("GOOGLEFINANCE(""HKG:""&amp;text(A40,""0000""),""Shares"")"),1206067917)</f>
        <v>1206067917</v>
      </c>
      <c r="G40" s="3">
        <f ca="1">IFERROR(__xludf.DUMMYFUNCTION("GOOGLEFINANCE(""HKG:""&amp;text(A40,""0000""),""marketcap"")"),29517847556)</f>
        <v>29517847556</v>
      </c>
      <c r="H40" s="5">
        <f ca="1">IFERROR(__xludf.DUMMYFUNCTION("GOOGLEFINANCE(""HKG:""&amp;text(A40,""0000""),""price"")"),25.4)</f>
        <v>25.4</v>
      </c>
      <c r="I40">
        <f t="shared" ca="1" si="0"/>
        <v>1162119982.519685</v>
      </c>
    </row>
    <row r="41" spans="1:9" ht="16.5" x14ac:dyDescent="0.25">
      <c r="A41" s="3">
        <v>1088</v>
      </c>
      <c r="B41" s="4" t="s">
        <v>73</v>
      </c>
      <c r="C41" s="3">
        <v>100</v>
      </c>
      <c r="D41" s="3">
        <v>0.73</v>
      </c>
      <c r="E41" s="5">
        <v>24.85</v>
      </c>
      <c r="F41" s="5">
        <f ca="1">IFERROR(__xludf.DUMMYFUNCTION("GOOGLEFINANCE(""HKG:""&amp;text(A41,""0000""),""Shares"")"),3398582500)</f>
        <v>3398582500</v>
      </c>
      <c r="G41" s="3">
        <f ca="1">IFERROR(__xludf.DUMMYFUNCTION("GOOGLEFINANCE(""HKG:""&amp;text(A41,""0000""),""marketcap"")"),811718820000)</f>
        <v>811718820000</v>
      </c>
      <c r="H41" s="5">
        <f ca="1">IFERROR(__xludf.DUMMYFUNCTION("GOOGLEFINANCE(""HKG:""&amp;text(A41,""0000""),""price"")"),30.75)</f>
        <v>30.75</v>
      </c>
      <c r="I41">
        <f t="shared" ca="1" si="0"/>
        <v>26397360000</v>
      </c>
    </row>
    <row r="42" spans="1:9" ht="16.5" x14ac:dyDescent="0.25">
      <c r="A42" s="3">
        <v>1093</v>
      </c>
      <c r="B42" s="4" t="s">
        <v>74</v>
      </c>
      <c r="C42" s="3">
        <v>75</v>
      </c>
      <c r="D42" s="3">
        <v>0.56000000000000005</v>
      </c>
      <c r="E42" s="5">
        <v>7.2</v>
      </c>
      <c r="F42" s="5">
        <f ca="1">IFERROR(__xludf.DUMMYFUNCTION("GOOGLEFINANCE(""HKG:""&amp;text(A42,""0000""),""Shares"")"),11903219732)</f>
        <v>11903219732</v>
      </c>
      <c r="G42" s="3">
        <f ca="1">IFERROR(__xludf.DUMMYFUNCTION("GOOGLEFINANCE(""HKG:""&amp;text(A42,""0000""),""marketcap"")"),74633189172)</f>
        <v>74633189172</v>
      </c>
      <c r="H42" s="5">
        <f ca="1">IFERROR(__xludf.DUMMYFUNCTION("GOOGLEFINANCE(""HKG:""&amp;text(A42,""0000""),""price"")"),6.27)</f>
        <v>6.27</v>
      </c>
      <c r="I42">
        <f t="shared" ca="1" si="0"/>
        <v>11903219963.636364</v>
      </c>
    </row>
    <row r="43" spans="1:9" ht="16.5" x14ac:dyDescent="0.25">
      <c r="A43" s="3">
        <v>1099</v>
      </c>
      <c r="B43" s="4" t="s">
        <v>75</v>
      </c>
      <c r="C43" s="3">
        <v>100</v>
      </c>
      <c r="D43" s="3">
        <v>0.23</v>
      </c>
      <c r="E43" s="5">
        <v>19.66</v>
      </c>
      <c r="F43" s="5">
        <f ca="1">IFERROR(__xludf.DUMMYFUNCTION("GOOGLEFINANCE(""HKG:""&amp;text(A43,""0000""),""Shares"")"),1192810740)</f>
        <v>1192810740</v>
      </c>
      <c r="G43" s="3">
        <f ca="1">IFERROR(__xludf.DUMMYFUNCTION("GOOGLEFINANCE(""HKG:""&amp;text(A43,""0000""),""marketcap"")"),67718237580)</f>
        <v>67718237580</v>
      </c>
      <c r="H43" s="5">
        <f ca="1">IFERROR(__xludf.DUMMYFUNCTION("GOOGLEFINANCE(""HKG:""&amp;text(A43,""0000""),""price"")"),21.7)</f>
        <v>21.7</v>
      </c>
      <c r="I43">
        <f t="shared" ca="1" si="0"/>
        <v>3120656109.6774197</v>
      </c>
    </row>
    <row r="44" spans="1:9" ht="16.5" x14ac:dyDescent="0.25">
      <c r="A44" s="3">
        <v>1109</v>
      </c>
      <c r="B44" s="4" t="s">
        <v>76</v>
      </c>
      <c r="C44" s="3">
        <v>45</v>
      </c>
      <c r="D44" s="3">
        <v>0.86</v>
      </c>
      <c r="E44" s="5">
        <v>30.75</v>
      </c>
      <c r="F44" s="5">
        <f ca="1">IFERROR(__xludf.DUMMYFUNCTION("GOOGLEFINANCE(""HKG:""&amp;text(A44,""0000""),""Shares"")"),6930939579)</f>
        <v>6930939579</v>
      </c>
      <c r="G44" s="3">
        <f ca="1">IFERROR(__xludf.DUMMYFUNCTION("GOOGLEFINANCE(""HKG:""&amp;text(A44,""0000""),""marketcap"")"),182552015520)</f>
        <v>182552015520</v>
      </c>
      <c r="H44" s="5">
        <f ca="1">IFERROR(__xludf.DUMMYFUNCTION("GOOGLEFINANCE(""HKG:""&amp;text(A44,""0000""),""price"")"),25.6)</f>
        <v>25.6</v>
      </c>
      <c r="I44">
        <f t="shared" ca="1" si="0"/>
        <v>7130938106.25</v>
      </c>
    </row>
    <row r="45" spans="1:9" ht="16.5" x14ac:dyDescent="0.25">
      <c r="A45" s="3">
        <v>1113</v>
      </c>
      <c r="B45" s="4" t="s">
        <v>77</v>
      </c>
      <c r="C45" s="3">
        <v>55</v>
      </c>
      <c r="D45" s="3">
        <v>0.67</v>
      </c>
      <c r="E45" s="5">
        <v>39.549999999999997</v>
      </c>
      <c r="F45" s="5">
        <f ca="1">IFERROR(__xludf.DUMMYFUNCTION("GOOGLEFINANCE(""HKG:""&amp;text(A45,""0000""),""Shares"")"),3693400500)</f>
        <v>3693400500</v>
      </c>
      <c r="G45" s="3">
        <f ca="1">IFERROR(__xludf.DUMMYFUNCTION("GOOGLEFINANCE(""HKG:""&amp;text(A45,""0000""),""marketcap"")"),127752660000)</f>
        <v>127752660000</v>
      </c>
      <c r="H45" s="5">
        <f ca="1">IFERROR(__xludf.DUMMYFUNCTION("GOOGLEFINANCE(""HKG:""&amp;text(A45,""0000""),""price"")"),36)</f>
        <v>36</v>
      </c>
      <c r="I45">
        <f t="shared" ca="1" si="0"/>
        <v>3548685000</v>
      </c>
    </row>
    <row r="46" spans="1:9" ht="16.5" x14ac:dyDescent="0.25">
      <c r="A46" s="3">
        <v>1177</v>
      </c>
      <c r="B46" s="4" t="s">
        <v>78</v>
      </c>
      <c r="C46" s="3">
        <v>60</v>
      </c>
      <c r="D46" s="3">
        <v>0.37</v>
      </c>
      <c r="E46" s="5">
        <v>3.82</v>
      </c>
      <c r="F46" s="5">
        <f ca="1">IFERROR(__xludf.DUMMYFUNCTION("GOOGLEFINANCE(""HKG:""&amp;text(A46,""0000""),""Shares"")"),12637791487)</f>
        <v>12637791487</v>
      </c>
      <c r="G46" s="3">
        <f ca="1">IFERROR(__xludf.DUMMYFUNCTION("GOOGLEFINANCE(""HKG:""&amp;text(A46,""0000""),""marketcap"")"),59035801372)</f>
        <v>59035801372</v>
      </c>
      <c r="H46" s="5">
        <f ca="1">IFERROR(__xludf.DUMMYFUNCTION("GOOGLEFINANCE(""HKG:""&amp;text(A46,""0000""),""price"")"),3.14)</f>
        <v>3.14</v>
      </c>
      <c r="I46">
        <f t="shared" ca="1" si="0"/>
        <v>18801210628.025478</v>
      </c>
    </row>
    <row r="47" spans="1:9" ht="16.5" x14ac:dyDescent="0.25">
      <c r="A47" s="3">
        <v>1209</v>
      </c>
      <c r="B47" s="4" t="s">
        <v>79</v>
      </c>
      <c r="C47" s="3">
        <v>30</v>
      </c>
      <c r="D47" s="3">
        <v>0.19</v>
      </c>
      <c r="E47" s="5">
        <v>31.2</v>
      </c>
      <c r="F47" s="5">
        <f ca="1">IFERROR(__xludf.DUMMYFUNCTION("GOOGLEFINANCE(""HKG:""&amp;text(A47,""0000""),""Shares"")"),2282500000)</f>
        <v>2282500000</v>
      </c>
      <c r="G47" s="3">
        <f ca="1">IFERROR(__xludf.DUMMYFUNCTION("GOOGLEFINANCE(""HKG:""&amp;text(A47,""0000""),""marketcap"")"),53182248258)</f>
        <v>53182248258</v>
      </c>
      <c r="H47" s="5">
        <f ca="1">IFERROR(__xludf.DUMMYFUNCTION("GOOGLEFINANCE(""HKG:""&amp;text(A47,""0000""),""price"")"),23.3)</f>
        <v>23.3</v>
      </c>
      <c r="I47">
        <f t="shared" ca="1" si="0"/>
        <v>2282499925.2360516</v>
      </c>
    </row>
    <row r="48" spans="1:9" ht="16.5" x14ac:dyDescent="0.25">
      <c r="A48" s="3">
        <v>1211</v>
      </c>
      <c r="B48" s="4" t="s">
        <v>80</v>
      </c>
      <c r="C48" s="3">
        <v>95</v>
      </c>
      <c r="D48" s="3">
        <v>2.27</v>
      </c>
      <c r="E48" s="5">
        <v>250.4</v>
      </c>
      <c r="F48" s="5">
        <f ca="1">IFERROR(__xludf.DUMMYFUNCTION("GOOGLEFINANCE(""HKG:""&amp;text(A48,""0000""),""Shares"")"),915000000)</f>
        <v>915000000</v>
      </c>
      <c r="G48" s="3">
        <f ca="1">IFERROR(__xludf.DUMMYFUNCTION("GOOGLEFINANCE(""HKG:""&amp;text(A48,""0000""),""marketcap"")"),565192105458)</f>
        <v>565192105458</v>
      </c>
      <c r="H48" s="5">
        <f ca="1">IFERROR(__xludf.DUMMYFUNCTION("GOOGLEFINANCE(""HKG:""&amp;text(A48,""0000""),""price"")"),186.3)</f>
        <v>186.3</v>
      </c>
      <c r="I48">
        <f t="shared" ca="1" si="0"/>
        <v>3033774049.6940417</v>
      </c>
    </row>
    <row r="49" spans="1:9" ht="16.5" x14ac:dyDescent="0.25">
      <c r="A49" s="3">
        <v>1299</v>
      </c>
      <c r="B49" s="4" t="s">
        <v>81</v>
      </c>
      <c r="C49" s="3">
        <v>100</v>
      </c>
      <c r="D49" s="3">
        <v>7.38</v>
      </c>
      <c r="E49" s="5">
        <v>73.8</v>
      </c>
      <c r="F49" s="5">
        <f ca="1">IFERROR(__xludf.DUMMYFUNCTION("GOOGLEFINANCE(""HKG:""&amp;text(A49,""0000""),""Shares"")"),11319989969)</f>
        <v>11319989969</v>
      </c>
      <c r="G49" s="3">
        <f ca="1">IFERROR(__xludf.DUMMYFUNCTION("GOOGLEFINANCE(""HKG:""&amp;text(A49,""0000""),""marketcap"")"),738063313454)</f>
        <v>738063313454</v>
      </c>
      <c r="H49" s="5">
        <f ca="1">IFERROR(__xludf.DUMMYFUNCTION("GOOGLEFINANCE(""HKG:""&amp;text(A49,""0000""),""price"")"),65.2)</f>
        <v>65.2</v>
      </c>
      <c r="I49">
        <f t="shared" ca="1" si="0"/>
        <v>11319989470.153374</v>
      </c>
    </row>
    <row r="50" spans="1:9" ht="16.5" x14ac:dyDescent="0.25">
      <c r="A50" s="3">
        <v>1378</v>
      </c>
      <c r="B50" s="4" t="s">
        <v>82</v>
      </c>
      <c r="C50" s="3">
        <v>30</v>
      </c>
      <c r="D50" s="3">
        <v>0.18</v>
      </c>
      <c r="E50" s="5">
        <v>7.33</v>
      </c>
      <c r="F50" s="5">
        <f ca="1">IFERROR(__xludf.DUMMYFUNCTION("GOOGLEFINANCE(""HKG:""&amp;text(A50,""0000""),""Shares"")"),8675394849)</f>
        <v>8675394849</v>
      </c>
      <c r="G50" s="3">
        <f ca="1">IFERROR(__xludf.DUMMYFUNCTION("GOOGLEFINANCE(""HKG:""&amp;text(A50,""0000""),""marketcap"")"),58369312634)</f>
        <v>58369312634</v>
      </c>
      <c r="H50" s="5">
        <f ca="1">IFERROR(__xludf.DUMMYFUNCTION("GOOGLEFINANCE(""HKG:""&amp;text(A50,""0000""),""price"")"),6.16)</f>
        <v>6.16</v>
      </c>
      <c r="I50">
        <f t="shared" ca="1" si="0"/>
        <v>9475537765.2597408</v>
      </c>
    </row>
    <row r="51" spans="1:9" ht="16.5" x14ac:dyDescent="0.25">
      <c r="A51" s="3">
        <v>1398</v>
      </c>
      <c r="B51" s="4" t="s">
        <v>83</v>
      </c>
      <c r="C51" s="3">
        <v>85</v>
      </c>
      <c r="D51" s="3">
        <v>2.4700000000000002</v>
      </c>
      <c r="E51" s="5">
        <v>3.86</v>
      </c>
      <c r="F51" s="5">
        <f ca="1">IFERROR(__xludf.DUMMYFUNCTION("GOOGLEFINANCE(""HKG:""&amp;text(A51,""0000""),""Shares"")"),86794044550)</f>
        <v>86794044550</v>
      </c>
      <c r="G51" s="3">
        <f ca="1">IFERROR(__xludf.DUMMYFUNCTION("GOOGLEFINANCE(""HKG:""&amp;text(A51,""0000""),""marketcap"")"),2068229602232)</f>
        <v>2068229602232</v>
      </c>
      <c r="H51" s="5">
        <f ca="1">IFERROR(__xludf.DUMMYFUNCTION("GOOGLEFINANCE(""HKG:""&amp;text(A51,""0000""),""price"")"),4.07)</f>
        <v>4.07</v>
      </c>
      <c r="I51">
        <f t="shared" ca="1" si="0"/>
        <v>508164521432.92377</v>
      </c>
    </row>
    <row r="52" spans="1:9" ht="16.5" x14ac:dyDescent="0.25">
      <c r="A52" s="3">
        <v>1810</v>
      </c>
      <c r="B52" s="4" t="s">
        <v>19</v>
      </c>
      <c r="C52" s="3">
        <v>70</v>
      </c>
      <c r="D52" s="3">
        <v>2.56</v>
      </c>
      <c r="E52" s="5">
        <v>16.8</v>
      </c>
      <c r="F52" s="5">
        <f ca="1">IFERROR(__xludf.DUMMYFUNCTION("GOOGLEFINANCE(""HKG:""&amp;text(A52,""0000""),""Shares"")"),15882429110)</f>
        <v>15882429110</v>
      </c>
      <c r="G52" s="3">
        <f ca="1">IFERROR(__xludf.DUMMYFUNCTION("GOOGLEFINANCE(""HKG:""&amp;text(A52,""0000""),""marketcap"")"),335008938591)</f>
        <v>335008938591</v>
      </c>
      <c r="H52" s="5">
        <f ca="1">IFERROR(__xludf.DUMMYFUNCTION("GOOGLEFINANCE(""HKG:""&amp;text(A52,""0000""),""price"")"),13.36)</f>
        <v>13.36</v>
      </c>
      <c r="I52">
        <f t="shared" ca="1" si="0"/>
        <v>25075519355.613773</v>
      </c>
    </row>
    <row r="53" spans="1:9" ht="16.5" x14ac:dyDescent="0.25">
      <c r="A53" s="3">
        <v>1876</v>
      </c>
      <c r="B53" s="4" t="s">
        <v>84</v>
      </c>
      <c r="C53" s="3">
        <v>15</v>
      </c>
      <c r="D53" s="3">
        <v>0.28000000000000003</v>
      </c>
      <c r="E53" s="5">
        <v>16</v>
      </c>
      <c r="F53" s="5" t="str">
        <f ca="1">IFERROR(__xludf.DUMMYFUNCTION("GOOGLEFINANCE(""HKG:""&amp;text(A53,""0000""),""Shares"")"),"#N/A")</f>
        <v>#N/A</v>
      </c>
      <c r="G53" s="3">
        <f ca="1">IFERROR(__xludf.DUMMYFUNCTION("GOOGLEFINANCE(""HKG:""&amp;text(A53,""0000""),""marketcap"")"),177726294810)</f>
        <v>177726294810</v>
      </c>
      <c r="H53" s="5">
        <f ca="1">IFERROR(__xludf.DUMMYFUNCTION("GOOGLEFINANCE(""HKG:""&amp;text(A53,""0000""),""price"")"),13.42)</f>
        <v>13.42</v>
      </c>
      <c r="I53">
        <f t="shared" ca="1" si="0"/>
        <v>13243390075.260805</v>
      </c>
    </row>
    <row r="54" spans="1:9" ht="16.5" x14ac:dyDescent="0.25">
      <c r="A54" s="3">
        <v>1928</v>
      </c>
      <c r="B54" s="4" t="s">
        <v>85</v>
      </c>
      <c r="C54" s="3">
        <v>35</v>
      </c>
      <c r="D54" s="3">
        <v>0.54</v>
      </c>
      <c r="E54" s="5">
        <v>21.75</v>
      </c>
      <c r="F54" s="5">
        <f ca="1">IFERROR(__xludf.DUMMYFUNCTION("GOOGLEFINANCE(""HKG:""&amp;text(A54,""0000""),""Shares"")"),8080491991)</f>
        <v>8080491991</v>
      </c>
      <c r="G54" s="3">
        <f ca="1">IFERROR(__xludf.DUMMYFUNCTION("GOOGLEFINANCE(""HKG:""&amp;text(A54,""0000""),""marketcap"")"),188980379387)</f>
        <v>188980379387</v>
      </c>
      <c r="H54" s="5">
        <f ca="1">IFERROR(__xludf.DUMMYFUNCTION("GOOGLEFINANCE(""HKG:""&amp;text(A54,""0000""),""price"")"),23.35)</f>
        <v>23.35</v>
      </c>
      <c r="I54">
        <f t="shared" ca="1" si="0"/>
        <v>8093378132.2055674</v>
      </c>
    </row>
    <row r="55" spans="1:9" ht="16.5" x14ac:dyDescent="0.25">
      <c r="A55" s="3">
        <v>1929</v>
      </c>
      <c r="B55" s="4" t="s">
        <v>86</v>
      </c>
      <c r="C55" s="3">
        <v>20</v>
      </c>
      <c r="D55" s="3">
        <v>0.21</v>
      </c>
      <c r="E55" s="5">
        <v>12</v>
      </c>
      <c r="F55" s="5">
        <f ca="1">IFERROR(__xludf.DUMMYFUNCTION("GOOGLEFINANCE(""HKG:""&amp;text(A55,""0000""),""Shares"")"),10000000000)</f>
        <v>10000000000</v>
      </c>
      <c r="G55" s="3">
        <f ca="1">IFERROR(__xludf.DUMMYFUNCTION("GOOGLEFINANCE(""HKG:""&amp;text(A55,""0000""),""marketcap"")"),117256030093)</f>
        <v>117256030093</v>
      </c>
      <c r="H55" s="5">
        <f ca="1">IFERROR(__xludf.DUMMYFUNCTION("GOOGLEFINANCE(""HKG:""&amp;text(A55,""0000""),""price"")"),11.74)</f>
        <v>11.74</v>
      </c>
      <c r="I55">
        <f t="shared" ca="1" si="0"/>
        <v>9987736805.1959114</v>
      </c>
    </row>
    <row r="56" spans="1:9" ht="16.5" x14ac:dyDescent="0.25">
      <c r="A56" s="3">
        <v>1997</v>
      </c>
      <c r="B56" s="4" t="s">
        <v>87</v>
      </c>
      <c r="C56" s="3">
        <v>55</v>
      </c>
      <c r="D56" s="3">
        <v>0.4</v>
      </c>
      <c r="E56" s="5">
        <v>27.9</v>
      </c>
      <c r="F56" s="5">
        <f ca="1">IFERROR(__xludf.DUMMYFUNCTION("GOOGLEFINANCE(""HKG:""&amp;text(A56,""0000""),""Shares"")"),3036227327)</f>
        <v>3036227327</v>
      </c>
      <c r="G56" s="3">
        <f ca="1">IFERROR(__xludf.DUMMYFUNCTION("GOOGLEFINANCE(""HKG:""&amp;text(A56,""0000""),""marketcap"")"),79397334891)</f>
        <v>79397334891</v>
      </c>
      <c r="H56" s="5">
        <f ca="1">IFERROR(__xludf.DUMMYFUNCTION("GOOGLEFINANCE(""HKG:""&amp;text(A56,""0000""),""price"")"),26.15)</f>
        <v>26.15</v>
      </c>
      <c r="I56">
        <f t="shared" ca="1" si="0"/>
        <v>3036226955.6787763</v>
      </c>
    </row>
    <row r="57" spans="1:9" ht="16.5" x14ac:dyDescent="0.25">
      <c r="A57" s="3">
        <v>2015</v>
      </c>
      <c r="B57" s="4" t="s">
        <v>21</v>
      </c>
      <c r="C57" s="3">
        <v>65</v>
      </c>
      <c r="D57" s="3">
        <v>1.9</v>
      </c>
      <c r="E57" s="5">
        <v>159</v>
      </c>
      <c r="F57" s="5" t="str">
        <f ca="1">IFERROR(__xludf.DUMMYFUNCTION("GOOGLEFINANCE(""HKG:""&amp;text(A57,""0000""),""Shares"")"),"#N/A")</f>
        <v>#N/A</v>
      </c>
      <c r="G57" s="3">
        <f ca="1">IFERROR(__xludf.DUMMYFUNCTION("GOOGLEFINANCE(""HKG:""&amp;text(A57,""0000""),""marketcap"")"),35310706457)</f>
        <v>35310706457</v>
      </c>
      <c r="H57" s="5">
        <f ca="1">IFERROR(__xludf.DUMMYFUNCTION("GOOGLEFINANCE(""HKG:""&amp;text(A57,""0000""),""price"")"),130.7)</f>
        <v>130.69999999999999</v>
      </c>
      <c r="I57">
        <f t="shared" ca="1" si="0"/>
        <v>270166078.47742927</v>
      </c>
    </row>
    <row r="58" spans="1:9" ht="16.5" x14ac:dyDescent="0.25">
      <c r="A58" s="3">
        <v>2020</v>
      </c>
      <c r="B58" s="4" t="s">
        <v>88</v>
      </c>
      <c r="C58" s="3">
        <v>50</v>
      </c>
      <c r="D58" s="3">
        <v>1.0900000000000001</v>
      </c>
      <c r="E58" s="5">
        <v>88.55</v>
      </c>
      <c r="F58" s="5">
        <f ca="1">IFERROR(__xludf.DUMMYFUNCTION("GOOGLEFINANCE(""HKG:""&amp;text(A58,""0000""),""Shares"")"),2684904100)</f>
        <v>2684904100</v>
      </c>
      <c r="G58" s="3">
        <f ca="1">IFERROR(__xludf.DUMMYFUNCTION("GOOGLEFINANCE(""HKG:""&amp;text(A58,""0000""),""marketcap"")"),219103384727)</f>
        <v>219103384727</v>
      </c>
      <c r="H58" s="5">
        <f ca="1">IFERROR(__xludf.DUMMYFUNCTION("GOOGLEFINANCE(""HKG:""&amp;text(A58,""0000""),""price"")"),77.35)</f>
        <v>77.349999999999994</v>
      </c>
      <c r="I58">
        <f t="shared" ca="1" si="0"/>
        <v>2832622944.1111832</v>
      </c>
    </row>
    <row r="59" spans="1:9" ht="16.5" x14ac:dyDescent="0.25">
      <c r="A59" s="3">
        <v>2269</v>
      </c>
      <c r="B59" s="4" t="s">
        <v>89</v>
      </c>
      <c r="C59" s="3">
        <v>90</v>
      </c>
      <c r="D59" s="3">
        <v>1.68</v>
      </c>
      <c r="E59" s="5">
        <v>50.7</v>
      </c>
      <c r="F59" s="5">
        <f ca="1">IFERROR(__xludf.DUMMYFUNCTION("GOOGLEFINANCE(""HKG:""&amp;text(A59,""0000""),""Shares"")"),1225230275)</f>
        <v>1225230275</v>
      </c>
      <c r="G59" s="3">
        <f ca="1">IFERROR(__xludf.DUMMYFUNCTION("GOOGLEFINANCE(""HKG:""&amp;text(A59,""0000""),""marketcap"")"),77075466924)</f>
        <v>77075466924</v>
      </c>
      <c r="H59" s="5">
        <f ca="1">IFERROR(__xludf.DUMMYFUNCTION("GOOGLEFINANCE(""HKG:""&amp;text(A59,""0000""),""price"")"),18.1)</f>
        <v>18.100000000000001</v>
      </c>
      <c r="I59">
        <f t="shared" ca="1" si="0"/>
        <v>4258313089.7237568</v>
      </c>
    </row>
    <row r="60" spans="1:9" ht="16.5" x14ac:dyDescent="0.25">
      <c r="A60" s="3">
        <v>2313</v>
      </c>
      <c r="B60" s="4" t="s">
        <v>90</v>
      </c>
      <c r="C60" s="3">
        <v>55</v>
      </c>
      <c r="D60" s="3">
        <v>0.62</v>
      </c>
      <c r="E60" s="5">
        <v>86.15</v>
      </c>
      <c r="F60" s="5">
        <f ca="1">IFERROR(__xludf.DUMMYFUNCTION("GOOGLEFINANCE(""HKG:""&amp;text(A60,""0000""),""Shares"")"),1503222397)</f>
        <v>1503222397</v>
      </c>
      <c r="G60" s="3">
        <f ca="1">IFERROR(__xludf.DUMMYFUNCTION("GOOGLEFINANCE(""HKG:""&amp;text(A60,""0000""),""marketcap"")"),103571998093)</f>
        <v>103571998093</v>
      </c>
      <c r="H60" s="5">
        <f ca="1">IFERROR(__xludf.DUMMYFUNCTION("GOOGLEFINANCE(""HKG:""&amp;text(A60,""0000""),""price"")"),68.9)</f>
        <v>68.900000000000006</v>
      </c>
      <c r="I60">
        <f t="shared" ca="1" si="0"/>
        <v>1503222033.2801161</v>
      </c>
    </row>
    <row r="61" spans="1:9" ht="16.5" x14ac:dyDescent="0.25">
      <c r="A61" s="3">
        <v>2318</v>
      </c>
      <c r="B61" s="4" t="s">
        <v>91</v>
      </c>
      <c r="C61" s="3">
        <v>90</v>
      </c>
      <c r="D61" s="3">
        <v>2.2999999999999998</v>
      </c>
      <c r="E61" s="5">
        <v>39.549999999999997</v>
      </c>
      <c r="F61" s="5">
        <f ca="1">IFERROR(__xludf.DUMMYFUNCTION("GOOGLEFINANCE(""HKG:""&amp;text(A61,""0000""),""Shares"")"),7447576912)</f>
        <v>7447576912</v>
      </c>
      <c r="G61" s="3">
        <f ca="1">IFERROR(__xludf.DUMMYFUNCTION("GOOGLEFINANCE(""HKG:""&amp;text(A61,""0000""),""marketcap"")"),794188808755)</f>
        <v>794188808755</v>
      </c>
      <c r="H61" s="5">
        <f ca="1">IFERROR(__xludf.DUMMYFUNCTION("GOOGLEFINANCE(""HKG:""&amp;text(A61,""0000""),""price"")"),35.9)</f>
        <v>35.9</v>
      </c>
      <c r="I61">
        <f t="shared" ca="1" si="0"/>
        <v>22122250940.250698</v>
      </c>
    </row>
    <row r="62" spans="1:9" ht="16.5" x14ac:dyDescent="0.25">
      <c r="A62" s="3">
        <v>2319</v>
      </c>
      <c r="B62" s="4" t="s">
        <v>92</v>
      </c>
      <c r="C62" s="3">
        <v>80</v>
      </c>
      <c r="D62" s="3">
        <v>0.71</v>
      </c>
      <c r="E62" s="5">
        <v>25.95</v>
      </c>
      <c r="F62" s="5">
        <f ca="1">IFERROR(__xludf.DUMMYFUNCTION("GOOGLEFINANCE(""HKG:""&amp;text(A62,""0000""),""Shares"")"),3927504632)</f>
        <v>3927504632</v>
      </c>
      <c r="G62" s="3">
        <f ca="1">IFERROR(__xludf.DUMMYFUNCTION("GOOGLEFINANCE(""HKG:""&amp;text(A62,""0000""),""marketcap"")"),76580778717)</f>
        <v>76580778717</v>
      </c>
      <c r="H62" s="5">
        <f ca="1">IFERROR(__xludf.DUMMYFUNCTION("GOOGLEFINANCE(""HKG:""&amp;text(A62,""0000""),""price"")"),19.46)</f>
        <v>19.46</v>
      </c>
      <c r="I62">
        <f t="shared" ca="1" si="0"/>
        <v>3935291814.850976</v>
      </c>
    </row>
    <row r="63" spans="1:9" ht="16.5" x14ac:dyDescent="0.25">
      <c r="A63" s="3">
        <v>2331</v>
      </c>
      <c r="B63" s="4" t="s">
        <v>93</v>
      </c>
      <c r="C63" s="3">
        <v>90</v>
      </c>
      <c r="D63" s="3">
        <v>0.51</v>
      </c>
      <c r="E63" s="5">
        <v>24.85</v>
      </c>
      <c r="F63" s="5">
        <f ca="1">IFERROR(__xludf.DUMMYFUNCTION("GOOGLEFINANCE(""HKG:""&amp;text(A63,""0000""),""Shares"")"),2187544422)</f>
        <v>2187544422</v>
      </c>
      <c r="G63" s="3">
        <f ca="1">IFERROR(__xludf.DUMMYFUNCTION("GOOGLEFINANCE(""HKG:""&amp;text(A63,""0000""),""marketcap"")"),51379440351)</f>
        <v>51379440351</v>
      </c>
      <c r="H63" s="5">
        <f ca="1">IFERROR(__xludf.DUMMYFUNCTION("GOOGLEFINANCE(""HKG:""&amp;text(A63,""0000""),""price"")"),19.88)</f>
        <v>19.88</v>
      </c>
      <c r="I63">
        <f t="shared" ca="1" si="0"/>
        <v>2584478890.8953724</v>
      </c>
    </row>
    <row r="64" spans="1:9" ht="16.5" x14ac:dyDescent="0.25">
      <c r="A64" s="3">
        <v>2359</v>
      </c>
      <c r="B64" s="4" t="s">
        <v>94</v>
      </c>
      <c r="C64" s="3">
        <v>90</v>
      </c>
      <c r="D64" s="3">
        <v>0.3</v>
      </c>
      <c r="E64" s="5">
        <v>96.25</v>
      </c>
      <c r="F64" s="5" t="str">
        <f ca="1">IFERROR(__xludf.DUMMYFUNCTION("GOOGLEFINANCE(""HKG:""&amp;text(A64,""0000""),""Shares"")"),"#N/A")</f>
        <v>#N/A</v>
      </c>
      <c r="G64" s="3">
        <f ca="1">IFERROR(__xludf.DUMMYFUNCTION("GOOGLEFINANCE(""HKG:""&amp;text(A64,""0000""),""marketcap"")"),168991196440)</f>
        <v>168991196440</v>
      </c>
      <c r="H64" s="5">
        <f ca="1">IFERROR(__xludf.DUMMYFUNCTION("GOOGLEFINANCE(""HKG:""&amp;text(A64,""0000""),""price"")"),47.4)</f>
        <v>47.4</v>
      </c>
      <c r="I64">
        <f t="shared" ca="1" si="0"/>
        <v>3565215114.7679324</v>
      </c>
    </row>
    <row r="65" spans="1:9" ht="16.5" x14ac:dyDescent="0.25">
      <c r="A65" s="3">
        <v>2382</v>
      </c>
      <c r="B65" s="4" t="s">
        <v>22</v>
      </c>
      <c r="C65" s="3">
        <v>65</v>
      </c>
      <c r="D65" s="3">
        <v>0.47</v>
      </c>
      <c r="E65" s="5">
        <v>75.900000000000006</v>
      </c>
      <c r="F65" s="5">
        <f ca="1">IFERROR(__xludf.DUMMYFUNCTION("GOOGLEFINANCE(""HKG:""&amp;text(A65,""0000""),""Shares"")"),1096849700)</f>
        <v>1096849700</v>
      </c>
      <c r="G65" s="3">
        <f ca="1">IFERROR(__xludf.DUMMYFUNCTION("GOOGLEFINANCE(""HKG:""&amp;text(A65,""0000""),""marketcap"")"),54893537863)</f>
        <v>54893537863</v>
      </c>
      <c r="H65" s="5">
        <f ca="1">IFERROR(__xludf.DUMMYFUNCTION("GOOGLEFINANCE(""HKG:""&amp;text(A65,""0000""),""price"")"),50.05)</f>
        <v>50.05</v>
      </c>
      <c r="I65">
        <f t="shared" ca="1" si="0"/>
        <v>1096773983.2767234</v>
      </c>
    </row>
    <row r="66" spans="1:9" ht="16.5" x14ac:dyDescent="0.25">
      <c r="A66" s="3">
        <v>2388</v>
      </c>
      <c r="B66" s="4" t="s">
        <v>95</v>
      </c>
      <c r="C66" s="3">
        <v>35</v>
      </c>
      <c r="D66" s="3">
        <v>0.69</v>
      </c>
      <c r="E66" s="5">
        <v>21.6</v>
      </c>
      <c r="F66" s="5">
        <f ca="1">IFERROR(__xludf.DUMMYFUNCTION("GOOGLEFINANCE(""HKG:""&amp;text(A66,""0000""),""Shares"")"),10572780266)</f>
        <v>10572780266</v>
      </c>
      <c r="G66" s="3">
        <f ca="1">IFERROR(__xludf.DUMMYFUNCTION("GOOGLEFINANCE(""HKG:""&amp;text(A66,""0000""),""marketcap"")"),210186658726)</f>
        <v>210186658726</v>
      </c>
      <c r="H66" s="5">
        <f ca="1">IFERROR(__xludf.DUMMYFUNCTION("GOOGLEFINANCE(""HKG:""&amp;text(A66,""0000""),""price"")"),19.88)</f>
        <v>19.88</v>
      </c>
      <c r="I66">
        <f t="shared" ca="1" si="0"/>
        <v>10572769553.621731</v>
      </c>
    </row>
    <row r="67" spans="1:9" ht="16.5" x14ac:dyDescent="0.25">
      <c r="A67" s="3">
        <v>2628</v>
      </c>
      <c r="B67" s="4" t="s">
        <v>96</v>
      </c>
      <c r="C67" s="3">
        <v>100</v>
      </c>
      <c r="D67" s="3">
        <v>0.73</v>
      </c>
      <c r="E67" s="5">
        <v>11.3</v>
      </c>
      <c r="F67" s="5">
        <f ca="1">IFERROR(__xludf.DUMMYFUNCTION("GOOGLEFINANCE(""HKG:""&amp;text(A67,""0000""),""Shares"")"),7441175000)</f>
        <v>7441175000</v>
      </c>
      <c r="G67" s="3">
        <f ca="1">IFERROR(__xludf.DUMMYFUNCTION("GOOGLEFINANCE(""HKG:""&amp;text(A67,""0000""),""marketcap"")"),799261969714)</f>
        <v>799261969714</v>
      </c>
      <c r="H67" s="5">
        <f ca="1">IFERROR(__xludf.DUMMYFUNCTION("GOOGLEFINANCE(""HKG:""&amp;text(A67,""0000""),""price"")"),10.02)</f>
        <v>10.02</v>
      </c>
      <c r="I67">
        <f t="shared" ref="I67:I83" ca="1" si="1">G67/H67</f>
        <v>79766663644.111786</v>
      </c>
    </row>
    <row r="68" spans="1:9" ht="16.5" x14ac:dyDescent="0.25">
      <c r="A68" s="3">
        <v>2688</v>
      </c>
      <c r="B68" s="4" t="s">
        <v>97</v>
      </c>
      <c r="C68" s="3">
        <v>70</v>
      </c>
      <c r="D68" s="3">
        <v>0.42</v>
      </c>
      <c r="E68" s="5">
        <v>60.75</v>
      </c>
      <c r="F68" s="5">
        <f ca="1">IFERROR(__xludf.DUMMYFUNCTION("GOOGLEFINANCE(""HKG:""&amp;text(A68,""0000""),""Shares"")"),1125421258)</f>
        <v>1125421258</v>
      </c>
      <c r="G68" s="3">
        <f ca="1">IFERROR(__xludf.DUMMYFUNCTION("GOOGLEFINANCE(""HKG:""&amp;text(A68,""0000""),""marketcap"")"),69230603663)</f>
        <v>69230603663</v>
      </c>
      <c r="H68" s="5">
        <f ca="1">IFERROR(__xludf.DUMMYFUNCTION("GOOGLEFINANCE(""HKG:""&amp;text(A68,""0000""),""price"")"),61.2)</f>
        <v>61.2</v>
      </c>
      <c r="I68">
        <f t="shared" ca="1" si="1"/>
        <v>1131219014.1013072</v>
      </c>
    </row>
    <row r="69" spans="1:9" ht="16.5" x14ac:dyDescent="0.25">
      <c r="A69" s="3">
        <v>2899</v>
      </c>
      <c r="B69" s="4" t="s">
        <v>98</v>
      </c>
      <c r="C69" s="3">
        <v>95</v>
      </c>
      <c r="D69" s="3">
        <v>0.56999999999999995</v>
      </c>
      <c r="E69" s="5">
        <v>12.12</v>
      </c>
      <c r="F69" s="5">
        <f ca="1">IFERROR(__xludf.DUMMYFUNCTION("GOOGLEFINANCE(""HKG:""&amp;text(A69,""0000""),""Shares"")"),5736940000)</f>
        <v>5736940000</v>
      </c>
      <c r="G69" s="3">
        <f ca="1">IFERROR(__xludf.DUMMYFUNCTION("GOOGLEFINANCE(""HKG:""&amp;text(A69,""0000""),""marketcap"")"),374206789877)</f>
        <v>374206789877</v>
      </c>
      <c r="H69" s="5">
        <f ca="1">IFERROR(__xludf.DUMMYFUNCTION("GOOGLEFINANCE(""HKG:""&amp;text(A69,""0000""),""price"")"),12.74)</f>
        <v>12.74</v>
      </c>
      <c r="I69">
        <f t="shared" ca="1" si="1"/>
        <v>29372589472.291992</v>
      </c>
    </row>
    <row r="70" spans="1:9" ht="16.5" x14ac:dyDescent="0.25">
      <c r="A70" s="3">
        <v>3690</v>
      </c>
      <c r="B70" s="4" t="s">
        <v>23</v>
      </c>
      <c r="C70" s="3">
        <v>95</v>
      </c>
      <c r="D70" s="3">
        <v>5.84</v>
      </c>
      <c r="E70" s="5">
        <v>113.3</v>
      </c>
      <c r="F70" s="5">
        <f ca="1">IFERROR(__xludf.DUMMYFUNCTION("GOOGLEFINANCE(""HKG:""&amp;text(A70,""0000""),""Shares"")"),4756416130)</f>
        <v>4756416130</v>
      </c>
      <c r="G70" s="3">
        <f ca="1">IFERROR(__xludf.DUMMYFUNCTION("GOOGLEFINANCE(""HKG:""&amp;text(A70,""0000""),""marketcap"")"),480857531000)</f>
        <v>480857531000</v>
      </c>
      <c r="H70" s="5">
        <f ca="1">IFERROR(__xludf.DUMMYFUNCTION("GOOGLEFINANCE(""HKG:""&amp;text(A70,""0000""),""price"")"),77)</f>
        <v>77</v>
      </c>
      <c r="I70">
        <f t="shared" ca="1" si="1"/>
        <v>6244903000</v>
      </c>
    </row>
    <row r="71" spans="1:9" ht="16.5" x14ac:dyDescent="0.25">
      <c r="A71" s="3">
        <v>3692</v>
      </c>
      <c r="B71" s="4" t="s">
        <v>99</v>
      </c>
      <c r="C71" s="3">
        <v>20</v>
      </c>
      <c r="D71" s="3">
        <v>0.15</v>
      </c>
      <c r="E71" s="5">
        <v>14.46</v>
      </c>
      <c r="F71" s="5" t="str">
        <f ca="1">IFERROR(__xludf.DUMMYFUNCTION("GOOGLEFINANCE(""HKG:""&amp;text(A71,""0000""),""Shares"")"),"#N/A")</f>
        <v>#N/A</v>
      </c>
      <c r="G71" s="3">
        <f ca="1">IFERROR(__xludf.DUMMYFUNCTION("GOOGLEFINANCE(""HKG:""&amp;text(A71,""0000""),""marketcap"")"),79625544032)</f>
        <v>79625544032</v>
      </c>
      <c r="H71" s="5">
        <f ca="1">IFERROR(__xludf.DUMMYFUNCTION("GOOGLEFINANCE(""HKG:""&amp;text(A71,""0000""),""price"")"),13.42)</f>
        <v>13.42</v>
      </c>
      <c r="I71">
        <f t="shared" ca="1" si="1"/>
        <v>5933349033.6810732</v>
      </c>
    </row>
    <row r="72" spans="1:9" ht="16.5" x14ac:dyDescent="0.25">
      <c r="A72" s="3">
        <v>3968</v>
      </c>
      <c r="B72" s="4" t="s">
        <v>100</v>
      </c>
      <c r="C72" s="3">
        <v>85</v>
      </c>
      <c r="D72" s="3">
        <v>1.04</v>
      </c>
      <c r="E72" s="5">
        <v>30.7</v>
      </c>
      <c r="F72" s="5">
        <f ca="1">IFERROR(__xludf.DUMMYFUNCTION("GOOGLEFINANCE(""HKG:""&amp;text(A72,""0000""),""Shares"")"),4590901172)</f>
        <v>4590901172</v>
      </c>
      <c r="G72" s="3">
        <f ca="1">IFERROR(__xludf.DUMMYFUNCTION("GOOGLEFINANCE(""HKG:""&amp;text(A72,""0000""),""marketcap"")"),885954383992)</f>
        <v>885954383992</v>
      </c>
      <c r="H72" s="5">
        <f ca="1">IFERROR(__xludf.DUMMYFUNCTION("GOOGLEFINANCE(""HKG:""&amp;text(A72,""0000""),""price"")"),31.45)</f>
        <v>31.45</v>
      </c>
      <c r="I72">
        <f t="shared" ca="1" si="1"/>
        <v>28170250683.37043</v>
      </c>
    </row>
    <row r="73" spans="1:9" ht="16.5" x14ac:dyDescent="0.25">
      <c r="A73" s="3">
        <v>3988</v>
      </c>
      <c r="B73" s="4" t="s">
        <v>101</v>
      </c>
      <c r="C73" s="3">
        <v>100</v>
      </c>
      <c r="D73" s="3">
        <v>2.09</v>
      </c>
      <c r="E73" s="5">
        <v>2.88</v>
      </c>
      <c r="F73" s="5">
        <f ca="1">IFERROR(__xludf.DUMMYFUNCTION("GOOGLEFINANCE(""HKG:""&amp;text(A73,""0000""),""Shares"")"),83622276395)</f>
        <v>83622276395</v>
      </c>
      <c r="G73" s="3">
        <f ca="1">IFERROR(__xludf.DUMMYFUNCTION("GOOGLEFINANCE(""HKG:""&amp;text(A73,""0000""),""marketcap"")"),1469047266115)</f>
        <v>1469047266115</v>
      </c>
      <c r="H73" s="5">
        <f ca="1">IFERROR(__xludf.DUMMYFUNCTION("GOOGLEFINANCE(""HKG:""&amp;text(A73,""0000""),""price"")"),3.12)</f>
        <v>3.12</v>
      </c>
      <c r="I73">
        <f t="shared" ca="1" si="1"/>
        <v>470848482729.16663</v>
      </c>
    </row>
    <row r="74" spans="1:9" ht="16.5" x14ac:dyDescent="0.25">
      <c r="A74" s="3">
        <v>6098</v>
      </c>
      <c r="B74" s="4" t="s">
        <v>102</v>
      </c>
      <c r="C74" s="3">
        <v>65</v>
      </c>
      <c r="D74" s="3">
        <v>0.14000000000000001</v>
      </c>
      <c r="E74" s="5">
        <v>7.38</v>
      </c>
      <c r="F74" s="5">
        <f ca="1">IFERROR(__xludf.DUMMYFUNCTION("GOOGLEFINANCE(""HKG:""&amp;text(A74,""0000""),""Shares"")"),2500000000)</f>
        <v>2500000000</v>
      </c>
      <c r="G74" s="3">
        <f ca="1">IFERROR(__xludf.DUMMYFUNCTION("GOOGLEFINANCE(""HKG:""&amp;text(A74,""0000""),""marketcap"")"),19623527017)</f>
        <v>19623527017</v>
      </c>
      <c r="H74" s="5">
        <f ca="1">IFERROR(__xludf.DUMMYFUNCTION("GOOGLEFINANCE(""HKG:""&amp;text(A74,""0000""),""price"")"),5.87)</f>
        <v>5.87</v>
      </c>
      <c r="I74">
        <f t="shared" ca="1" si="1"/>
        <v>3343019934.7529812</v>
      </c>
    </row>
    <row r="75" spans="1:9" ht="16.5" x14ac:dyDescent="0.25">
      <c r="A75" s="3">
        <v>6618</v>
      </c>
      <c r="B75" s="4" t="s">
        <v>26</v>
      </c>
      <c r="C75" s="3">
        <v>35</v>
      </c>
      <c r="D75" s="3">
        <v>0.39</v>
      </c>
      <c r="E75" s="5">
        <v>40.35</v>
      </c>
      <c r="F75" s="5" t="str">
        <f ca="1">IFERROR(__xludf.DUMMYFUNCTION("GOOGLEFINANCE(""HKG:""&amp;text(A75,""0000""),""Shares"")"),"#N/A")</f>
        <v>#N/A</v>
      </c>
      <c r="G75" s="3">
        <f ca="1">IFERROR(__xludf.DUMMYFUNCTION("GOOGLEFINANCE(""HKG:""&amp;text(A75,""0000""),""marketcap"")"),96774466466)</f>
        <v>96774466466</v>
      </c>
      <c r="H75" s="5">
        <f ca="1">IFERROR(__xludf.DUMMYFUNCTION("GOOGLEFINANCE(""HKG:""&amp;text(A75,""0000""),""price"")"),30.35)</f>
        <v>30.35</v>
      </c>
      <c r="I75">
        <f t="shared" ca="1" si="1"/>
        <v>3188615040.0658979</v>
      </c>
    </row>
    <row r="76" spans="1:9" ht="16.5" x14ac:dyDescent="0.25">
      <c r="A76" s="3">
        <v>6690</v>
      </c>
      <c r="B76" s="4" t="s">
        <v>27</v>
      </c>
      <c r="C76" s="3">
        <v>85</v>
      </c>
      <c r="D76" s="3">
        <v>0.48</v>
      </c>
      <c r="E76" s="5">
        <v>22.95</v>
      </c>
      <c r="F76" s="5" t="str">
        <f ca="1">IFERROR(__xludf.DUMMYFUNCTION("GOOGLEFINANCE(""HKG:""&amp;text(A76,""0000""),""Shares"")"),"#N/A")</f>
        <v>#N/A</v>
      </c>
      <c r="G76" s="3">
        <f ca="1">IFERROR(__xludf.DUMMYFUNCTION("GOOGLEFINANCE(""HKG:""&amp;text(A76,""0000""),""marketcap"")"),239617614354)</f>
        <v>239617614354</v>
      </c>
      <c r="H76" s="5">
        <f ca="1">IFERROR(__xludf.DUMMYFUNCTION("GOOGLEFINANCE(""HKG:""&amp;text(A76,""0000""),""price"")"),24.2)</f>
        <v>24.2</v>
      </c>
      <c r="I76">
        <f t="shared" ca="1" si="1"/>
        <v>9901554312.1487598</v>
      </c>
    </row>
    <row r="77" spans="1:9" ht="16.5" x14ac:dyDescent="0.25">
      <c r="A77" s="3">
        <v>6862</v>
      </c>
      <c r="B77" s="4" t="s">
        <v>103</v>
      </c>
      <c r="C77" s="3">
        <v>30</v>
      </c>
      <c r="D77" s="3">
        <v>0.24</v>
      </c>
      <c r="E77" s="5">
        <v>16.8</v>
      </c>
      <c r="F77" s="5">
        <f ca="1">IFERROR(__xludf.DUMMYFUNCTION("GOOGLEFINANCE(""HKG:""&amp;text(A77,""0000""),""Shares"")"),5300000000)</f>
        <v>5300000000</v>
      </c>
      <c r="G77" s="3">
        <f ca="1">IFERROR(__xludf.DUMMYFUNCTION("GOOGLEFINANCE(""HKG:""&amp;text(A77,""0000""),""marketcap"")"),78370442338)</f>
        <v>78370442338</v>
      </c>
      <c r="H77" s="5">
        <f ca="1">IFERROR(__xludf.DUMMYFUNCTION("GOOGLEFINANCE(""HKG:""&amp;text(A77,""0000""),""price"")"),14.06)</f>
        <v>14.06</v>
      </c>
      <c r="I77">
        <f t="shared" ca="1" si="1"/>
        <v>5574000166.2873402</v>
      </c>
    </row>
    <row r="78" spans="1:9" ht="16.5" x14ac:dyDescent="0.25">
      <c r="A78" s="3">
        <v>9618</v>
      </c>
      <c r="B78" s="4" t="s">
        <v>28</v>
      </c>
      <c r="C78" s="3">
        <v>55</v>
      </c>
      <c r="D78" s="3">
        <v>1.61</v>
      </c>
      <c r="E78" s="5">
        <v>105.9</v>
      </c>
      <c r="F78" s="5" t="str">
        <f ca="1">IFERROR(__xludf.DUMMYFUNCTION("GOOGLEFINANCE(""HKG:""&amp;text(A78,""0000""),""Shares"")"),"#N/A")</f>
        <v>#N/A</v>
      </c>
      <c r="G78" s="3">
        <f ca="1">IFERROR(__xludf.DUMMYFUNCTION("GOOGLEFINANCE(""HKG:""&amp;text(A78,""0000""),""marketcap"")"),38734551487)</f>
        <v>38734551487</v>
      </c>
      <c r="H78" s="5">
        <f ca="1">IFERROR(__xludf.DUMMYFUNCTION("GOOGLEFINANCE(""HKG:""&amp;text(A78,""0000""),""price"")"),94.2)</f>
        <v>94.2</v>
      </c>
      <c r="I78">
        <f t="shared" ca="1" si="1"/>
        <v>411194814.08704883</v>
      </c>
    </row>
    <row r="79" spans="1:9" ht="16.5" x14ac:dyDescent="0.25">
      <c r="A79" s="3">
        <v>9633</v>
      </c>
      <c r="B79" s="4" t="s">
        <v>104</v>
      </c>
      <c r="C79" s="3">
        <v>40</v>
      </c>
      <c r="D79" s="3">
        <v>0.8</v>
      </c>
      <c r="E79" s="5">
        <v>46</v>
      </c>
      <c r="F79" s="5" t="str">
        <f ca="1">IFERROR(__xludf.DUMMYFUNCTION("GOOGLEFINANCE(""HKG:""&amp;text(A79,""0000""),""Shares"")"),"#N/A")</f>
        <v>#N/A</v>
      </c>
      <c r="G79" s="3">
        <f ca="1">IFERROR(__xludf.DUMMYFUNCTION("GOOGLEFINANCE(""HKG:""&amp;text(A79,""0000""),""marketcap"")"),499905155580)</f>
        <v>499905155580</v>
      </c>
      <c r="H79" s="5">
        <f ca="1">IFERROR(__xludf.DUMMYFUNCTION("GOOGLEFINANCE(""HKG:""&amp;text(A79,""0000""),""price"")"),44.45)</f>
        <v>44.45</v>
      </c>
      <c r="I79">
        <f t="shared" ca="1" si="1"/>
        <v>11246460193.025871</v>
      </c>
    </row>
    <row r="80" spans="1:9" ht="16.5" x14ac:dyDescent="0.25">
      <c r="A80" s="3">
        <v>9888</v>
      </c>
      <c r="B80" s="4" t="s">
        <v>33</v>
      </c>
      <c r="C80" s="3">
        <v>25</v>
      </c>
      <c r="D80" s="3">
        <v>0.67</v>
      </c>
      <c r="E80" s="5">
        <v>108.4</v>
      </c>
      <c r="F80" s="5" t="str">
        <f ca="1">IFERROR(__xludf.DUMMYFUNCTION("GOOGLEFINANCE(""HKG:""&amp;text(A80,""0000""),""Shares"")"),"#N/A")</f>
        <v>#N/A</v>
      </c>
      <c r="G80" s="3">
        <f ca="1">IFERROR(__xludf.DUMMYFUNCTION("GOOGLEFINANCE(""HKG:""&amp;text(A80,""0000""),""marketcap"")"),298230606997)</f>
        <v>298230606997</v>
      </c>
      <c r="H80" s="5">
        <f ca="1">IFERROR(__xludf.DUMMYFUNCTION("GOOGLEFINANCE(""HKG:""&amp;text(A80,""0000""),""price"")"),105.9)</f>
        <v>105.9</v>
      </c>
      <c r="I80">
        <f t="shared" ca="1" si="1"/>
        <v>2816153040.576015</v>
      </c>
    </row>
    <row r="81" spans="1:9" ht="16.5" x14ac:dyDescent="0.25">
      <c r="A81" s="3">
        <v>9961</v>
      </c>
      <c r="B81" s="4" t="s">
        <v>35</v>
      </c>
      <c r="C81" s="3">
        <v>20</v>
      </c>
      <c r="D81" s="3">
        <v>0.33</v>
      </c>
      <c r="E81" s="5">
        <v>278.2</v>
      </c>
      <c r="F81" s="5" t="str">
        <f ca="1">IFERROR(__xludf.DUMMYFUNCTION("GOOGLEFINANCE(""HKG:""&amp;text(A81,""0000""),""Shares"")"),"#N/A")</f>
        <v>#N/A</v>
      </c>
      <c r="G81" s="3">
        <f ca="1">IFERROR(__xludf.DUMMYFUNCTION("GOOGLEFINANCE(""HKG:""&amp;text(A81,""0000""),""marketcap"")"),226521108748)</f>
        <v>226521108748</v>
      </c>
      <c r="H81" s="5">
        <f ca="1">IFERROR(__xludf.DUMMYFUNCTION("GOOGLEFINANCE(""HKG:""&amp;text(A81,""0000""),""price"")"),331.4)</f>
        <v>331.4</v>
      </c>
      <c r="I81">
        <f t="shared" ca="1" si="1"/>
        <v>683527787.4109838</v>
      </c>
    </row>
    <row r="82" spans="1:9" ht="16.5" x14ac:dyDescent="0.25">
      <c r="A82" s="3">
        <v>9988</v>
      </c>
      <c r="B82" s="4" t="s">
        <v>36</v>
      </c>
      <c r="C82" s="3">
        <v>60</v>
      </c>
      <c r="D82" s="3">
        <v>8</v>
      </c>
      <c r="E82" s="5">
        <v>83.2</v>
      </c>
      <c r="F82" s="5" t="str">
        <f ca="1">IFERROR(__xludf.DUMMYFUNCTION("GOOGLEFINANCE(""HKG:""&amp;text(A82,""0000""),""Shares"")"),"#N/A")</f>
        <v>#N/A</v>
      </c>
      <c r="G82" s="3">
        <f ca="1">IFERROR(__xludf.DUMMYFUNCTION("GOOGLEFINANCE(""HKG:""&amp;text(A82,""0000""),""marketcap"")"),190553246502)</f>
        <v>190553246502</v>
      </c>
      <c r="H82" s="5">
        <f ca="1">IFERROR(__xludf.DUMMYFUNCTION("GOOGLEFINANCE(""HKG:""&amp;text(A82,""0000""),""price"")"),72.9)</f>
        <v>72.900000000000006</v>
      </c>
      <c r="I82">
        <f t="shared" ca="1" si="1"/>
        <v>2613899128.9711933</v>
      </c>
    </row>
    <row r="83" spans="1:9" ht="16.5" x14ac:dyDescent="0.25">
      <c r="A83" s="3">
        <v>9999</v>
      </c>
      <c r="B83" s="4" t="s">
        <v>37</v>
      </c>
      <c r="C83" s="3">
        <v>20</v>
      </c>
      <c r="D83" s="3">
        <v>1.08</v>
      </c>
      <c r="E83" s="5">
        <v>180</v>
      </c>
      <c r="F83" s="5" t="str">
        <f ca="1">IFERROR(__xludf.DUMMYFUNCTION("GOOGLEFINANCE(""HKG:""&amp;text(A83,""0000""),""Shares"")"),"#N/A")</f>
        <v>#N/A</v>
      </c>
      <c r="G83" s="3">
        <f ca="1">IFERROR(__xludf.DUMMYFUNCTION("GOOGLEFINANCE(""HKG:""&amp;text(A83,""0000""),""marketcap"")"),546094606753)</f>
        <v>546094606753</v>
      </c>
      <c r="H83" s="5">
        <f ca="1">IFERROR(__xludf.DUMMYFUNCTION("GOOGLEFINANCE(""HKG:""&amp;text(A83,""0000""),""price"")"),171.4)</f>
        <v>171.4</v>
      </c>
      <c r="I83">
        <f t="shared" ca="1" si="1"/>
        <v>3186082886.5402565</v>
      </c>
    </row>
  </sheetData>
  <phoneticPr fontId="4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</hyperlinks>
  <pageMargins left="0.7" right="0.7" top="0.75" bottom="0.75" header="0.3" footer="0.3"/>
  <pageSetup paperSize="9" orientation="portrait"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Tech</vt:lpstr>
      <vt:lpstr>HSI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JoeyLam</cp:lastModifiedBy>
  <dcterms:modified xsi:type="dcterms:W3CDTF">2024-02-21T14:46:23Z</dcterms:modified>
</cp:coreProperties>
</file>