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13\"/>
    </mc:Choice>
  </mc:AlternateContent>
  <xr:revisionPtr revIDLastSave="0" documentId="13_ncr:1_{A438B270-7D60-4B3E-A9A6-A07C99D23867}" xr6:coauthVersionLast="47" xr6:coauthVersionMax="47" xr10:uidLastSave="{00000000-0000-0000-0000-000000000000}"/>
  <bookViews>
    <workbookView xWindow="-120" yWindow="-120" windowWidth="29040" windowHeight="15720" firstSheet="2" activeTab="5" xr2:uid="{F0E5C9FA-8923-4A07-87AD-C8184F88F5AB}"/>
  </bookViews>
  <sheets>
    <sheet name="1-1" sheetId="1" r:id="rId1"/>
    <sheet name="工作表1" sheetId="2" r:id="rId2"/>
    <sheet name="工作表3" sheetId="4" r:id="rId3"/>
    <sheet name="工作表2" sheetId="5" r:id="rId4"/>
    <sheet name="SPC3.1_p.41" sheetId="6" r:id="rId5"/>
    <sheet name="SPC3.1_p.41(re" sheetId="7" r:id="rId6"/>
  </sheets>
  <definedNames>
    <definedName name="solver_adj" localSheetId="0" hidden="1">'1-1'!$Q$36:$S$36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'1-1'!$Q$36</definedName>
    <definedName name="solver_lhs2" localSheetId="0" hidden="1">'1-1'!$Q$36</definedName>
    <definedName name="solver_lhs3" localSheetId="0" hidden="1">'1-1'!$R$36</definedName>
    <definedName name="solver_lhs4" localSheetId="0" hidden="1">'1-1'!$R$36</definedName>
    <definedName name="solver_lhs5" localSheetId="0" hidden="1">'1-1'!$S$36</definedName>
    <definedName name="solver_lhs6" localSheetId="0" hidden="1">'1-1'!$S$36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'1-1'!$T$36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hs1" localSheetId="0" hidden="1">1</definedName>
    <definedName name="solver_rhs2" localSheetId="0" hidden="1">-1</definedName>
    <definedName name="solver_rhs3" localSheetId="0" hidden="1">1</definedName>
    <definedName name="solver_rhs4" localSheetId="0" hidden="1">-1</definedName>
    <definedName name="solver_rhs5" localSheetId="0" hidden="1">1</definedName>
    <definedName name="solver_rhs6" localSheetId="0" hidden="1">-1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22" i="7" l="1"/>
  <c r="AK22" i="7"/>
  <c r="AI23" i="7"/>
  <c r="AJ23" i="7"/>
  <c r="AI24" i="7"/>
  <c r="AJ24" i="7"/>
  <c r="AJ25" i="7"/>
  <c r="AK25" i="7"/>
  <c r="AI26" i="7"/>
  <c r="AK26" i="7"/>
  <c r="AI27" i="7"/>
  <c r="AJ27" i="7"/>
  <c r="AJ28" i="7"/>
  <c r="AK28" i="7"/>
  <c r="AI29" i="7"/>
  <c r="AK29" i="7"/>
  <c r="AJ30" i="7"/>
  <c r="AK30" i="7"/>
  <c r="AI31" i="7"/>
  <c r="AK31" i="7"/>
  <c r="AI32" i="7"/>
  <c r="AJ32" i="7"/>
  <c r="AI33" i="7"/>
  <c r="AK33" i="7"/>
  <c r="AI34" i="7"/>
  <c r="AJ34" i="7"/>
  <c r="AJ35" i="7"/>
  <c r="AK35" i="7"/>
  <c r="AI36" i="7"/>
  <c r="AK36" i="7"/>
  <c r="AI37" i="7"/>
  <c r="AJ37" i="7"/>
  <c r="AJ38" i="7"/>
  <c r="AK38" i="7"/>
  <c r="AJ21" i="7"/>
  <c r="AK21" i="7"/>
  <c r="AF22" i="7"/>
  <c r="AH22" i="7"/>
  <c r="AF23" i="7"/>
  <c r="AG23" i="7"/>
  <c r="AF24" i="7"/>
  <c r="AH24" i="7"/>
  <c r="AF25" i="7"/>
  <c r="AG25" i="7"/>
  <c r="AG26" i="7"/>
  <c r="AH26" i="7"/>
  <c r="AF27" i="7"/>
  <c r="AG27" i="7"/>
  <c r="AG28" i="7"/>
  <c r="AH28" i="7"/>
  <c r="AF29" i="7"/>
  <c r="AH29" i="7"/>
  <c r="AF30" i="7"/>
  <c r="AH30" i="7"/>
  <c r="AF31" i="7"/>
  <c r="AG31" i="7"/>
  <c r="AG32" i="7"/>
  <c r="AH32" i="7"/>
  <c r="AG33" i="7"/>
  <c r="AH33" i="7"/>
  <c r="AF34" i="7"/>
  <c r="AH34" i="7"/>
  <c r="AF35" i="7"/>
  <c r="AG35" i="7"/>
  <c r="AF36" i="7"/>
  <c r="AG36" i="7"/>
  <c r="AG37" i="7"/>
  <c r="AH37" i="7"/>
  <c r="AF38" i="7"/>
  <c r="AH38" i="7"/>
  <c r="AG21" i="7"/>
  <c r="AH21" i="7"/>
  <c r="AC22" i="7"/>
  <c r="AE22" i="7"/>
  <c r="AC23" i="7"/>
  <c r="AD23" i="7"/>
  <c r="AC24" i="7"/>
  <c r="AE24" i="7"/>
  <c r="AC25" i="7"/>
  <c r="AD25" i="7"/>
  <c r="AD26" i="7"/>
  <c r="AE26" i="7"/>
  <c r="AD27" i="7"/>
  <c r="AE27" i="7"/>
  <c r="AC28" i="7"/>
  <c r="AE28" i="7"/>
  <c r="AC29" i="7"/>
  <c r="AD29" i="7"/>
  <c r="AC30" i="7"/>
  <c r="AD30" i="7"/>
  <c r="AD31" i="7"/>
  <c r="AE31" i="7"/>
  <c r="AC32" i="7"/>
  <c r="AE32" i="7"/>
  <c r="AC33" i="7"/>
  <c r="AD33" i="7"/>
  <c r="AD34" i="7"/>
  <c r="AE34" i="7"/>
  <c r="AC35" i="7"/>
  <c r="AE35" i="7"/>
  <c r="AC36" i="7"/>
  <c r="AE36" i="7"/>
  <c r="AC37" i="7"/>
  <c r="AD37" i="7"/>
  <c r="AD38" i="7"/>
  <c r="AE38" i="7"/>
  <c r="AD21" i="7"/>
  <c r="AE21" i="7"/>
  <c r="Z22" i="7"/>
  <c r="AB22" i="7"/>
  <c r="Z23" i="7"/>
  <c r="AA23" i="7"/>
  <c r="AA24" i="7"/>
  <c r="AB24" i="7"/>
  <c r="Z25" i="7"/>
  <c r="AB25" i="7"/>
  <c r="Z26" i="7"/>
  <c r="AA26" i="7"/>
  <c r="Z27" i="7"/>
  <c r="AB27" i="7"/>
  <c r="Z28" i="7"/>
  <c r="AA28" i="7"/>
  <c r="AA29" i="7"/>
  <c r="AB29" i="7"/>
  <c r="Z30" i="7"/>
  <c r="AA30" i="7"/>
  <c r="AA31" i="7"/>
  <c r="AB31" i="7"/>
  <c r="Z32" i="7"/>
  <c r="AB32" i="7"/>
  <c r="Z33" i="7"/>
  <c r="AB33" i="7"/>
  <c r="Z34" i="7"/>
  <c r="AA34" i="7"/>
  <c r="AA35" i="7"/>
  <c r="AB35" i="7"/>
  <c r="Z36" i="7"/>
  <c r="AA36" i="7"/>
  <c r="AA37" i="7"/>
  <c r="AB37" i="7"/>
  <c r="Z38" i="7"/>
  <c r="AB38" i="7"/>
  <c r="AA21" i="7"/>
  <c r="AB21" i="7"/>
  <c r="W22" i="7"/>
  <c r="Y22" i="7"/>
  <c r="W23" i="7"/>
  <c r="X23" i="7"/>
  <c r="X24" i="7"/>
  <c r="Y24" i="7"/>
  <c r="W25" i="7"/>
  <c r="Y25" i="7"/>
  <c r="W26" i="7"/>
  <c r="X26" i="7"/>
  <c r="X27" i="7"/>
  <c r="Y27" i="7"/>
  <c r="W28" i="7"/>
  <c r="Y28" i="7"/>
  <c r="W29" i="7"/>
  <c r="X29" i="7"/>
  <c r="X30" i="7"/>
  <c r="Y30" i="7"/>
  <c r="W31" i="7"/>
  <c r="Y31" i="7"/>
  <c r="W32" i="7"/>
  <c r="X32" i="7"/>
  <c r="X33" i="7"/>
  <c r="Y33" i="7"/>
  <c r="W34" i="7"/>
  <c r="Y34" i="7"/>
  <c r="W35" i="7"/>
  <c r="X35" i="7"/>
  <c r="X36" i="7"/>
  <c r="Y36" i="7"/>
  <c r="W37" i="7"/>
  <c r="Y37" i="7"/>
  <c r="W38" i="7"/>
  <c r="X38" i="7"/>
  <c r="X21" i="7"/>
  <c r="Y21" i="7"/>
  <c r="U22" i="7"/>
  <c r="V22" i="7"/>
  <c r="U23" i="7"/>
  <c r="V23" i="7"/>
  <c r="T24" i="7"/>
  <c r="V24" i="7"/>
  <c r="T25" i="7"/>
  <c r="V25" i="7"/>
  <c r="T26" i="7"/>
  <c r="V26" i="7"/>
  <c r="T27" i="7"/>
  <c r="U27" i="7"/>
  <c r="T28" i="7"/>
  <c r="U28" i="7"/>
  <c r="T29" i="7"/>
  <c r="U29" i="7"/>
  <c r="U30" i="7"/>
  <c r="V30" i="7"/>
  <c r="U31" i="7"/>
  <c r="V31" i="7"/>
  <c r="U32" i="7"/>
  <c r="V32" i="7"/>
  <c r="T33" i="7"/>
  <c r="V33" i="7"/>
  <c r="T34" i="7"/>
  <c r="V34" i="7"/>
  <c r="T35" i="7"/>
  <c r="V35" i="7"/>
  <c r="T36" i="7"/>
  <c r="U36" i="7"/>
  <c r="T37" i="7"/>
  <c r="U37" i="7"/>
  <c r="T38" i="7"/>
  <c r="U38" i="7"/>
  <c r="U21" i="7"/>
  <c r="V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S36" i="7" s="1"/>
  <c r="AH36" i="7" s="1"/>
  <c r="Q37" i="7"/>
  <c r="Q38" i="7"/>
  <c r="R21" i="7"/>
  <c r="Q21" i="7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H82" i="6"/>
  <c r="H22" i="6"/>
  <c r="W63" i="6"/>
  <c r="X63" i="6"/>
  <c r="Y63" i="6"/>
  <c r="W64" i="6"/>
  <c r="X64" i="6"/>
  <c r="Y64" i="6"/>
  <c r="W65" i="6"/>
  <c r="X65" i="6"/>
  <c r="Y65" i="6"/>
  <c r="W66" i="6"/>
  <c r="X66" i="6"/>
  <c r="Y66" i="6"/>
  <c r="W67" i="6"/>
  <c r="X67" i="6"/>
  <c r="Y67" i="6"/>
  <c r="W68" i="6"/>
  <c r="X68" i="6"/>
  <c r="Y68" i="6"/>
  <c r="W69" i="6"/>
  <c r="X69" i="6"/>
  <c r="Y69" i="6"/>
  <c r="W70" i="6"/>
  <c r="X70" i="6"/>
  <c r="Y70" i="6"/>
  <c r="W71" i="6"/>
  <c r="X71" i="6"/>
  <c r="Y71" i="6"/>
  <c r="W72" i="6"/>
  <c r="X72" i="6"/>
  <c r="Y72" i="6"/>
  <c r="W73" i="6"/>
  <c r="X73" i="6"/>
  <c r="Y73" i="6"/>
  <c r="W74" i="6"/>
  <c r="X74" i="6"/>
  <c r="Y74" i="6"/>
  <c r="W75" i="6"/>
  <c r="X75" i="6"/>
  <c r="Y75" i="6"/>
  <c r="W76" i="6"/>
  <c r="X76" i="6"/>
  <c r="Y76" i="6"/>
  <c r="W77" i="6"/>
  <c r="X77" i="6"/>
  <c r="Y77" i="6"/>
  <c r="W78" i="6"/>
  <c r="X78" i="6"/>
  <c r="Y78" i="6"/>
  <c r="W79" i="6"/>
  <c r="X79" i="6"/>
  <c r="Y79" i="6"/>
  <c r="X62" i="6"/>
  <c r="Y62" i="6"/>
  <c r="W62" i="6"/>
  <c r="T63" i="6"/>
  <c r="U63" i="6"/>
  <c r="V63" i="6"/>
  <c r="T64" i="6"/>
  <c r="U64" i="6"/>
  <c r="V64" i="6"/>
  <c r="T65" i="6"/>
  <c r="U65" i="6"/>
  <c r="V65" i="6"/>
  <c r="T66" i="6"/>
  <c r="U66" i="6"/>
  <c r="V66" i="6"/>
  <c r="T67" i="6"/>
  <c r="U67" i="6"/>
  <c r="V67" i="6"/>
  <c r="T68" i="6"/>
  <c r="U68" i="6"/>
  <c r="V68" i="6"/>
  <c r="T69" i="6"/>
  <c r="U69" i="6"/>
  <c r="V69" i="6"/>
  <c r="T70" i="6"/>
  <c r="U70" i="6"/>
  <c r="V70" i="6"/>
  <c r="T71" i="6"/>
  <c r="U71" i="6"/>
  <c r="V71" i="6"/>
  <c r="T72" i="6"/>
  <c r="U72" i="6"/>
  <c r="V72" i="6"/>
  <c r="T73" i="6"/>
  <c r="U73" i="6"/>
  <c r="V73" i="6"/>
  <c r="T74" i="6"/>
  <c r="U74" i="6"/>
  <c r="V74" i="6"/>
  <c r="T75" i="6"/>
  <c r="U75" i="6"/>
  <c r="V75" i="6"/>
  <c r="T76" i="6"/>
  <c r="U76" i="6"/>
  <c r="V76" i="6"/>
  <c r="T77" i="6"/>
  <c r="U77" i="6"/>
  <c r="V77" i="6"/>
  <c r="T78" i="6"/>
  <c r="U78" i="6"/>
  <c r="V78" i="6"/>
  <c r="T79" i="6"/>
  <c r="U79" i="6"/>
  <c r="V79" i="6"/>
  <c r="U62" i="6"/>
  <c r="V62" i="6"/>
  <c r="T62" i="6"/>
  <c r="Q63" i="6"/>
  <c r="R63" i="6"/>
  <c r="S63" i="6"/>
  <c r="Q64" i="6"/>
  <c r="R64" i="6"/>
  <c r="S64" i="6"/>
  <c r="Q65" i="6"/>
  <c r="R65" i="6"/>
  <c r="S65" i="6"/>
  <c r="Q66" i="6"/>
  <c r="R66" i="6"/>
  <c r="S66" i="6"/>
  <c r="Q67" i="6"/>
  <c r="R67" i="6"/>
  <c r="S67" i="6"/>
  <c r="Q68" i="6"/>
  <c r="R68" i="6"/>
  <c r="S68" i="6"/>
  <c r="Q69" i="6"/>
  <c r="R69" i="6"/>
  <c r="S69" i="6"/>
  <c r="Q70" i="6"/>
  <c r="R70" i="6"/>
  <c r="S70" i="6"/>
  <c r="Q71" i="6"/>
  <c r="R71" i="6"/>
  <c r="S71" i="6"/>
  <c r="Q72" i="6"/>
  <c r="R72" i="6"/>
  <c r="S72" i="6"/>
  <c r="Q73" i="6"/>
  <c r="R73" i="6"/>
  <c r="S73" i="6"/>
  <c r="Q74" i="6"/>
  <c r="R74" i="6"/>
  <c r="S74" i="6"/>
  <c r="Q75" i="6"/>
  <c r="R75" i="6"/>
  <c r="S75" i="6"/>
  <c r="Q76" i="6"/>
  <c r="R76" i="6"/>
  <c r="S76" i="6"/>
  <c r="Q77" i="6"/>
  <c r="R77" i="6"/>
  <c r="S77" i="6"/>
  <c r="Q78" i="6"/>
  <c r="R78" i="6"/>
  <c r="S78" i="6"/>
  <c r="Q79" i="6"/>
  <c r="R79" i="6"/>
  <c r="S79" i="6"/>
  <c r="R62" i="6"/>
  <c r="S62" i="6"/>
  <c r="Q62" i="6"/>
  <c r="N63" i="6"/>
  <c r="O63" i="6"/>
  <c r="P63" i="6"/>
  <c r="N64" i="6"/>
  <c r="O64" i="6"/>
  <c r="P64" i="6"/>
  <c r="N65" i="6"/>
  <c r="O65" i="6"/>
  <c r="P65" i="6"/>
  <c r="N66" i="6"/>
  <c r="O66" i="6"/>
  <c r="P66" i="6"/>
  <c r="N67" i="6"/>
  <c r="O67" i="6"/>
  <c r="P67" i="6"/>
  <c r="N68" i="6"/>
  <c r="O68" i="6"/>
  <c r="P68" i="6"/>
  <c r="N69" i="6"/>
  <c r="O69" i="6"/>
  <c r="P69" i="6"/>
  <c r="N70" i="6"/>
  <c r="O70" i="6"/>
  <c r="P70" i="6"/>
  <c r="N71" i="6"/>
  <c r="O71" i="6"/>
  <c r="P71" i="6"/>
  <c r="N72" i="6"/>
  <c r="O72" i="6"/>
  <c r="P72" i="6"/>
  <c r="N73" i="6"/>
  <c r="O73" i="6"/>
  <c r="P73" i="6"/>
  <c r="N74" i="6"/>
  <c r="O74" i="6"/>
  <c r="P74" i="6"/>
  <c r="N75" i="6"/>
  <c r="O75" i="6"/>
  <c r="P75" i="6"/>
  <c r="N76" i="6"/>
  <c r="O76" i="6"/>
  <c r="P76" i="6"/>
  <c r="N77" i="6"/>
  <c r="O77" i="6"/>
  <c r="P77" i="6"/>
  <c r="N78" i="6"/>
  <c r="O78" i="6"/>
  <c r="P78" i="6"/>
  <c r="N79" i="6"/>
  <c r="O79" i="6"/>
  <c r="P79" i="6"/>
  <c r="O62" i="6"/>
  <c r="P62" i="6"/>
  <c r="N62" i="6"/>
  <c r="K63" i="6"/>
  <c r="L63" i="6"/>
  <c r="M63" i="6"/>
  <c r="K64" i="6"/>
  <c r="L64" i="6"/>
  <c r="M64" i="6"/>
  <c r="K65" i="6"/>
  <c r="L65" i="6"/>
  <c r="M65" i="6"/>
  <c r="K66" i="6"/>
  <c r="L66" i="6"/>
  <c r="M66" i="6"/>
  <c r="K67" i="6"/>
  <c r="L67" i="6"/>
  <c r="M67" i="6"/>
  <c r="K68" i="6"/>
  <c r="L68" i="6"/>
  <c r="M68" i="6"/>
  <c r="K69" i="6"/>
  <c r="L69" i="6"/>
  <c r="M69" i="6"/>
  <c r="K70" i="6"/>
  <c r="L70" i="6"/>
  <c r="M70" i="6"/>
  <c r="K71" i="6"/>
  <c r="L71" i="6"/>
  <c r="M71" i="6"/>
  <c r="K72" i="6"/>
  <c r="L72" i="6"/>
  <c r="M72" i="6"/>
  <c r="K73" i="6"/>
  <c r="L73" i="6"/>
  <c r="M73" i="6"/>
  <c r="K74" i="6"/>
  <c r="L74" i="6"/>
  <c r="M74" i="6"/>
  <c r="K75" i="6"/>
  <c r="L75" i="6"/>
  <c r="M75" i="6"/>
  <c r="K76" i="6"/>
  <c r="L76" i="6"/>
  <c r="M76" i="6"/>
  <c r="K77" i="6"/>
  <c r="L77" i="6"/>
  <c r="M77" i="6"/>
  <c r="K78" i="6"/>
  <c r="L78" i="6"/>
  <c r="M78" i="6"/>
  <c r="K79" i="6"/>
  <c r="L79" i="6"/>
  <c r="M79" i="6"/>
  <c r="L62" i="6"/>
  <c r="M62" i="6"/>
  <c r="K62" i="6"/>
  <c r="H63" i="6"/>
  <c r="I63" i="6"/>
  <c r="J63" i="6"/>
  <c r="H64" i="6"/>
  <c r="I64" i="6"/>
  <c r="J64" i="6"/>
  <c r="H65" i="6"/>
  <c r="I65" i="6"/>
  <c r="J65" i="6"/>
  <c r="H66" i="6"/>
  <c r="I66" i="6"/>
  <c r="J66" i="6"/>
  <c r="H67" i="6"/>
  <c r="I67" i="6"/>
  <c r="J67" i="6"/>
  <c r="H68" i="6"/>
  <c r="I68" i="6"/>
  <c r="J68" i="6"/>
  <c r="H69" i="6"/>
  <c r="I69" i="6"/>
  <c r="J69" i="6"/>
  <c r="H70" i="6"/>
  <c r="I70" i="6"/>
  <c r="J70" i="6"/>
  <c r="H71" i="6"/>
  <c r="I71" i="6"/>
  <c r="J71" i="6"/>
  <c r="H72" i="6"/>
  <c r="I72" i="6"/>
  <c r="J72" i="6"/>
  <c r="H73" i="6"/>
  <c r="I73" i="6"/>
  <c r="J73" i="6"/>
  <c r="H74" i="6"/>
  <c r="I74" i="6"/>
  <c r="J74" i="6"/>
  <c r="H75" i="6"/>
  <c r="I75" i="6"/>
  <c r="J75" i="6"/>
  <c r="H76" i="6"/>
  <c r="I76" i="6"/>
  <c r="J76" i="6"/>
  <c r="H77" i="6"/>
  <c r="I77" i="6"/>
  <c r="J77" i="6"/>
  <c r="H78" i="6"/>
  <c r="I78" i="6"/>
  <c r="J78" i="6"/>
  <c r="H79" i="6"/>
  <c r="I79" i="6"/>
  <c r="J79" i="6"/>
  <c r="I62" i="6"/>
  <c r="J62" i="6"/>
  <c r="H62" i="6"/>
  <c r="W43" i="6"/>
  <c r="X43" i="6"/>
  <c r="Y43" i="6"/>
  <c r="W44" i="6"/>
  <c r="X44" i="6"/>
  <c r="Y44" i="6"/>
  <c r="W45" i="6"/>
  <c r="X45" i="6"/>
  <c r="Y45" i="6"/>
  <c r="W46" i="6"/>
  <c r="X46" i="6"/>
  <c r="Y46" i="6"/>
  <c r="W47" i="6"/>
  <c r="X47" i="6"/>
  <c r="Y47" i="6"/>
  <c r="W48" i="6"/>
  <c r="X48" i="6"/>
  <c r="Y48" i="6"/>
  <c r="W49" i="6"/>
  <c r="X49" i="6"/>
  <c r="Y49" i="6"/>
  <c r="W50" i="6"/>
  <c r="X50" i="6"/>
  <c r="Y50" i="6"/>
  <c r="W51" i="6"/>
  <c r="X51" i="6"/>
  <c r="Y51" i="6"/>
  <c r="W52" i="6"/>
  <c r="X52" i="6"/>
  <c r="Y52" i="6"/>
  <c r="W53" i="6"/>
  <c r="X53" i="6"/>
  <c r="Y53" i="6"/>
  <c r="W54" i="6"/>
  <c r="X54" i="6"/>
  <c r="Y54" i="6"/>
  <c r="W55" i="6"/>
  <c r="X55" i="6"/>
  <c r="Y55" i="6"/>
  <c r="W56" i="6"/>
  <c r="X56" i="6"/>
  <c r="Y56" i="6"/>
  <c r="W57" i="6"/>
  <c r="X57" i="6"/>
  <c r="Y57" i="6"/>
  <c r="W58" i="6"/>
  <c r="X58" i="6"/>
  <c r="Y58" i="6"/>
  <c r="W59" i="6"/>
  <c r="X59" i="6"/>
  <c r="Y59" i="6"/>
  <c r="X42" i="6"/>
  <c r="Y42" i="6"/>
  <c r="W42" i="6"/>
  <c r="T43" i="6"/>
  <c r="U43" i="6"/>
  <c r="V43" i="6"/>
  <c r="T44" i="6"/>
  <c r="U44" i="6"/>
  <c r="V44" i="6"/>
  <c r="T45" i="6"/>
  <c r="U45" i="6"/>
  <c r="V45" i="6"/>
  <c r="T46" i="6"/>
  <c r="U46" i="6"/>
  <c r="V46" i="6"/>
  <c r="T47" i="6"/>
  <c r="U47" i="6"/>
  <c r="V47" i="6"/>
  <c r="T48" i="6"/>
  <c r="U48" i="6"/>
  <c r="V48" i="6"/>
  <c r="T49" i="6"/>
  <c r="U49" i="6"/>
  <c r="V49" i="6"/>
  <c r="T50" i="6"/>
  <c r="U50" i="6"/>
  <c r="V50" i="6"/>
  <c r="T51" i="6"/>
  <c r="U51" i="6"/>
  <c r="V51" i="6"/>
  <c r="T52" i="6"/>
  <c r="U52" i="6"/>
  <c r="V52" i="6"/>
  <c r="T53" i="6"/>
  <c r="U53" i="6"/>
  <c r="V53" i="6"/>
  <c r="T54" i="6"/>
  <c r="U54" i="6"/>
  <c r="V54" i="6"/>
  <c r="T55" i="6"/>
  <c r="U55" i="6"/>
  <c r="V55" i="6"/>
  <c r="T56" i="6"/>
  <c r="U56" i="6"/>
  <c r="V56" i="6"/>
  <c r="T57" i="6"/>
  <c r="U57" i="6"/>
  <c r="V57" i="6"/>
  <c r="T58" i="6"/>
  <c r="U58" i="6"/>
  <c r="V58" i="6"/>
  <c r="T59" i="6"/>
  <c r="U59" i="6"/>
  <c r="V59" i="6"/>
  <c r="U42" i="6"/>
  <c r="V42" i="6"/>
  <c r="T42" i="6"/>
  <c r="Q43" i="6"/>
  <c r="R43" i="6"/>
  <c r="S43" i="6"/>
  <c r="Q44" i="6"/>
  <c r="R44" i="6"/>
  <c r="S44" i="6"/>
  <c r="Q45" i="6"/>
  <c r="R45" i="6"/>
  <c r="S45" i="6"/>
  <c r="Q46" i="6"/>
  <c r="R46" i="6"/>
  <c r="S46" i="6"/>
  <c r="Q47" i="6"/>
  <c r="R47" i="6"/>
  <c r="S47" i="6"/>
  <c r="Q48" i="6"/>
  <c r="R48" i="6"/>
  <c r="S48" i="6"/>
  <c r="Q49" i="6"/>
  <c r="R49" i="6"/>
  <c r="S49" i="6"/>
  <c r="Q50" i="6"/>
  <c r="R50" i="6"/>
  <c r="S50" i="6"/>
  <c r="Q51" i="6"/>
  <c r="R51" i="6"/>
  <c r="S51" i="6"/>
  <c r="Q52" i="6"/>
  <c r="R52" i="6"/>
  <c r="S52" i="6"/>
  <c r="Q53" i="6"/>
  <c r="R53" i="6"/>
  <c r="S53" i="6"/>
  <c r="Q54" i="6"/>
  <c r="R54" i="6"/>
  <c r="S54" i="6"/>
  <c r="Q55" i="6"/>
  <c r="R55" i="6"/>
  <c r="S55" i="6"/>
  <c r="Q56" i="6"/>
  <c r="R56" i="6"/>
  <c r="S56" i="6"/>
  <c r="Q57" i="6"/>
  <c r="R57" i="6"/>
  <c r="S57" i="6"/>
  <c r="Q58" i="6"/>
  <c r="R58" i="6"/>
  <c r="S58" i="6"/>
  <c r="Q59" i="6"/>
  <c r="R59" i="6"/>
  <c r="S59" i="6"/>
  <c r="R42" i="6"/>
  <c r="S42" i="6"/>
  <c r="Q42" i="6"/>
  <c r="N43" i="6"/>
  <c r="O43" i="6"/>
  <c r="P43" i="6"/>
  <c r="N44" i="6"/>
  <c r="O44" i="6"/>
  <c r="P44" i="6"/>
  <c r="N45" i="6"/>
  <c r="O45" i="6"/>
  <c r="P45" i="6"/>
  <c r="N46" i="6"/>
  <c r="O46" i="6"/>
  <c r="P46" i="6"/>
  <c r="N47" i="6"/>
  <c r="O47" i="6"/>
  <c r="P47" i="6"/>
  <c r="N48" i="6"/>
  <c r="O48" i="6"/>
  <c r="P48" i="6"/>
  <c r="N49" i="6"/>
  <c r="O49" i="6"/>
  <c r="P49" i="6"/>
  <c r="N50" i="6"/>
  <c r="O50" i="6"/>
  <c r="P50" i="6"/>
  <c r="N51" i="6"/>
  <c r="O51" i="6"/>
  <c r="P51" i="6"/>
  <c r="N52" i="6"/>
  <c r="O52" i="6"/>
  <c r="P52" i="6"/>
  <c r="N53" i="6"/>
  <c r="O53" i="6"/>
  <c r="P53" i="6"/>
  <c r="N54" i="6"/>
  <c r="O54" i="6"/>
  <c r="P54" i="6"/>
  <c r="N55" i="6"/>
  <c r="O55" i="6"/>
  <c r="P55" i="6"/>
  <c r="N56" i="6"/>
  <c r="O56" i="6"/>
  <c r="P56" i="6"/>
  <c r="N57" i="6"/>
  <c r="O57" i="6"/>
  <c r="P57" i="6"/>
  <c r="N58" i="6"/>
  <c r="O58" i="6"/>
  <c r="P58" i="6"/>
  <c r="N59" i="6"/>
  <c r="O59" i="6"/>
  <c r="P59" i="6"/>
  <c r="O42" i="6"/>
  <c r="P42" i="6"/>
  <c r="N42" i="6"/>
  <c r="K43" i="6"/>
  <c r="L43" i="6"/>
  <c r="M43" i="6"/>
  <c r="K44" i="6"/>
  <c r="L44" i="6"/>
  <c r="M44" i="6"/>
  <c r="K45" i="6"/>
  <c r="L45" i="6"/>
  <c r="M45" i="6"/>
  <c r="K46" i="6"/>
  <c r="L46" i="6"/>
  <c r="M46" i="6"/>
  <c r="K47" i="6"/>
  <c r="L47" i="6"/>
  <c r="M47" i="6"/>
  <c r="K48" i="6"/>
  <c r="L48" i="6"/>
  <c r="M48" i="6"/>
  <c r="K49" i="6"/>
  <c r="L49" i="6"/>
  <c r="M49" i="6"/>
  <c r="K50" i="6"/>
  <c r="L50" i="6"/>
  <c r="M50" i="6"/>
  <c r="K51" i="6"/>
  <c r="L51" i="6"/>
  <c r="M51" i="6"/>
  <c r="K52" i="6"/>
  <c r="L52" i="6"/>
  <c r="M52" i="6"/>
  <c r="K53" i="6"/>
  <c r="L53" i="6"/>
  <c r="M53" i="6"/>
  <c r="K54" i="6"/>
  <c r="L54" i="6"/>
  <c r="M54" i="6"/>
  <c r="K55" i="6"/>
  <c r="L55" i="6"/>
  <c r="M55" i="6"/>
  <c r="K56" i="6"/>
  <c r="L56" i="6"/>
  <c r="M56" i="6"/>
  <c r="K57" i="6"/>
  <c r="L57" i="6"/>
  <c r="M57" i="6"/>
  <c r="K58" i="6"/>
  <c r="L58" i="6"/>
  <c r="M58" i="6"/>
  <c r="K59" i="6"/>
  <c r="L59" i="6"/>
  <c r="M59" i="6"/>
  <c r="L42" i="6"/>
  <c r="M42" i="6"/>
  <c r="K42" i="6"/>
  <c r="H43" i="6"/>
  <c r="I43" i="6"/>
  <c r="J43" i="6"/>
  <c r="H44" i="6"/>
  <c r="I44" i="6"/>
  <c r="J44" i="6"/>
  <c r="H45" i="6"/>
  <c r="I45" i="6"/>
  <c r="J45" i="6"/>
  <c r="H46" i="6"/>
  <c r="I46" i="6"/>
  <c r="J46" i="6"/>
  <c r="H47" i="6"/>
  <c r="I47" i="6"/>
  <c r="J47" i="6"/>
  <c r="H48" i="6"/>
  <c r="I48" i="6"/>
  <c r="J48" i="6"/>
  <c r="H49" i="6"/>
  <c r="I49" i="6"/>
  <c r="J49" i="6"/>
  <c r="H50" i="6"/>
  <c r="I50" i="6"/>
  <c r="J50" i="6"/>
  <c r="H51" i="6"/>
  <c r="I51" i="6"/>
  <c r="J51" i="6"/>
  <c r="H52" i="6"/>
  <c r="I52" i="6"/>
  <c r="J52" i="6"/>
  <c r="H53" i="6"/>
  <c r="I53" i="6"/>
  <c r="J53" i="6"/>
  <c r="H54" i="6"/>
  <c r="I54" i="6"/>
  <c r="J54" i="6"/>
  <c r="H55" i="6"/>
  <c r="I55" i="6"/>
  <c r="J55" i="6"/>
  <c r="H56" i="6"/>
  <c r="I56" i="6"/>
  <c r="J56" i="6"/>
  <c r="H57" i="6"/>
  <c r="I57" i="6"/>
  <c r="J57" i="6"/>
  <c r="H58" i="6"/>
  <c r="I58" i="6"/>
  <c r="J58" i="6"/>
  <c r="H59" i="6"/>
  <c r="I59" i="6"/>
  <c r="J59" i="6"/>
  <c r="I42" i="6"/>
  <c r="J42" i="6"/>
  <c r="H4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6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42" i="6"/>
  <c r="Y39" i="6"/>
  <c r="X39" i="6"/>
  <c r="V39" i="6"/>
  <c r="T39" i="6"/>
  <c r="S39" i="6"/>
  <c r="R39" i="6"/>
  <c r="P39" i="6"/>
  <c r="N39" i="6"/>
  <c r="L39" i="6"/>
  <c r="K39" i="6"/>
  <c r="I39" i="6"/>
  <c r="H39" i="6"/>
  <c r="F39" i="6"/>
  <c r="E39" i="6"/>
  <c r="G39" i="6" s="1"/>
  <c r="X38" i="6"/>
  <c r="W38" i="6"/>
  <c r="V38" i="6"/>
  <c r="U38" i="6"/>
  <c r="R38" i="6"/>
  <c r="Q38" i="6"/>
  <c r="P38" i="6"/>
  <c r="O38" i="6"/>
  <c r="M38" i="6"/>
  <c r="K38" i="6"/>
  <c r="I38" i="6"/>
  <c r="H38" i="6"/>
  <c r="F38" i="6"/>
  <c r="G38" i="6" s="1"/>
  <c r="E38" i="6"/>
  <c r="Y37" i="6"/>
  <c r="W37" i="6"/>
  <c r="U37" i="6"/>
  <c r="T37" i="6"/>
  <c r="S37" i="6"/>
  <c r="Q37" i="6"/>
  <c r="O37" i="6"/>
  <c r="N37" i="6"/>
  <c r="M37" i="6"/>
  <c r="L37" i="6"/>
  <c r="I37" i="6"/>
  <c r="H37" i="6"/>
  <c r="F37" i="6"/>
  <c r="E37" i="6"/>
  <c r="G37" i="6" s="1"/>
  <c r="Y36" i="6"/>
  <c r="X36" i="6"/>
  <c r="U36" i="6"/>
  <c r="T36" i="6"/>
  <c r="S36" i="6"/>
  <c r="Q36" i="6"/>
  <c r="P36" i="6"/>
  <c r="O36" i="6"/>
  <c r="L36" i="6"/>
  <c r="K36" i="6"/>
  <c r="J36" i="6"/>
  <c r="H36" i="6"/>
  <c r="G36" i="6"/>
  <c r="R36" i="6" s="1"/>
  <c r="F36" i="6"/>
  <c r="E36" i="6"/>
  <c r="X35" i="6"/>
  <c r="W35" i="6"/>
  <c r="V35" i="6"/>
  <c r="T35" i="6"/>
  <c r="S35" i="6"/>
  <c r="R35" i="6"/>
  <c r="O35" i="6"/>
  <c r="N35" i="6"/>
  <c r="M35" i="6"/>
  <c r="K35" i="6"/>
  <c r="J35" i="6"/>
  <c r="H35" i="6"/>
  <c r="F35" i="6"/>
  <c r="E35" i="6"/>
  <c r="G35" i="6" s="1"/>
  <c r="Y34" i="6"/>
  <c r="W34" i="6"/>
  <c r="V34" i="6"/>
  <c r="U34" i="6"/>
  <c r="R34" i="6"/>
  <c r="Q34" i="6"/>
  <c r="P34" i="6"/>
  <c r="N34" i="6"/>
  <c r="M34" i="6"/>
  <c r="L34" i="6"/>
  <c r="J34" i="6"/>
  <c r="H34" i="6"/>
  <c r="F34" i="6"/>
  <c r="E34" i="6"/>
  <c r="G34" i="6" s="1"/>
  <c r="X33" i="6"/>
  <c r="W33" i="6"/>
  <c r="V33" i="6"/>
  <c r="U33" i="6"/>
  <c r="S33" i="6"/>
  <c r="Q33" i="6"/>
  <c r="P33" i="6"/>
  <c r="N33" i="6"/>
  <c r="L33" i="6"/>
  <c r="K33" i="6"/>
  <c r="J33" i="6"/>
  <c r="I33" i="6"/>
  <c r="F33" i="6"/>
  <c r="G33" i="6" s="1"/>
  <c r="E33" i="6"/>
  <c r="Y32" i="6"/>
  <c r="W32" i="6"/>
  <c r="U32" i="6"/>
  <c r="T32" i="6"/>
  <c r="S32" i="6"/>
  <c r="R32" i="6"/>
  <c r="P32" i="6"/>
  <c r="O32" i="6"/>
  <c r="M32" i="6"/>
  <c r="K32" i="6"/>
  <c r="J32" i="6"/>
  <c r="I32" i="6"/>
  <c r="G32" i="6"/>
  <c r="V32" i="6" s="1"/>
  <c r="F32" i="6"/>
  <c r="E32" i="6"/>
  <c r="Y31" i="6"/>
  <c r="X31" i="6"/>
  <c r="V31" i="6"/>
  <c r="T31" i="6"/>
  <c r="R31" i="6"/>
  <c r="Q31" i="6"/>
  <c r="O31" i="6"/>
  <c r="N31" i="6"/>
  <c r="M31" i="6"/>
  <c r="L31" i="6"/>
  <c r="J31" i="6"/>
  <c r="I31" i="6"/>
  <c r="F31" i="6"/>
  <c r="E31" i="6"/>
  <c r="G31" i="6" s="1"/>
  <c r="Y30" i="6"/>
  <c r="W30" i="6"/>
  <c r="V30" i="6"/>
  <c r="T30" i="6"/>
  <c r="R30" i="6"/>
  <c r="Q30" i="6"/>
  <c r="P30" i="6"/>
  <c r="O30" i="6"/>
  <c r="L30" i="6"/>
  <c r="K30" i="6"/>
  <c r="I30" i="6"/>
  <c r="H30" i="6"/>
  <c r="F30" i="6"/>
  <c r="E30" i="6"/>
  <c r="G30" i="6" s="1"/>
  <c r="Y29" i="6"/>
  <c r="X29" i="6"/>
  <c r="V29" i="6"/>
  <c r="U29" i="6"/>
  <c r="S29" i="6"/>
  <c r="Q29" i="6"/>
  <c r="O29" i="6"/>
  <c r="N29" i="6"/>
  <c r="M29" i="6"/>
  <c r="K29" i="6"/>
  <c r="I29" i="6"/>
  <c r="H29" i="6"/>
  <c r="F29" i="6"/>
  <c r="E29" i="6"/>
  <c r="G29" i="6" s="1"/>
  <c r="X28" i="6"/>
  <c r="W28" i="6"/>
  <c r="U28" i="6"/>
  <c r="T28" i="6"/>
  <c r="S28" i="6"/>
  <c r="R28" i="6"/>
  <c r="P28" i="6"/>
  <c r="N28" i="6"/>
  <c r="M28" i="6"/>
  <c r="L28" i="6"/>
  <c r="K28" i="6"/>
  <c r="I28" i="6"/>
  <c r="H28" i="6"/>
  <c r="G28" i="6"/>
  <c r="J28" i="6" s="1"/>
  <c r="F28" i="6"/>
  <c r="E28" i="6"/>
  <c r="Y27" i="6"/>
  <c r="W27" i="6"/>
  <c r="V27" i="6"/>
  <c r="U27" i="6"/>
  <c r="S27" i="6"/>
  <c r="R27" i="6"/>
  <c r="O27" i="6"/>
  <c r="N27" i="6"/>
  <c r="L27" i="6"/>
  <c r="K27" i="6"/>
  <c r="J27" i="6"/>
  <c r="H27" i="6"/>
  <c r="F27" i="6"/>
  <c r="G27" i="6" s="1"/>
  <c r="E27" i="6"/>
  <c r="Y26" i="6"/>
  <c r="X26" i="6"/>
  <c r="U26" i="6"/>
  <c r="T26" i="6"/>
  <c r="R26" i="6"/>
  <c r="Q26" i="6"/>
  <c r="P26" i="6"/>
  <c r="N26" i="6"/>
  <c r="M26" i="6"/>
  <c r="K26" i="6"/>
  <c r="J26" i="6"/>
  <c r="H26" i="6"/>
  <c r="F26" i="6"/>
  <c r="E26" i="6"/>
  <c r="G26" i="6" s="1"/>
  <c r="X25" i="6"/>
  <c r="W25" i="6"/>
  <c r="V25" i="6"/>
  <c r="T25" i="6"/>
  <c r="S25" i="6"/>
  <c r="Q25" i="6"/>
  <c r="P25" i="6"/>
  <c r="O25" i="6"/>
  <c r="M25" i="6"/>
  <c r="L25" i="6"/>
  <c r="J25" i="6"/>
  <c r="H25" i="6"/>
  <c r="F25" i="6"/>
  <c r="G25" i="6" s="1"/>
  <c r="E25" i="6"/>
  <c r="X24" i="6"/>
  <c r="W24" i="6"/>
  <c r="U24" i="6"/>
  <c r="T24" i="6"/>
  <c r="R24" i="6"/>
  <c r="Q24" i="6"/>
  <c r="O24" i="6"/>
  <c r="N24" i="6"/>
  <c r="L24" i="6"/>
  <c r="K24" i="6"/>
  <c r="J24" i="6"/>
  <c r="I24" i="6"/>
  <c r="G24" i="6"/>
  <c r="V24" i="6" s="1"/>
  <c r="F24" i="6"/>
  <c r="E24" i="6"/>
  <c r="Y23" i="6"/>
  <c r="W23" i="6"/>
  <c r="V23" i="6"/>
  <c r="T23" i="6"/>
  <c r="S23" i="6"/>
  <c r="Q23" i="6"/>
  <c r="P23" i="6"/>
  <c r="N23" i="6"/>
  <c r="M23" i="6"/>
  <c r="K23" i="6"/>
  <c r="J23" i="6"/>
  <c r="I23" i="6"/>
  <c r="F23" i="6"/>
  <c r="E23" i="6"/>
  <c r="G23" i="6" s="1"/>
  <c r="Y22" i="6"/>
  <c r="X22" i="6"/>
  <c r="V22" i="6"/>
  <c r="U22" i="6"/>
  <c r="S22" i="6"/>
  <c r="R22" i="6"/>
  <c r="P22" i="6"/>
  <c r="O22" i="6"/>
  <c r="M22" i="6"/>
  <c r="L22" i="6"/>
  <c r="J22" i="6"/>
  <c r="I22" i="6"/>
  <c r="F22" i="6"/>
  <c r="E22" i="6"/>
  <c r="G22" i="6" s="1"/>
  <c r="G22" i="5"/>
  <c r="H22" i="5" s="1"/>
  <c r="I65" i="5"/>
  <c r="J65" i="5"/>
  <c r="K65" i="5"/>
  <c r="K68" i="5" s="1" a="1"/>
  <c r="K68" i="5" s="1"/>
  <c r="L65" i="5"/>
  <c r="L68" i="5" s="1" a="1"/>
  <c r="L68" i="5" s="1"/>
  <c r="M65" i="5"/>
  <c r="N65" i="5"/>
  <c r="O65" i="5"/>
  <c r="P65" i="5"/>
  <c r="Q65" i="5"/>
  <c r="R65" i="5"/>
  <c r="S65" i="5"/>
  <c r="T65" i="5"/>
  <c r="U65" i="5"/>
  <c r="U68" i="5" s="1" a="1"/>
  <c r="U68" i="5" s="1"/>
  <c r="V65" i="5"/>
  <c r="V68" i="5" s="1" a="1"/>
  <c r="V68" i="5" s="1"/>
  <c r="W65" i="5"/>
  <c r="X65" i="5"/>
  <c r="Y65" i="5"/>
  <c r="H65" i="5"/>
  <c r="H68" i="5" s="1" a="1"/>
  <c r="H68" i="5" s="1"/>
  <c r="J48" i="5"/>
  <c r="J49" i="5"/>
  <c r="J50" i="5"/>
  <c r="J51" i="5"/>
  <c r="J68" i="5" s="1" a="1"/>
  <c r="J68" i="5" s="1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R9" i="5"/>
  <c r="U7" i="5" s="1"/>
  <c r="M68" i="5" a="1"/>
  <c r="M68" i="5" s="1"/>
  <c r="N68" i="5" a="1"/>
  <c r="N68" i="5" s="1"/>
  <c r="O68" i="5" a="1"/>
  <c r="O68" i="5" s="1"/>
  <c r="P68" i="5" a="1"/>
  <c r="P68" i="5"/>
  <c r="Q68" i="5" a="1"/>
  <c r="Q68" i="5" s="1"/>
  <c r="R68" i="5" a="1"/>
  <c r="R68" i="5" s="1"/>
  <c r="S68" i="5" a="1"/>
  <c r="S68" i="5" s="1"/>
  <c r="T68" i="5" a="1"/>
  <c r="T68" i="5"/>
  <c r="W68" i="5" a="1"/>
  <c r="W68" i="5" s="1"/>
  <c r="X68" i="5" a="1"/>
  <c r="X68" i="5" s="1"/>
  <c r="Y68" i="5" a="1"/>
  <c r="Y68" i="5" s="1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Y47" i="5"/>
  <c r="X47" i="5"/>
  <c r="W47" i="5"/>
  <c r="V47" i="5"/>
  <c r="U47" i="5"/>
  <c r="T47" i="5"/>
  <c r="S47" i="5"/>
  <c r="Q47" i="5"/>
  <c r="R47" i="5"/>
  <c r="P47" i="5"/>
  <c r="O47" i="5"/>
  <c r="N47" i="5"/>
  <c r="M47" i="5"/>
  <c r="L47" i="5"/>
  <c r="K47" i="5"/>
  <c r="I47" i="5"/>
  <c r="J47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K10" i="5"/>
  <c r="K9" i="5"/>
  <c r="N6" i="5" s="1"/>
  <c r="S38" i="7" l="1"/>
  <c r="AA38" i="7" s="1"/>
  <c r="S37" i="7"/>
  <c r="AF37" i="7" s="1"/>
  <c r="S29" i="7"/>
  <c r="Y29" i="7" s="1"/>
  <c r="S35" i="7"/>
  <c r="AH35" i="7" s="1"/>
  <c r="S25" i="7"/>
  <c r="AI25" i="7" s="1"/>
  <c r="S31" i="7"/>
  <c r="X31" i="7" s="1"/>
  <c r="S23" i="7"/>
  <c r="AE23" i="7" s="1"/>
  <c r="S34" i="7"/>
  <c r="X34" i="7" s="1"/>
  <c r="S26" i="7"/>
  <c r="U26" i="7" s="1"/>
  <c r="S21" i="7"/>
  <c r="AC21" i="7" s="1"/>
  <c r="S32" i="7"/>
  <c r="AF32" i="7" s="1"/>
  <c r="S24" i="7"/>
  <c r="AG24" i="7" s="1"/>
  <c r="S30" i="7"/>
  <c r="AE30" i="7" s="1"/>
  <c r="S22" i="7"/>
  <c r="AG22" i="7" s="1"/>
  <c r="S28" i="7"/>
  <c r="AF28" i="7" s="1"/>
  <c r="S27" i="7"/>
  <c r="W27" i="7" s="1"/>
  <c r="AK27" i="7"/>
  <c r="AC27" i="7"/>
  <c r="V38" i="7"/>
  <c r="Y38" i="7"/>
  <c r="W30" i="7"/>
  <c r="W36" i="7"/>
  <c r="V36" i="7"/>
  <c r="AD36" i="7"/>
  <c r="AB36" i="7"/>
  <c r="AJ36" i="7"/>
  <c r="S33" i="7"/>
  <c r="AA33" i="7" s="1"/>
  <c r="N5" i="5"/>
  <c r="U3" i="5"/>
  <c r="N4" i="5"/>
  <c r="U8" i="5"/>
  <c r="R10" i="5"/>
  <c r="U6" i="5"/>
  <c r="N3" i="5"/>
  <c r="U5" i="5"/>
  <c r="N8" i="5"/>
  <c r="U4" i="5"/>
  <c r="N7" i="5"/>
  <c r="R23" i="6"/>
  <c r="X23" i="6"/>
  <c r="H23" i="6"/>
  <c r="O23" i="6"/>
  <c r="L23" i="6"/>
  <c r="U23" i="6"/>
  <c r="N38" i="6"/>
  <c r="T38" i="6"/>
  <c r="L38" i="6"/>
  <c r="J38" i="6"/>
  <c r="Y38" i="6"/>
  <c r="S38" i="6"/>
  <c r="Y33" i="6"/>
  <c r="H33" i="6"/>
  <c r="O33" i="6"/>
  <c r="M33" i="6"/>
  <c r="R33" i="6"/>
  <c r="T33" i="6"/>
  <c r="K37" i="6"/>
  <c r="R37" i="6"/>
  <c r="J37" i="6"/>
  <c r="X37" i="6"/>
  <c r="P37" i="6"/>
  <c r="V37" i="6"/>
  <c r="W22" i="6"/>
  <c r="N22" i="6"/>
  <c r="T22" i="6"/>
  <c r="K22" i="6"/>
  <c r="Q22" i="6"/>
  <c r="M27" i="6"/>
  <c r="T27" i="6"/>
  <c r="I27" i="6"/>
  <c r="X27" i="6"/>
  <c r="Q27" i="6"/>
  <c r="P27" i="6"/>
  <c r="L26" i="6"/>
  <c r="S26" i="6"/>
  <c r="I26" i="6"/>
  <c r="O26" i="6"/>
  <c r="W26" i="6"/>
  <c r="V26" i="6"/>
  <c r="S31" i="6"/>
  <c r="K31" i="6"/>
  <c r="P31" i="6"/>
  <c r="H31" i="6"/>
  <c r="W31" i="6"/>
  <c r="U31" i="6"/>
  <c r="U35" i="6"/>
  <c r="L35" i="6"/>
  <c r="Y35" i="6"/>
  <c r="Q35" i="6"/>
  <c r="I35" i="6"/>
  <c r="P35" i="6"/>
  <c r="X30" i="6"/>
  <c r="N30" i="6"/>
  <c r="U30" i="6"/>
  <c r="M30" i="6"/>
  <c r="S30" i="6"/>
  <c r="J30" i="6"/>
  <c r="J39" i="6"/>
  <c r="Q39" i="6"/>
  <c r="W39" i="6"/>
  <c r="O39" i="6"/>
  <c r="U39" i="6"/>
  <c r="M39" i="6"/>
  <c r="Y25" i="6"/>
  <c r="I25" i="6"/>
  <c r="N25" i="6"/>
  <c r="U25" i="6"/>
  <c r="K25" i="6"/>
  <c r="R25" i="6"/>
  <c r="T34" i="6"/>
  <c r="S34" i="6"/>
  <c r="K34" i="6"/>
  <c r="I34" i="6"/>
  <c r="X34" i="6"/>
  <c r="O34" i="6"/>
  <c r="T29" i="6"/>
  <c r="L29" i="6"/>
  <c r="R29" i="6"/>
  <c r="J29" i="6"/>
  <c r="P29" i="6"/>
  <c r="W29" i="6"/>
  <c r="X32" i="6"/>
  <c r="Y24" i="6"/>
  <c r="Q32" i="6"/>
  <c r="M36" i="6"/>
  <c r="H24" i="6"/>
  <c r="P24" i="6"/>
  <c r="H32" i="6"/>
  <c r="V28" i="6"/>
  <c r="N36" i="6"/>
  <c r="V36" i="6"/>
  <c r="S24" i="6"/>
  <c r="O28" i="6"/>
  <c r="W36" i="6"/>
  <c r="L32" i="6"/>
  <c r="M24" i="6"/>
  <c r="Q28" i="6"/>
  <c r="Y28" i="6"/>
  <c r="I36" i="6"/>
  <c r="N32" i="6"/>
  <c r="Z65" i="5"/>
  <c r="N67" i="5" s="1"/>
  <c r="Q5" i="5" s="1"/>
  <c r="S5" i="5" s="1"/>
  <c r="I68" i="5" a="1"/>
  <c r="I68" i="5" s="1"/>
  <c r="Z68" i="5" s="1"/>
  <c r="Q9" i="5" s="1"/>
  <c r="S9" i="5" s="1"/>
  <c r="H67" i="5"/>
  <c r="Q3" i="5" s="1"/>
  <c r="T67" i="5"/>
  <c r="Q7" i="5" s="1"/>
  <c r="S7" i="5" s="1"/>
  <c r="W23" i="5"/>
  <c r="Y23" i="5"/>
  <c r="W24" i="5"/>
  <c r="X24" i="5"/>
  <c r="W25" i="5"/>
  <c r="X25" i="5"/>
  <c r="X26" i="5"/>
  <c r="Y26" i="5"/>
  <c r="W27" i="5"/>
  <c r="Y27" i="5"/>
  <c r="W28" i="5"/>
  <c r="X28" i="5"/>
  <c r="X29" i="5"/>
  <c r="Y29" i="5"/>
  <c r="W30" i="5"/>
  <c r="Y30" i="5"/>
  <c r="X31" i="5"/>
  <c r="Y31" i="5"/>
  <c r="W32" i="5"/>
  <c r="Y32" i="5"/>
  <c r="W33" i="5"/>
  <c r="X33" i="5"/>
  <c r="W34" i="5"/>
  <c r="Y34" i="5"/>
  <c r="W35" i="5"/>
  <c r="X35" i="5"/>
  <c r="X36" i="5"/>
  <c r="Y36" i="5"/>
  <c r="W37" i="5"/>
  <c r="Y37" i="5"/>
  <c r="W38" i="5"/>
  <c r="X38" i="5"/>
  <c r="X39" i="5"/>
  <c r="Y39" i="5"/>
  <c r="Y22" i="5"/>
  <c r="X22" i="5"/>
  <c r="T23" i="5"/>
  <c r="V23" i="5"/>
  <c r="T24" i="5"/>
  <c r="U24" i="5"/>
  <c r="T25" i="5"/>
  <c r="V25" i="5"/>
  <c r="T26" i="5"/>
  <c r="U26" i="5"/>
  <c r="U27" i="5"/>
  <c r="V27" i="5"/>
  <c r="T28" i="5"/>
  <c r="U28" i="5"/>
  <c r="U29" i="5"/>
  <c r="V29" i="5"/>
  <c r="T30" i="5"/>
  <c r="V30" i="5"/>
  <c r="T31" i="5"/>
  <c r="V31" i="5"/>
  <c r="T32" i="5"/>
  <c r="U32" i="5"/>
  <c r="U33" i="5"/>
  <c r="V33" i="5"/>
  <c r="U34" i="5"/>
  <c r="V34" i="5"/>
  <c r="T35" i="5"/>
  <c r="V35" i="5"/>
  <c r="T36" i="5"/>
  <c r="U36" i="5"/>
  <c r="T37" i="5"/>
  <c r="U37" i="5"/>
  <c r="U38" i="5"/>
  <c r="V38" i="5"/>
  <c r="T39" i="5"/>
  <c r="V39" i="5"/>
  <c r="V22" i="5"/>
  <c r="U22" i="5"/>
  <c r="Q23" i="5"/>
  <c r="S23" i="5"/>
  <c r="Q24" i="5"/>
  <c r="R24" i="5"/>
  <c r="Q25" i="5"/>
  <c r="S25" i="5"/>
  <c r="Q26" i="5"/>
  <c r="R26" i="5"/>
  <c r="R27" i="5"/>
  <c r="S27" i="5"/>
  <c r="R28" i="5"/>
  <c r="S28" i="5"/>
  <c r="Q29" i="5"/>
  <c r="S29" i="5"/>
  <c r="Q30" i="5"/>
  <c r="R30" i="5"/>
  <c r="Q31" i="5"/>
  <c r="R31" i="5"/>
  <c r="R32" i="5"/>
  <c r="S32" i="5"/>
  <c r="Q33" i="5"/>
  <c r="S33" i="5"/>
  <c r="Q34" i="5"/>
  <c r="R34" i="5"/>
  <c r="R35" i="5"/>
  <c r="S35" i="5"/>
  <c r="Q36" i="5"/>
  <c r="S36" i="5"/>
  <c r="Q37" i="5"/>
  <c r="S37" i="5"/>
  <c r="Q38" i="5"/>
  <c r="R38" i="5"/>
  <c r="R39" i="5"/>
  <c r="S39" i="5"/>
  <c r="S22" i="5"/>
  <c r="R22" i="5"/>
  <c r="N23" i="5"/>
  <c r="P23" i="5"/>
  <c r="N24" i="5"/>
  <c r="O24" i="5"/>
  <c r="O25" i="5"/>
  <c r="P25" i="5"/>
  <c r="N26" i="5"/>
  <c r="P26" i="5"/>
  <c r="N27" i="5"/>
  <c r="O27" i="5"/>
  <c r="N28" i="5"/>
  <c r="P28" i="5"/>
  <c r="N29" i="5"/>
  <c r="O29" i="5"/>
  <c r="O30" i="5"/>
  <c r="P30" i="5"/>
  <c r="N31" i="5"/>
  <c r="O31" i="5"/>
  <c r="O32" i="5"/>
  <c r="P32" i="5"/>
  <c r="N33" i="5"/>
  <c r="P33" i="5"/>
  <c r="N34" i="5"/>
  <c r="P34" i="5"/>
  <c r="N35" i="5"/>
  <c r="O35" i="5"/>
  <c r="O36" i="5"/>
  <c r="P36" i="5"/>
  <c r="N37" i="5"/>
  <c r="O37" i="5"/>
  <c r="O38" i="5"/>
  <c r="P38" i="5"/>
  <c r="N39" i="5"/>
  <c r="P39" i="5"/>
  <c r="O22" i="5"/>
  <c r="P22" i="5"/>
  <c r="K23" i="5"/>
  <c r="M23" i="5"/>
  <c r="K24" i="5"/>
  <c r="L24" i="5"/>
  <c r="L25" i="5"/>
  <c r="M25" i="5"/>
  <c r="K26" i="5"/>
  <c r="M26" i="5"/>
  <c r="K27" i="5"/>
  <c r="L27" i="5"/>
  <c r="L28" i="5"/>
  <c r="M28" i="5"/>
  <c r="K29" i="5"/>
  <c r="M29" i="5"/>
  <c r="K30" i="5"/>
  <c r="L30" i="5"/>
  <c r="L31" i="5"/>
  <c r="M31" i="5"/>
  <c r="K32" i="5"/>
  <c r="M32" i="5"/>
  <c r="K33" i="5"/>
  <c r="L33" i="5"/>
  <c r="L34" i="5"/>
  <c r="M34" i="5"/>
  <c r="K35" i="5"/>
  <c r="M35" i="5"/>
  <c r="K36" i="5"/>
  <c r="L36" i="5"/>
  <c r="L37" i="5"/>
  <c r="M37" i="5"/>
  <c r="K38" i="5"/>
  <c r="M38" i="5"/>
  <c r="K39" i="5"/>
  <c r="L39" i="5"/>
  <c r="M22" i="5"/>
  <c r="L22" i="5"/>
  <c r="J23" i="5"/>
  <c r="J24" i="5"/>
  <c r="J25" i="5"/>
  <c r="J26" i="5"/>
  <c r="J27" i="5"/>
  <c r="J31" i="5"/>
  <c r="J32" i="5"/>
  <c r="J33" i="5"/>
  <c r="J34" i="5"/>
  <c r="J35" i="5"/>
  <c r="J36" i="5"/>
  <c r="I23" i="5"/>
  <c r="I24" i="5"/>
  <c r="I28" i="5"/>
  <c r="I29" i="5"/>
  <c r="I30" i="5"/>
  <c r="I31" i="5"/>
  <c r="I32" i="5"/>
  <c r="I33" i="5"/>
  <c r="I37" i="5"/>
  <c r="I38" i="5"/>
  <c r="I39" i="5"/>
  <c r="H25" i="5"/>
  <c r="H26" i="5"/>
  <c r="H27" i="5"/>
  <c r="H28" i="5"/>
  <c r="H29" i="5"/>
  <c r="H30" i="5"/>
  <c r="H34" i="5"/>
  <c r="H35" i="5"/>
  <c r="H36" i="5"/>
  <c r="H37" i="5"/>
  <c r="H38" i="5"/>
  <c r="H39" i="5"/>
  <c r="J22" i="5"/>
  <c r="I22" i="5"/>
  <c r="F39" i="5"/>
  <c r="E39" i="5"/>
  <c r="F38" i="5"/>
  <c r="E38" i="5"/>
  <c r="F37" i="5"/>
  <c r="E37" i="5"/>
  <c r="F36" i="5"/>
  <c r="E36" i="5"/>
  <c r="G36" i="5" s="1"/>
  <c r="N36" i="5" s="1"/>
  <c r="F35" i="5"/>
  <c r="E35" i="5"/>
  <c r="F34" i="5"/>
  <c r="E34" i="5"/>
  <c r="F33" i="5"/>
  <c r="E33" i="5"/>
  <c r="F32" i="5"/>
  <c r="E32" i="5"/>
  <c r="F31" i="5"/>
  <c r="E31" i="5"/>
  <c r="F30" i="5"/>
  <c r="E30" i="5"/>
  <c r="F29" i="5"/>
  <c r="E29" i="5"/>
  <c r="F28" i="5"/>
  <c r="E28" i="5"/>
  <c r="G28" i="5" s="1"/>
  <c r="Y28" i="5" s="1"/>
  <c r="F27" i="5"/>
  <c r="E27" i="5"/>
  <c r="F26" i="5"/>
  <c r="E26" i="5"/>
  <c r="F25" i="5"/>
  <c r="E25" i="5"/>
  <c r="F24" i="5"/>
  <c r="E24" i="5"/>
  <c r="G24" i="5" s="1"/>
  <c r="S24" i="5" s="1"/>
  <c r="F23" i="5"/>
  <c r="E23" i="5"/>
  <c r="F22" i="5"/>
  <c r="E22" i="5"/>
  <c r="Y16" i="4"/>
  <c r="Y17" i="4"/>
  <c r="Y18" i="4"/>
  <c r="Y19" i="4"/>
  <c r="Y20" i="4"/>
  <c r="Y15" i="4"/>
  <c r="Y3" i="4"/>
  <c r="X4" i="4"/>
  <c r="X5" i="4"/>
  <c r="X6" i="4"/>
  <c r="X7" i="4"/>
  <c r="X8" i="4"/>
  <c r="X3" i="4"/>
  <c r="X16" i="4"/>
  <c r="X17" i="4"/>
  <c r="X18" i="4"/>
  <c r="X19" i="4"/>
  <c r="X20" i="4"/>
  <c r="X15" i="4"/>
  <c r="W16" i="4"/>
  <c r="W17" i="4"/>
  <c r="W18" i="4"/>
  <c r="W19" i="4"/>
  <c r="W20" i="4"/>
  <c r="W21" i="4"/>
  <c r="W15" i="4"/>
  <c r="W4" i="4"/>
  <c r="W5" i="4"/>
  <c r="W6" i="4"/>
  <c r="W7" i="4"/>
  <c r="W8" i="4"/>
  <c r="W3" i="4"/>
  <c r="V21" i="4"/>
  <c r="V9" i="4"/>
  <c r="U22" i="4"/>
  <c r="U10" i="4"/>
  <c r="U21" i="4"/>
  <c r="P21" i="4"/>
  <c r="P3" i="4"/>
  <c r="Q3" i="4"/>
  <c r="R3" i="4"/>
  <c r="P4" i="4"/>
  <c r="Q4" i="4"/>
  <c r="R4" i="4"/>
  <c r="P5" i="4"/>
  <c r="Q5" i="4"/>
  <c r="R5" i="4"/>
  <c r="P6" i="4"/>
  <c r="Q6" i="4"/>
  <c r="R6" i="4"/>
  <c r="P7" i="4"/>
  <c r="Q7" i="4"/>
  <c r="R7" i="4"/>
  <c r="P8" i="4"/>
  <c r="Q8" i="4"/>
  <c r="R8" i="4"/>
  <c r="P9" i="4"/>
  <c r="Q9" i="4"/>
  <c r="R9" i="4"/>
  <c r="P10" i="4"/>
  <c r="Q10" i="4"/>
  <c r="R10" i="4"/>
  <c r="P11" i="4"/>
  <c r="Q11" i="4"/>
  <c r="R11" i="4"/>
  <c r="P12" i="4"/>
  <c r="Q12" i="4"/>
  <c r="R12" i="4"/>
  <c r="P13" i="4"/>
  <c r="Q13" i="4"/>
  <c r="R13" i="4"/>
  <c r="P14" i="4"/>
  <c r="Q14" i="4"/>
  <c r="R14" i="4"/>
  <c r="P15" i="4"/>
  <c r="Q15" i="4"/>
  <c r="R15" i="4"/>
  <c r="P16" i="4"/>
  <c r="Q16" i="4"/>
  <c r="R16" i="4"/>
  <c r="P17" i="4"/>
  <c r="Q17" i="4"/>
  <c r="R17" i="4"/>
  <c r="P18" i="4"/>
  <c r="Q18" i="4"/>
  <c r="R18" i="4"/>
  <c r="P19" i="4"/>
  <c r="Q19" i="4"/>
  <c r="R19" i="4"/>
  <c r="Q2" i="4"/>
  <c r="R2" i="4"/>
  <c r="P2" i="4"/>
  <c r="H24" i="4"/>
  <c r="N7" i="4"/>
  <c r="O3" i="4"/>
  <c r="O7" i="4" s="1"/>
  <c r="J34" i="4"/>
  <c r="I34" i="4"/>
  <c r="H34" i="4"/>
  <c r="J32" i="4"/>
  <c r="I32" i="4"/>
  <c r="H32" i="4"/>
  <c r="J30" i="4"/>
  <c r="I30" i="4"/>
  <c r="H30" i="4"/>
  <c r="J28" i="4"/>
  <c r="I28" i="4"/>
  <c r="H28" i="4"/>
  <c r="J26" i="4"/>
  <c r="I26" i="4"/>
  <c r="H26" i="4"/>
  <c r="J24" i="4"/>
  <c r="I24" i="4"/>
  <c r="J21" i="4"/>
  <c r="L19" i="4"/>
  <c r="K19" i="4"/>
  <c r="L18" i="4"/>
  <c r="K18" i="4"/>
  <c r="L17" i="4"/>
  <c r="K17" i="4"/>
  <c r="L16" i="4"/>
  <c r="K16" i="4"/>
  <c r="L15" i="4"/>
  <c r="K15" i="4"/>
  <c r="L14" i="4"/>
  <c r="K14" i="4"/>
  <c r="L13" i="4"/>
  <c r="K13" i="4"/>
  <c r="L12" i="4"/>
  <c r="K12" i="4"/>
  <c r="L11" i="4"/>
  <c r="K11" i="4"/>
  <c r="L10" i="4"/>
  <c r="K10" i="4"/>
  <c r="L9" i="4"/>
  <c r="K9" i="4"/>
  <c r="L8" i="4"/>
  <c r="K8" i="4"/>
  <c r="L7" i="4"/>
  <c r="K7" i="4"/>
  <c r="L6" i="4"/>
  <c r="K6" i="4"/>
  <c r="L5" i="4"/>
  <c r="K5" i="4"/>
  <c r="L4" i="4"/>
  <c r="K4" i="4"/>
  <c r="L3" i="4"/>
  <c r="K3" i="4"/>
  <c r="L2" i="4"/>
  <c r="K2" i="4"/>
  <c r="O32" i="2"/>
  <c r="O40" i="2" s="1"/>
  <c r="O48" i="2" s="1"/>
  <c r="O33" i="2"/>
  <c r="O41" i="2" s="1"/>
  <c r="O49" i="2" s="1"/>
  <c r="O34" i="2"/>
  <c r="O42" i="2" s="1"/>
  <c r="O50" i="2" s="1"/>
  <c r="O35" i="2"/>
  <c r="O43" i="2" s="1"/>
  <c r="O51" i="2" s="1"/>
  <c r="O36" i="2"/>
  <c r="O44" i="2" s="1"/>
  <c r="O52" i="2" s="1"/>
  <c r="O37" i="2"/>
  <c r="O45" i="2" s="1"/>
  <c r="O53" i="2" s="1"/>
  <c r="O38" i="2"/>
  <c r="O46" i="2"/>
  <c r="O54" i="2" s="1"/>
  <c r="O47" i="2"/>
  <c r="O39" i="2"/>
  <c r="O31" i="2"/>
  <c r="N32" i="2"/>
  <c r="N40" i="2" s="1"/>
  <c r="N48" i="2" s="1"/>
  <c r="N33" i="2"/>
  <c r="N41" i="2" s="1"/>
  <c r="N49" i="2" s="1"/>
  <c r="N34" i="2"/>
  <c r="N42" i="2" s="1"/>
  <c r="N50" i="2" s="1"/>
  <c r="N35" i="2"/>
  <c r="N43" i="2" s="1"/>
  <c r="N51" i="2" s="1"/>
  <c r="N36" i="2"/>
  <c r="N44" i="2" s="1"/>
  <c r="N52" i="2" s="1"/>
  <c r="N37" i="2"/>
  <c r="N45" i="2" s="1"/>
  <c r="N53" i="2" s="1"/>
  <c r="N38" i="2"/>
  <c r="N46" i="2"/>
  <c r="N54" i="2" s="1"/>
  <c r="N31" i="2"/>
  <c r="N39" i="2" s="1"/>
  <c r="N47" i="2" s="1"/>
  <c r="AG38" i="7" l="1"/>
  <c r="AA27" i="7"/>
  <c r="V28" i="7"/>
  <c r="AI38" i="7"/>
  <c r="AI28" i="7"/>
  <c r="AK23" i="7"/>
  <c r="AC38" i="7"/>
  <c r="AK34" i="7"/>
  <c r="AG29" i="7"/>
  <c r="V29" i="7"/>
  <c r="Z35" i="7"/>
  <c r="AJ29" i="7"/>
  <c r="AE29" i="7"/>
  <c r="V37" i="7"/>
  <c r="AC34" i="7"/>
  <c r="AH25" i="7"/>
  <c r="AD35" i="7"/>
  <c r="AK37" i="7"/>
  <c r="AA22" i="7"/>
  <c r="Z37" i="7"/>
  <c r="AG30" i="7"/>
  <c r="AE37" i="7"/>
  <c r="AB23" i="7"/>
  <c r="T30" i="7"/>
  <c r="AH23" i="7"/>
  <c r="AB30" i="7"/>
  <c r="Y23" i="7"/>
  <c r="X22" i="7"/>
  <c r="T22" i="7"/>
  <c r="Z29" i="7"/>
  <c r="X37" i="7"/>
  <c r="W24" i="7"/>
  <c r="Y35" i="7"/>
  <c r="AJ22" i="7"/>
  <c r="U34" i="7"/>
  <c r="AI35" i="7"/>
  <c r="T23" i="7"/>
  <c r="AI30" i="7"/>
  <c r="T31" i="7"/>
  <c r="AD24" i="7"/>
  <c r="AJ31" i="7"/>
  <c r="U24" i="7"/>
  <c r="AD28" i="7"/>
  <c r="Z31" i="7"/>
  <c r="AK24" i="7"/>
  <c r="AE25" i="7"/>
  <c r="AB28" i="7"/>
  <c r="AH31" i="7"/>
  <c r="Y32" i="7"/>
  <c r="X25" i="7"/>
  <c r="AC31" i="7"/>
  <c r="AF21" i="7"/>
  <c r="U25" i="7"/>
  <c r="U33" i="7"/>
  <c r="Z24" i="7"/>
  <c r="W21" i="7"/>
  <c r="AA25" i="7"/>
  <c r="U35" i="7"/>
  <c r="AE33" i="7"/>
  <c r="AD22" i="7"/>
  <c r="AF26" i="7"/>
  <c r="AD32" i="7"/>
  <c r="AK32" i="7"/>
  <c r="AB26" i="7"/>
  <c r="T32" i="7"/>
  <c r="AJ26" i="7"/>
  <c r="AB34" i="7"/>
  <c r="X28" i="7"/>
  <c r="T21" i="7"/>
  <c r="AC26" i="7"/>
  <c r="AG34" i="7"/>
  <c r="AJ33" i="7"/>
  <c r="AI21" i="7"/>
  <c r="Y26" i="7"/>
  <c r="AH27" i="7"/>
  <c r="W33" i="7"/>
  <c r="AA32" i="7"/>
  <c r="Z21" i="7"/>
  <c r="V27" i="7"/>
  <c r="AF33" i="7"/>
  <c r="T7" i="5"/>
  <c r="W67" i="5"/>
  <c r="Q8" i="5" s="1"/>
  <c r="S8" i="5" s="1"/>
  <c r="T8" i="5" s="1"/>
  <c r="T5" i="5"/>
  <c r="K67" i="5"/>
  <c r="Q4" i="5" s="1"/>
  <c r="S4" i="5" s="1"/>
  <c r="T4" i="5" s="1"/>
  <c r="Q67" i="5"/>
  <c r="Q6" i="5" s="1"/>
  <c r="S6" i="5" s="1"/>
  <c r="T6" i="5" s="1"/>
  <c r="S3" i="5"/>
  <c r="T3" i="5" s="1"/>
  <c r="K28" i="5"/>
  <c r="P24" i="5"/>
  <c r="V36" i="5"/>
  <c r="V28" i="5"/>
  <c r="W36" i="5"/>
  <c r="M24" i="5"/>
  <c r="Y24" i="5"/>
  <c r="I36" i="5"/>
  <c r="R36" i="5"/>
  <c r="J28" i="5"/>
  <c r="Q28" i="5"/>
  <c r="V24" i="5"/>
  <c r="O28" i="5"/>
  <c r="H24" i="5"/>
  <c r="M36" i="5"/>
  <c r="G23" i="5"/>
  <c r="G34" i="5"/>
  <c r="G38" i="5"/>
  <c r="G32" i="5"/>
  <c r="G29" i="5"/>
  <c r="G37" i="5"/>
  <c r="G30" i="5"/>
  <c r="G31" i="5"/>
  <c r="G35" i="5"/>
  <c r="G39" i="5"/>
  <c r="G26" i="5"/>
  <c r="G33" i="5"/>
  <c r="G27" i="5"/>
  <c r="G25" i="5"/>
  <c r="L28" i="4"/>
  <c r="U17" i="4" s="1"/>
  <c r="L24" i="4"/>
  <c r="U15" i="4" s="1"/>
  <c r="L34" i="4"/>
  <c r="U20" i="4" s="1"/>
  <c r="L30" i="4"/>
  <c r="U18" i="4" s="1"/>
  <c r="L32" i="4"/>
  <c r="U19" i="4" s="1"/>
  <c r="L26" i="4"/>
  <c r="U16" i="4" s="1"/>
  <c r="M8" i="4"/>
  <c r="M12" i="4"/>
  <c r="M5" i="4"/>
  <c r="M6" i="4"/>
  <c r="M3" i="4"/>
  <c r="M11" i="4"/>
  <c r="M2" i="4"/>
  <c r="M9" i="4"/>
  <c r="M13" i="4"/>
  <c r="M17" i="4"/>
  <c r="M10" i="4"/>
  <c r="M14" i="4"/>
  <c r="M18" i="4"/>
  <c r="M4" i="4"/>
  <c r="M19" i="4"/>
  <c r="M15" i="4"/>
  <c r="M7" i="4"/>
  <c r="M16" i="4"/>
  <c r="AG41" i="7" l="1"/>
  <c r="V41" i="7"/>
  <c r="AI41" i="7"/>
  <c r="AA41" i="7"/>
  <c r="AF41" i="7"/>
  <c r="AB41" i="7"/>
  <c r="AK41" i="7"/>
  <c r="AC41" i="7"/>
  <c r="AE41" i="7"/>
  <c r="Z41" i="7"/>
  <c r="X41" i="7"/>
  <c r="T41" i="7"/>
  <c r="AD41" i="7"/>
  <c r="AH41" i="7"/>
  <c r="Y41" i="7"/>
  <c r="AJ41" i="7"/>
  <c r="Q10" i="5"/>
  <c r="Y40" i="5"/>
  <c r="Y43" i="5" s="1" a="1"/>
  <c r="Y43" i="5" s="1"/>
  <c r="T29" i="5"/>
  <c r="L29" i="5"/>
  <c r="W29" i="5"/>
  <c r="J29" i="5"/>
  <c r="P29" i="5"/>
  <c r="R29" i="5"/>
  <c r="W26" i="5"/>
  <c r="V26" i="5"/>
  <c r="L26" i="5"/>
  <c r="I26" i="5"/>
  <c r="O26" i="5"/>
  <c r="S26" i="5"/>
  <c r="S40" i="5" s="1"/>
  <c r="S43" i="5" s="1" a="1"/>
  <c r="S43" i="5" s="1"/>
  <c r="Y33" i="5"/>
  <c r="M33" i="5"/>
  <c r="O33" i="5"/>
  <c r="H33" i="5"/>
  <c r="R33" i="5"/>
  <c r="T33" i="5"/>
  <c r="H32" i="5"/>
  <c r="V32" i="5"/>
  <c r="V40" i="5" s="1"/>
  <c r="V43" i="5" s="1" a="1"/>
  <c r="V43" i="5" s="1"/>
  <c r="X32" i="5"/>
  <c r="L32" i="5"/>
  <c r="N32" i="5"/>
  <c r="Q32" i="5"/>
  <c r="S38" i="5"/>
  <c r="T38" i="5"/>
  <c r="J38" i="5"/>
  <c r="L38" i="5"/>
  <c r="Y38" i="5"/>
  <c r="N38" i="5"/>
  <c r="W39" i="5"/>
  <c r="M39" i="5"/>
  <c r="O39" i="5"/>
  <c r="Q39" i="5"/>
  <c r="J39" i="5"/>
  <c r="U39" i="5"/>
  <c r="K34" i="5"/>
  <c r="X34" i="5"/>
  <c r="I34" i="5"/>
  <c r="O34" i="5"/>
  <c r="T34" i="5"/>
  <c r="S34" i="5"/>
  <c r="Q35" i="5"/>
  <c r="P35" i="5"/>
  <c r="U35" i="5"/>
  <c r="L35" i="5"/>
  <c r="I35" i="5"/>
  <c r="Y35" i="5"/>
  <c r="H23" i="5"/>
  <c r="X23" i="5"/>
  <c r="L23" i="5"/>
  <c r="O23" i="5"/>
  <c r="O40" i="5" s="1"/>
  <c r="O43" i="5" s="1" a="1"/>
  <c r="O43" i="5" s="1"/>
  <c r="R23" i="5"/>
  <c r="R40" i="5" s="1"/>
  <c r="R43" i="5" s="1" a="1"/>
  <c r="R43" i="5" s="1"/>
  <c r="U23" i="5"/>
  <c r="U40" i="5" s="1"/>
  <c r="U43" i="5" s="1" a="1"/>
  <c r="U43" i="5" s="1"/>
  <c r="Q27" i="5"/>
  <c r="P27" i="5"/>
  <c r="P40" i="5" s="1"/>
  <c r="P43" i="5" s="1" a="1"/>
  <c r="P43" i="5" s="1"/>
  <c r="T27" i="5"/>
  <c r="X27" i="5"/>
  <c r="M27" i="5"/>
  <c r="M40" i="5" s="1"/>
  <c r="M43" i="5" s="1" a="1"/>
  <c r="M43" i="5" s="1"/>
  <c r="I27" i="5"/>
  <c r="W31" i="5"/>
  <c r="K31" i="5"/>
  <c r="H31" i="5"/>
  <c r="P31" i="5"/>
  <c r="S31" i="5"/>
  <c r="U31" i="5"/>
  <c r="Q22" i="5"/>
  <c r="T22" i="5"/>
  <c r="T40" i="5" s="1"/>
  <c r="H40" i="5"/>
  <c r="W22" i="5"/>
  <c r="W40" i="5" s="1"/>
  <c r="K22" i="5"/>
  <c r="N22" i="5"/>
  <c r="S30" i="5"/>
  <c r="U30" i="5"/>
  <c r="J30" i="5"/>
  <c r="X30" i="5"/>
  <c r="N30" i="5"/>
  <c r="M30" i="5"/>
  <c r="Y25" i="5"/>
  <c r="N25" i="5"/>
  <c r="I25" i="5"/>
  <c r="R25" i="5"/>
  <c r="U25" i="5"/>
  <c r="K25" i="5"/>
  <c r="V37" i="5"/>
  <c r="K37" i="5"/>
  <c r="X37" i="5"/>
  <c r="J37" i="5"/>
  <c r="P37" i="5"/>
  <c r="R37" i="5"/>
  <c r="B24" i="4"/>
  <c r="A30" i="4"/>
  <c r="A24" i="4"/>
  <c r="A34" i="4"/>
  <c r="M21" i="4"/>
  <c r="F24" i="4" s="1"/>
  <c r="A28" i="4"/>
  <c r="A32" i="4"/>
  <c r="A26" i="4"/>
  <c r="C34" i="4"/>
  <c r="C28" i="4"/>
  <c r="C26" i="4"/>
  <c r="C32" i="4"/>
  <c r="C30" i="4"/>
  <c r="B28" i="4"/>
  <c r="B34" i="4"/>
  <c r="B32" i="4"/>
  <c r="B30" i="4"/>
  <c r="B26" i="4"/>
  <c r="C24" i="4"/>
  <c r="AL41" i="7" l="1"/>
  <c r="AC43" i="7" s="1"/>
  <c r="H43" i="5" a="1"/>
  <c r="H43" i="5" s="1"/>
  <c r="J40" i="5"/>
  <c r="J43" i="5" s="1" a="1"/>
  <c r="J43" i="5" s="1"/>
  <c r="I40" i="5"/>
  <c r="I43" i="5" s="1" a="1"/>
  <c r="I43" i="5" s="1"/>
  <c r="X40" i="5"/>
  <c r="X43" i="5" s="1" a="1"/>
  <c r="X43" i="5" s="1"/>
  <c r="W43" i="5" a="1"/>
  <c r="W43" i="5" s="1"/>
  <c r="T43" i="5" a="1"/>
  <c r="T43" i="5" s="1"/>
  <c r="Q40" i="5"/>
  <c r="L40" i="5"/>
  <c r="L43" i="5" s="1" a="1"/>
  <c r="L43" i="5" s="1"/>
  <c r="N40" i="5"/>
  <c r="K40" i="5"/>
  <c r="E26" i="4"/>
  <c r="U4" i="4" s="1"/>
  <c r="E24" i="4"/>
  <c r="E32" i="4"/>
  <c r="U7" i="4" s="1"/>
  <c r="E28" i="4"/>
  <c r="U5" i="4" s="1"/>
  <c r="E34" i="4"/>
  <c r="U8" i="4" s="1"/>
  <c r="U3" i="4"/>
  <c r="E30" i="4"/>
  <c r="U6" i="4" s="1"/>
  <c r="AF43" i="7" l="1"/>
  <c r="AI43" i="7"/>
  <c r="T43" i="7"/>
  <c r="Z43" i="7"/>
  <c r="W43" i="7"/>
  <c r="N43" i="5" a="1"/>
  <c r="N43" i="5" s="1"/>
  <c r="K43" i="5" a="1"/>
  <c r="K43" i="5" s="1"/>
  <c r="Q43" i="5" a="1"/>
  <c r="Q43" i="5" s="1"/>
  <c r="Z40" i="5"/>
  <c r="R55" i="1"/>
  <c r="Q13" i="2"/>
  <c r="Q14" i="2"/>
  <c r="Q15" i="2"/>
  <c r="Q16" i="2"/>
  <c r="Q17" i="2"/>
  <c r="Q18" i="2"/>
  <c r="Q12" i="2"/>
  <c r="Q11" i="2"/>
  <c r="T42" i="5" l="1"/>
  <c r="W42" i="5"/>
  <c r="J8" i="5" s="1"/>
  <c r="L8" i="5" s="1"/>
  <c r="H42" i="5"/>
  <c r="J3" i="5" s="1"/>
  <c r="Z43" i="5"/>
  <c r="J9" i="5" s="1"/>
  <c r="L9" i="5" s="1"/>
  <c r="Q42" i="5"/>
  <c r="J6" i="5" s="1"/>
  <c r="L6" i="5" s="1"/>
  <c r="N42" i="5"/>
  <c r="J5" i="5" s="1"/>
  <c r="L5" i="5" s="1"/>
  <c r="K42" i="5"/>
  <c r="J7" i="5"/>
  <c r="L7" i="5" s="1"/>
  <c r="J4" i="5"/>
  <c r="I29" i="2"/>
  <c r="L17" i="2"/>
  <c r="J17" i="2"/>
  <c r="L16" i="2"/>
  <c r="J16" i="2"/>
  <c r="L15" i="2"/>
  <c r="J15" i="2"/>
  <c r="L14" i="2"/>
  <c r="J14" i="2"/>
  <c r="L13" i="2"/>
  <c r="J13" i="2"/>
  <c r="L12" i="2"/>
  <c r="J12" i="2"/>
  <c r="L11" i="2"/>
  <c r="J11" i="2"/>
  <c r="F3" i="2"/>
  <c r="G3" i="2"/>
  <c r="P32" i="2" s="1"/>
  <c r="H3" i="2"/>
  <c r="I3" i="2"/>
  <c r="F4" i="2"/>
  <c r="G4" i="2"/>
  <c r="P33" i="2" s="1"/>
  <c r="H4" i="2"/>
  <c r="I4" i="2"/>
  <c r="F5" i="2"/>
  <c r="G5" i="2"/>
  <c r="P34" i="2" s="1"/>
  <c r="H5" i="2"/>
  <c r="I5" i="2"/>
  <c r="F6" i="2"/>
  <c r="G6" i="2"/>
  <c r="P35" i="2" s="1"/>
  <c r="H6" i="2"/>
  <c r="I6" i="2"/>
  <c r="F7" i="2"/>
  <c r="G7" i="2"/>
  <c r="P36" i="2" s="1"/>
  <c r="H7" i="2"/>
  <c r="I7" i="2"/>
  <c r="F8" i="2"/>
  <c r="G8" i="2"/>
  <c r="P37" i="2" s="1"/>
  <c r="H8" i="2"/>
  <c r="I8" i="2"/>
  <c r="F9" i="2"/>
  <c r="G9" i="2"/>
  <c r="P38" i="2" s="1"/>
  <c r="H9" i="2"/>
  <c r="I9" i="2"/>
  <c r="I2" i="2"/>
  <c r="H2" i="2"/>
  <c r="G2" i="2"/>
  <c r="P31" i="2" s="1"/>
  <c r="F2" i="2"/>
  <c r="A16" i="2"/>
  <c r="A14" i="2"/>
  <c r="Q9" i="2"/>
  <c r="O9" i="2"/>
  <c r="N9" i="2"/>
  <c r="C19" i="2" s="1"/>
  <c r="O8" i="2"/>
  <c r="N8" i="2"/>
  <c r="O7" i="2"/>
  <c r="N7" i="2"/>
  <c r="C17" i="2" s="1"/>
  <c r="Q6" i="2" a="1"/>
  <c r="Q6" i="2" s="1"/>
  <c r="O6" i="2"/>
  <c r="N6" i="2"/>
  <c r="D16" i="2" s="1"/>
  <c r="O5" i="2"/>
  <c r="N5" i="2"/>
  <c r="O4" i="2"/>
  <c r="N4" i="2"/>
  <c r="O3" i="2"/>
  <c r="N3" i="2"/>
  <c r="D13" i="2" s="1"/>
  <c r="Q2" i="2"/>
  <c r="O2" i="2"/>
  <c r="N2" i="2"/>
  <c r="D12" i="2" s="1"/>
  <c r="M8" i="5" l="1"/>
  <c r="L3" i="5"/>
  <c r="M3" i="5" s="1"/>
  <c r="J10" i="5"/>
  <c r="L13" i="5" s="1"/>
  <c r="L4" i="5"/>
  <c r="M4" i="5" s="1"/>
  <c r="M5" i="5"/>
  <c r="M6" i="5"/>
  <c r="M7" i="5"/>
  <c r="P47" i="2"/>
  <c r="P39" i="2"/>
  <c r="P50" i="2"/>
  <c r="P42" i="2"/>
  <c r="P51" i="2"/>
  <c r="P43" i="2"/>
  <c r="P46" i="2"/>
  <c r="P54" i="2"/>
  <c r="P53" i="2"/>
  <c r="P45" i="2"/>
  <c r="P49" i="2"/>
  <c r="P41" i="2"/>
  <c r="C25" i="2"/>
  <c r="C32" i="2"/>
  <c r="C31" i="2"/>
  <c r="P52" i="2"/>
  <c r="P44" i="2"/>
  <c r="P48" i="2"/>
  <c r="P40" i="2"/>
  <c r="L23" i="2"/>
  <c r="L24" i="2"/>
  <c r="L25" i="2"/>
  <c r="L26" i="2"/>
  <c r="L27" i="2"/>
  <c r="L28" i="2"/>
  <c r="L22" i="2"/>
  <c r="I30" i="2"/>
  <c r="O25" i="2"/>
  <c r="E19" i="2"/>
  <c r="D19" i="2"/>
  <c r="E16" i="2"/>
  <c r="C16" i="2"/>
  <c r="C13" i="2"/>
  <c r="E13" i="2"/>
  <c r="D14" i="2"/>
  <c r="E18" i="2"/>
  <c r="E12" i="2"/>
  <c r="E17" i="2"/>
  <c r="C15" i="2"/>
  <c r="Q4" i="2"/>
  <c r="D18" i="2"/>
  <c r="E15" i="2"/>
  <c r="C12" i="2"/>
  <c r="C18" i="2"/>
  <c r="D15" i="2"/>
  <c r="P6" i="2"/>
  <c r="P8" i="2" s="1"/>
  <c r="R8" i="2" s="1"/>
  <c r="D17" i="2"/>
  <c r="E14" i="2"/>
  <c r="C14" i="2"/>
  <c r="C26" i="2"/>
  <c r="J13" i="5" l="1"/>
  <c r="K13" i="5" s="1"/>
  <c r="F31" i="2"/>
  <c r="C33" i="2"/>
  <c r="F25" i="2"/>
  <c r="O26" i="2"/>
  <c r="R23" i="2"/>
  <c r="R24" i="2"/>
  <c r="R22" i="2"/>
  <c r="C27" i="2"/>
  <c r="F24" i="2"/>
  <c r="H13" i="2"/>
  <c r="H24" i="2" s="1"/>
  <c r="H14" i="2"/>
  <c r="H25" i="2" s="1"/>
  <c r="J25" i="2" s="1"/>
  <c r="H16" i="2"/>
  <c r="H27" i="2" s="1"/>
  <c r="J27" i="2" s="1"/>
  <c r="H17" i="2"/>
  <c r="H28" i="2" s="1"/>
  <c r="J28" i="2" s="1"/>
  <c r="H12" i="2"/>
  <c r="H23" i="2" s="1"/>
  <c r="J23" i="2" s="1"/>
  <c r="H15" i="2"/>
  <c r="H26" i="2" s="1"/>
  <c r="H11" i="2"/>
  <c r="H22" i="2" s="1"/>
  <c r="C21" i="2" a="1"/>
  <c r="C21" i="2" s="1"/>
  <c r="B32" i="2" s="1"/>
  <c r="A12" i="2"/>
  <c r="A21" i="2" s="1"/>
  <c r="B16" i="2"/>
  <c r="B13" i="2"/>
  <c r="B15" i="2"/>
  <c r="B18" i="2"/>
  <c r="B14" i="2"/>
  <c r="Q8" i="2"/>
  <c r="B17" i="2"/>
  <c r="B12" i="2"/>
  <c r="B19" i="2"/>
  <c r="D32" i="2" l="1"/>
  <c r="N22" i="2"/>
  <c r="J26" i="2"/>
  <c r="N24" i="2"/>
  <c r="P24" i="2" s="1"/>
  <c r="J24" i="2"/>
  <c r="N23" i="2"/>
  <c r="P23" i="2" s="1"/>
  <c r="B26" i="2"/>
  <c r="H18" i="2"/>
  <c r="H29" i="2" s="1"/>
  <c r="J22" i="2"/>
  <c r="B21" i="2" a="1"/>
  <c r="B21" i="2" s="1"/>
  <c r="B24" i="2"/>
  <c r="C57" i="1"/>
  <c r="D57" i="1"/>
  <c r="F55" i="1"/>
  <c r="F54" i="1"/>
  <c r="E55" i="1"/>
  <c r="E56" i="1"/>
  <c r="E54" i="1"/>
  <c r="D56" i="1"/>
  <c r="D55" i="1"/>
  <c r="C56" i="1"/>
  <c r="C55" i="1"/>
  <c r="C54" i="1"/>
  <c r="F51" i="1"/>
  <c r="L6" i="1" a="1"/>
  <c r="L6" i="1" s="1"/>
  <c r="B51" i="1"/>
  <c r="B25" i="2" l="1"/>
  <c r="D25" i="2" s="1"/>
  <c r="B31" i="2"/>
  <c r="D26" i="2"/>
  <c r="P22" i="2"/>
  <c r="E25" i="2"/>
  <c r="J29" i="2"/>
  <c r="Q24" i="2" s="1"/>
  <c r="N25" i="2"/>
  <c r="Q23" i="2"/>
  <c r="H30" i="2"/>
  <c r="H31" i="2" s="1"/>
  <c r="D21" i="2"/>
  <c r="E21" i="2" s="1"/>
  <c r="D24" i="2"/>
  <c r="E24" i="2" s="1"/>
  <c r="B27" i="2"/>
  <c r="E27" i="2" s="1"/>
  <c r="F27" i="2" s="1"/>
  <c r="D31" i="2" l="1"/>
  <c r="E31" i="2" s="1"/>
  <c r="B33" i="2"/>
  <c r="F34" i="2" s="1"/>
  <c r="B28" i="2"/>
  <c r="P25" i="2"/>
  <c r="K30" i="2"/>
  <c r="L30" i="2" s="1"/>
  <c r="K22" i="2"/>
  <c r="N26" i="2"/>
  <c r="Q26" i="2" s="1"/>
  <c r="R26" i="2" s="1"/>
  <c r="K27" i="2"/>
  <c r="K28" i="2"/>
  <c r="K25" i="2"/>
  <c r="K23" i="2"/>
  <c r="K24" i="2"/>
  <c r="Q22" i="2"/>
  <c r="K26" i="2"/>
  <c r="B34" i="2" l="1"/>
  <c r="D34" i="2" s="1"/>
  <c r="N27" i="2"/>
  <c r="E51" i="1" l="1"/>
  <c r="D51" i="1" a="1"/>
  <c r="D51" i="1" s="1"/>
  <c r="C51" i="1" a="1"/>
  <c r="C51" i="1" s="1"/>
  <c r="B46" i="1"/>
  <c r="B44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E42" i="1"/>
  <c r="F42" i="1"/>
  <c r="D42" i="1"/>
  <c r="C43" i="1"/>
  <c r="C44" i="1"/>
  <c r="C45" i="1"/>
  <c r="C46" i="1"/>
  <c r="C47" i="1"/>
  <c r="C48" i="1"/>
  <c r="C49" i="1"/>
  <c r="C42" i="1"/>
  <c r="B42" i="1"/>
  <c r="L4" i="1"/>
  <c r="Y19" i="1"/>
  <c r="Y20" i="1"/>
  <c r="Y21" i="1"/>
  <c r="Y22" i="1"/>
  <c r="Y23" i="1"/>
  <c r="Y24" i="1"/>
  <c r="Y25" i="1"/>
  <c r="Y18" i="1"/>
  <c r="Y11" i="1"/>
  <c r="Y12" i="1"/>
  <c r="Y13" i="1"/>
  <c r="Y14" i="1"/>
  <c r="Y15" i="1"/>
  <c r="Y16" i="1"/>
  <c r="Y17" i="1"/>
  <c r="Y10" i="1"/>
  <c r="Y3" i="1"/>
  <c r="Y4" i="1"/>
  <c r="Y5" i="1"/>
  <c r="Y6" i="1"/>
  <c r="Y7" i="1"/>
  <c r="Y8" i="1"/>
  <c r="Y9" i="1"/>
  <c r="Y2" i="1"/>
  <c r="S55" i="1"/>
  <c r="Q55" i="1"/>
  <c r="R52" i="1" l="1"/>
  <c r="R44" i="1"/>
  <c r="R45" i="1"/>
  <c r="R46" i="1"/>
  <c r="R47" i="1"/>
  <c r="R48" i="1"/>
  <c r="R49" i="1"/>
  <c r="R50" i="1"/>
  <c r="R43" i="1"/>
  <c r="Q52" i="1"/>
  <c r="Q44" i="1"/>
  <c r="Q45" i="1"/>
  <c r="Q46" i="1"/>
  <c r="Q47" i="1"/>
  <c r="Q48" i="1"/>
  <c r="Q49" i="1"/>
  <c r="Q50" i="1"/>
  <c r="Q43" i="1"/>
  <c r="L2" i="1"/>
  <c r="Z19" i="1"/>
  <c r="AA19" i="1"/>
  <c r="AB19" i="1"/>
  <c r="Z20" i="1"/>
  <c r="AA20" i="1"/>
  <c r="AB20" i="1"/>
  <c r="Z21" i="1"/>
  <c r="AA21" i="1"/>
  <c r="AB21" i="1"/>
  <c r="Z22" i="1"/>
  <c r="AA22" i="1"/>
  <c r="AB22" i="1"/>
  <c r="Z23" i="1"/>
  <c r="AA23" i="1"/>
  <c r="AB23" i="1"/>
  <c r="Z24" i="1"/>
  <c r="AA24" i="1"/>
  <c r="AB24" i="1"/>
  <c r="Z25" i="1"/>
  <c r="AA25" i="1"/>
  <c r="AB25" i="1"/>
  <c r="AA18" i="1"/>
  <c r="AB18" i="1"/>
  <c r="Z18" i="1"/>
  <c r="Z11" i="1"/>
  <c r="AA11" i="1"/>
  <c r="AB11" i="1"/>
  <c r="Z12" i="1"/>
  <c r="AA12" i="1"/>
  <c r="AB12" i="1"/>
  <c r="Z13" i="1"/>
  <c r="AA13" i="1"/>
  <c r="AB13" i="1"/>
  <c r="Z14" i="1"/>
  <c r="AA14" i="1"/>
  <c r="AB14" i="1"/>
  <c r="Z15" i="1"/>
  <c r="AA15" i="1"/>
  <c r="AB15" i="1"/>
  <c r="Z16" i="1"/>
  <c r="AA16" i="1"/>
  <c r="AB16" i="1"/>
  <c r="Z17" i="1"/>
  <c r="AA17" i="1"/>
  <c r="AB17" i="1"/>
  <c r="AA10" i="1"/>
  <c r="AB10" i="1"/>
  <c r="Z10" i="1"/>
  <c r="Z3" i="1"/>
  <c r="AA3" i="1"/>
  <c r="AB3" i="1"/>
  <c r="Z4" i="1"/>
  <c r="AA4" i="1"/>
  <c r="AB4" i="1"/>
  <c r="Z5" i="1"/>
  <c r="AA5" i="1"/>
  <c r="AB5" i="1"/>
  <c r="Z6" i="1"/>
  <c r="AA6" i="1"/>
  <c r="AB6" i="1"/>
  <c r="Z7" i="1"/>
  <c r="AA7" i="1"/>
  <c r="AB7" i="1"/>
  <c r="Z8" i="1"/>
  <c r="AA8" i="1"/>
  <c r="AB8" i="1"/>
  <c r="Z9" i="1"/>
  <c r="AA9" i="1"/>
  <c r="AB9" i="1"/>
  <c r="AA2" i="1"/>
  <c r="AB2" i="1"/>
  <c r="Z2" i="1"/>
  <c r="I35" i="1" l="1"/>
  <c r="AC25" i="1" s="1"/>
  <c r="D35" i="1"/>
  <c r="C35" i="1"/>
  <c r="B35" i="1"/>
  <c r="I34" i="1"/>
  <c r="AC24" i="1" s="1"/>
  <c r="D34" i="1"/>
  <c r="C34" i="1"/>
  <c r="B34" i="1"/>
  <c r="I33" i="1"/>
  <c r="AC23" i="1" s="1"/>
  <c r="D33" i="1"/>
  <c r="C33" i="1"/>
  <c r="B33" i="1"/>
  <c r="I32" i="1"/>
  <c r="AC22" i="1" s="1"/>
  <c r="D32" i="1"/>
  <c r="C32" i="1"/>
  <c r="B32" i="1"/>
  <c r="I31" i="1"/>
  <c r="AC21" i="1" s="1"/>
  <c r="D31" i="1"/>
  <c r="C31" i="1"/>
  <c r="B31" i="1"/>
  <c r="I30" i="1"/>
  <c r="AC20" i="1" s="1"/>
  <c r="D30" i="1"/>
  <c r="C30" i="1"/>
  <c r="B30" i="1"/>
  <c r="I29" i="1"/>
  <c r="AC19" i="1" s="1"/>
  <c r="D29" i="1"/>
  <c r="C29" i="1"/>
  <c r="B29" i="1"/>
  <c r="I28" i="1"/>
  <c r="AC18" i="1" s="1"/>
  <c r="D28" i="1"/>
  <c r="C28" i="1"/>
  <c r="B28" i="1"/>
  <c r="I27" i="1"/>
  <c r="AC17" i="1" s="1"/>
  <c r="D27" i="1"/>
  <c r="C27" i="1"/>
  <c r="B27" i="1"/>
  <c r="Q26" i="1"/>
  <c r="I26" i="1"/>
  <c r="AC16" i="1" s="1"/>
  <c r="D26" i="1"/>
  <c r="C26" i="1"/>
  <c r="B26" i="1"/>
  <c r="I25" i="1"/>
  <c r="AC15" i="1" s="1"/>
  <c r="D25" i="1"/>
  <c r="C25" i="1"/>
  <c r="F25" i="1" s="1"/>
  <c r="B25" i="1"/>
  <c r="G25" i="1" s="1"/>
  <c r="I24" i="1"/>
  <c r="AC14" i="1" s="1"/>
  <c r="D24" i="1"/>
  <c r="C24" i="1"/>
  <c r="B24" i="1"/>
  <c r="I23" i="1"/>
  <c r="AC13" i="1" s="1"/>
  <c r="D23" i="1"/>
  <c r="C23" i="1"/>
  <c r="F23" i="1" s="1"/>
  <c r="B23" i="1"/>
  <c r="E23" i="1" s="1"/>
  <c r="I22" i="1"/>
  <c r="AC12" i="1" s="1"/>
  <c r="D22" i="1"/>
  <c r="C22" i="1"/>
  <c r="B22" i="1"/>
  <c r="I21" i="1"/>
  <c r="AC11" i="1" s="1"/>
  <c r="D21" i="1"/>
  <c r="C21" i="1"/>
  <c r="B21" i="1"/>
  <c r="E21" i="1" s="1"/>
  <c r="I20" i="1"/>
  <c r="AC10" i="1" s="1"/>
  <c r="D20" i="1"/>
  <c r="C20" i="1"/>
  <c r="B20" i="1"/>
  <c r="I19" i="1"/>
  <c r="AC9" i="1" s="1"/>
  <c r="D19" i="1"/>
  <c r="C19" i="1"/>
  <c r="F19" i="1" s="1"/>
  <c r="B19" i="1"/>
  <c r="I18" i="1"/>
  <c r="AC8" i="1" s="1"/>
  <c r="D18" i="1"/>
  <c r="C18" i="1"/>
  <c r="B18" i="1"/>
  <c r="I17" i="1"/>
  <c r="AC7" i="1" s="1"/>
  <c r="D17" i="1"/>
  <c r="C17" i="1"/>
  <c r="F17" i="1" s="1"/>
  <c r="B17" i="1"/>
  <c r="E17" i="1" s="1"/>
  <c r="I16" i="1"/>
  <c r="AC6" i="1" s="1"/>
  <c r="D16" i="1"/>
  <c r="C16" i="1"/>
  <c r="B16" i="1"/>
  <c r="I15" i="1"/>
  <c r="AC5" i="1" s="1"/>
  <c r="D15" i="1"/>
  <c r="C15" i="1"/>
  <c r="F15" i="1" s="1"/>
  <c r="B15" i="1"/>
  <c r="I14" i="1"/>
  <c r="AC4" i="1" s="1"/>
  <c r="D14" i="1"/>
  <c r="C14" i="1"/>
  <c r="B14" i="1"/>
  <c r="I13" i="1"/>
  <c r="AC3" i="1" s="1"/>
  <c r="D13" i="1"/>
  <c r="C13" i="1"/>
  <c r="F13" i="1" s="1"/>
  <c r="B13" i="1"/>
  <c r="I12" i="1"/>
  <c r="AC2" i="1" s="1"/>
  <c r="D12" i="1"/>
  <c r="C12" i="1"/>
  <c r="B12" i="1"/>
  <c r="L9" i="1"/>
  <c r="L25" i="1" s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E12" i="1" l="1"/>
  <c r="E14" i="1"/>
  <c r="E18" i="1"/>
  <c r="E20" i="1"/>
  <c r="E22" i="1"/>
  <c r="AG5" i="1"/>
  <c r="AG11" i="1"/>
  <c r="AG4" i="1"/>
  <c r="AG24" i="1"/>
  <c r="H29" i="1"/>
  <c r="AD24" i="1"/>
  <c r="AD16" i="1"/>
  <c r="AG16" i="1" s="1"/>
  <c r="AD8" i="1"/>
  <c r="AG8" i="1" s="1"/>
  <c r="AD25" i="1"/>
  <c r="AG25" i="1" s="1"/>
  <c r="AD17" i="1"/>
  <c r="AG17" i="1" s="1"/>
  <c r="AD9" i="1"/>
  <c r="AG9" i="1" s="1"/>
  <c r="F27" i="1"/>
  <c r="F29" i="1"/>
  <c r="F31" i="1"/>
  <c r="F33" i="1"/>
  <c r="F35" i="1"/>
  <c r="AD20" i="1"/>
  <c r="AG20" i="1" s="1"/>
  <c r="AD12" i="1"/>
  <c r="AG12" i="1" s="1"/>
  <c r="AD4" i="1"/>
  <c r="AD21" i="1"/>
  <c r="AG21" i="1" s="1"/>
  <c r="AD13" i="1"/>
  <c r="AG13" i="1" s="1"/>
  <c r="AD5" i="1"/>
  <c r="AD18" i="1"/>
  <c r="AG18" i="1" s="1"/>
  <c r="AD10" i="1"/>
  <c r="AG10" i="1" s="1"/>
  <c r="AD2" i="1"/>
  <c r="AG2" i="1" s="1"/>
  <c r="AD22" i="1"/>
  <c r="AG22" i="1" s="1"/>
  <c r="AD14" i="1"/>
  <c r="AG14" i="1" s="1"/>
  <c r="AD6" i="1"/>
  <c r="AG6" i="1" s="1"/>
  <c r="AD19" i="1"/>
  <c r="AG19" i="1" s="1"/>
  <c r="AD11" i="1"/>
  <c r="AD3" i="1"/>
  <c r="AG3" i="1" s="1"/>
  <c r="AD23" i="1"/>
  <c r="AG23" i="1" s="1"/>
  <c r="AD15" i="1"/>
  <c r="AG15" i="1" s="1"/>
  <c r="AD7" i="1"/>
  <c r="AG7" i="1" s="1"/>
  <c r="F30" i="1"/>
  <c r="F34" i="1"/>
  <c r="G29" i="1"/>
  <c r="F14" i="1"/>
  <c r="F26" i="1"/>
  <c r="G35" i="1"/>
  <c r="E30" i="1"/>
  <c r="E34" i="1"/>
  <c r="H25" i="1"/>
  <c r="H27" i="1"/>
  <c r="E29" i="1"/>
  <c r="G28" i="1"/>
  <c r="H26" i="1"/>
  <c r="E28" i="1"/>
  <c r="G17" i="1"/>
  <c r="H17" i="1"/>
  <c r="H14" i="1"/>
  <c r="H16" i="1"/>
  <c r="F18" i="1"/>
  <c r="F20" i="1"/>
  <c r="G26" i="1"/>
  <c r="H31" i="1"/>
  <c r="H33" i="1"/>
  <c r="G24" i="1"/>
  <c r="H35" i="1"/>
  <c r="G15" i="1"/>
  <c r="G34" i="1"/>
  <c r="H34" i="1"/>
  <c r="G16" i="1"/>
  <c r="G20" i="1"/>
  <c r="G23" i="1"/>
  <c r="G30" i="1"/>
  <c r="E32" i="1"/>
  <c r="G33" i="1"/>
  <c r="K6" i="1"/>
  <c r="K8" i="1" s="1"/>
  <c r="M8" i="1" s="1"/>
  <c r="H21" i="1"/>
  <c r="H12" i="1"/>
  <c r="E33" i="1"/>
  <c r="E26" i="1"/>
  <c r="E13" i="1"/>
  <c r="G14" i="1"/>
  <c r="F16" i="1"/>
  <c r="H19" i="1"/>
  <c r="H20" i="1"/>
  <c r="F22" i="1"/>
  <c r="H23" i="1"/>
  <c r="H30" i="1"/>
  <c r="G32" i="1"/>
  <c r="E35" i="1"/>
  <c r="H24" i="1"/>
  <c r="L8" i="1"/>
  <c r="K13" i="1"/>
  <c r="M24" i="1"/>
  <c r="F12" i="1"/>
  <c r="E15" i="1"/>
  <c r="E24" i="1"/>
  <c r="K11" i="1"/>
  <c r="E19" i="1"/>
  <c r="G21" i="1"/>
  <c r="M22" i="1"/>
  <c r="F24" i="1"/>
  <c r="F28" i="1"/>
  <c r="F32" i="1"/>
  <c r="L20" i="1"/>
  <c r="M25" i="1"/>
  <c r="E27" i="1"/>
  <c r="E31" i="1"/>
  <c r="G19" i="1"/>
  <c r="L23" i="1"/>
  <c r="E25" i="1"/>
  <c r="H28" i="1"/>
  <c r="H32" i="1"/>
  <c r="K12" i="1"/>
  <c r="G13" i="1"/>
  <c r="H18" i="1"/>
  <c r="G22" i="1"/>
  <c r="M23" i="1"/>
  <c r="G27" i="1"/>
  <c r="G31" i="1"/>
  <c r="M19" i="1"/>
  <c r="F21" i="1"/>
  <c r="L22" i="1"/>
  <c r="H15" i="1"/>
  <c r="E16" i="1"/>
  <c r="G18" i="1"/>
  <c r="M20" i="1"/>
  <c r="H13" i="1"/>
  <c r="L21" i="1"/>
  <c r="H22" i="1"/>
  <c r="M21" i="1"/>
  <c r="L24" i="1"/>
  <c r="L19" i="1"/>
  <c r="G12" i="1"/>
  <c r="N9" i="1" l="1"/>
  <c r="O9" i="1" s="1"/>
  <c r="K14" i="1"/>
  <c r="Q30" i="1" s="1"/>
  <c r="K17" i="1"/>
  <c r="K25" i="1" s="1"/>
  <c r="K19" i="1"/>
  <c r="Q27" i="1"/>
  <c r="K16" i="1"/>
  <c r="K15" i="1"/>
  <c r="Q29" i="1"/>
  <c r="K21" i="1"/>
  <c r="K20" i="1"/>
  <c r="Q28" i="1"/>
  <c r="R26" i="1" l="1"/>
  <c r="L28" i="1"/>
  <c r="S28" i="1" s="1"/>
  <c r="K22" i="1"/>
  <c r="L29" i="1"/>
  <c r="S29" i="1" s="1"/>
  <c r="S26" i="1"/>
  <c r="L30" i="1"/>
  <c r="S30" i="1" s="1"/>
  <c r="K29" i="1"/>
  <c r="R29" i="1" s="1"/>
  <c r="K27" i="1"/>
  <c r="R27" i="1" s="1"/>
  <c r="L33" i="1"/>
  <c r="S33" i="1" s="1"/>
  <c r="K30" i="1"/>
  <c r="R30" i="1" s="1"/>
  <c r="Q33" i="1"/>
  <c r="K33" i="1"/>
  <c r="R33" i="1" s="1"/>
  <c r="L27" i="1"/>
  <c r="S27" i="1" s="1"/>
  <c r="K28" i="1"/>
  <c r="R28" i="1" s="1"/>
  <c r="L13" i="1"/>
  <c r="M13" i="1" s="1"/>
  <c r="L14" i="1"/>
  <c r="M14" i="1" s="1"/>
  <c r="L12" i="1"/>
  <c r="M12" i="1" s="1"/>
  <c r="B37" i="1" a="1"/>
  <c r="B37" i="1" s="1"/>
  <c r="L17" i="1"/>
  <c r="M17" i="1" s="1"/>
  <c r="L11" i="1"/>
  <c r="M11" i="1" s="1"/>
  <c r="K23" i="1"/>
  <c r="L31" i="1"/>
  <c r="S31" i="1" s="1"/>
  <c r="L15" i="1"/>
  <c r="M15" i="1" s="1"/>
  <c r="Q31" i="1"/>
  <c r="T36" i="1" s="1"/>
  <c r="K31" i="1"/>
  <c r="R31" i="1" s="1"/>
  <c r="L16" i="1"/>
  <c r="M16" i="1" s="1"/>
  <c r="L32" i="1"/>
  <c r="S32" i="1" s="1"/>
  <c r="K32" i="1"/>
  <c r="R32" i="1" s="1"/>
  <c r="K24" i="1"/>
  <c r="Q32" i="1"/>
  <c r="T26" i="1" l="1"/>
  <c r="T30" i="1"/>
  <c r="T29" i="1"/>
  <c r="T28" i="1"/>
  <c r="T27" i="1"/>
  <c r="T33" i="1"/>
  <c r="AE7" i="1"/>
  <c r="AF7" i="1" s="1"/>
  <c r="AE6" i="1"/>
  <c r="AF6" i="1" s="1"/>
  <c r="AE12" i="1"/>
  <c r="AF12" i="1" s="1"/>
  <c r="AE3" i="1"/>
  <c r="AF3" i="1" s="1"/>
  <c r="AE25" i="1"/>
  <c r="AF25" i="1" s="1"/>
  <c r="AE4" i="1"/>
  <c r="AF4" i="1" s="1"/>
  <c r="T31" i="1"/>
  <c r="AE11" i="1"/>
  <c r="AF11" i="1" s="1"/>
  <c r="AE22" i="1"/>
  <c r="AF22" i="1" s="1"/>
  <c r="AE19" i="1"/>
  <c r="AF19" i="1" s="1"/>
  <c r="AE20" i="1"/>
  <c r="AF20" i="1" s="1"/>
  <c r="AE14" i="1"/>
  <c r="AF14" i="1" s="1"/>
  <c r="AE10" i="1"/>
  <c r="AF10" i="1" s="1"/>
  <c r="AE8" i="1"/>
  <c r="AF8" i="1" s="1"/>
  <c r="AE15" i="1"/>
  <c r="AF15" i="1" s="1"/>
  <c r="AE2" i="1"/>
  <c r="AF2" i="1" s="1"/>
  <c r="AE5" i="1"/>
  <c r="AF5" i="1" s="1"/>
  <c r="AE23" i="1"/>
  <c r="AF23" i="1" s="1"/>
  <c r="AE18" i="1"/>
  <c r="AF18" i="1" s="1"/>
  <c r="AE17" i="1"/>
  <c r="AF17" i="1" s="1"/>
  <c r="AE16" i="1"/>
  <c r="AF16" i="1" s="1"/>
  <c r="AE9" i="1"/>
  <c r="AF9" i="1" s="1"/>
  <c r="AE24" i="1"/>
  <c r="AF24" i="1" s="1"/>
  <c r="AE13" i="1"/>
  <c r="AF13" i="1" s="1"/>
  <c r="AE21" i="1"/>
  <c r="AF21" i="1" s="1"/>
  <c r="T32" i="1"/>
  <c r="AH10" i="1" l="1"/>
  <c r="AH25" i="1"/>
  <c r="AH17" i="1"/>
  <c r="AH14" i="1"/>
  <c r="AH22" i="1"/>
  <c r="AH24" i="1"/>
  <c r="AH15" i="1"/>
  <c r="AH11" i="1"/>
  <c r="AH2" i="1"/>
  <c r="AF27" i="1"/>
  <c r="AH9" i="1"/>
  <c r="AH8" i="1"/>
  <c r="AF26" i="1"/>
  <c r="AH18" i="1"/>
  <c r="AH13" i="1"/>
  <c r="AH16" i="1"/>
  <c r="AH6" i="1"/>
  <c r="AH4" i="1"/>
  <c r="AH3" i="1"/>
  <c r="AH23" i="1"/>
  <c r="AH20" i="1"/>
  <c r="AH12" i="1"/>
  <c r="AH21" i="1"/>
  <c r="AH5" i="1"/>
  <c r="AH19" i="1"/>
  <c r="AH7" i="1"/>
  <c r="AI5" i="1" l="1"/>
  <c r="AI17" i="1"/>
  <c r="AI14" i="1"/>
  <c r="AI9" i="1"/>
  <c r="AI2" i="1"/>
  <c r="AI4" i="1"/>
  <c r="AI19" i="1"/>
  <c r="AI16" i="1"/>
  <c r="AI12" i="1"/>
  <c r="AI11" i="1"/>
  <c r="AI20" i="1"/>
  <c r="AI23" i="1"/>
  <c r="AI15" i="1"/>
  <c r="AI6" i="1"/>
  <c r="AI21" i="1"/>
  <c r="AI13" i="1"/>
  <c r="AI25" i="1"/>
  <c r="AI18" i="1"/>
  <c r="AI3" i="1"/>
  <c r="AI10" i="1"/>
  <c r="AI24" i="1"/>
  <c r="AI7" i="1"/>
  <c r="AI8" i="1"/>
  <c r="AI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<sst xmlns="http://schemas.openxmlformats.org/spreadsheetml/2006/main" count="727" uniqueCount="236">
  <si>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</si>
  <si>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</si>
  <si>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</si>
  <si>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</si>
  <si>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</si>
  <si>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</si>
  <si>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</si>
  <si>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</si>
  <si>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</si>
  <si>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m</t>
    <phoneticPr fontId="1" type="noConversion"/>
  </si>
  <si>
    <t>摘要輸出</t>
  </si>
  <si>
    <t>n</t>
    <phoneticPr fontId="1" type="noConversion"/>
  </si>
  <si>
    <t>迴歸統計</t>
  </si>
  <si>
    <t>R 的倍數</t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</si>
  <si>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</si>
  <si>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R 平方</t>
  </si>
  <si>
    <t>調整的 R 平方</t>
  </si>
  <si>
    <t>var(E)=(s_effect)^2</t>
    <phoneticPr fontId="1" type="noConversion"/>
  </si>
  <si>
    <t>s_effect</t>
    <phoneticPr fontId="1" type="noConversion"/>
  </si>
  <si>
    <t>s_effect/2</t>
    <phoneticPr fontId="1" type="noConversion"/>
  </si>
  <si>
    <t>標準誤(s_p)</t>
    <phoneticPr fontId="1" type="noConversion"/>
  </si>
  <si>
    <t>觀察值個數</t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</si>
  <si>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</si>
  <si>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t_16,0.995*s_eff</t>
    <phoneticPr fontId="1" type="noConversion"/>
  </si>
  <si>
    <t>percentile</t>
    <phoneticPr fontId="1" type="noConversion"/>
  </si>
  <si>
    <t>norm.inv</t>
    <phoneticPr fontId="1" type="noConversion"/>
  </si>
  <si>
    <t>ANOVA</t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</si>
  <si>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</si>
  <si>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</si>
  <si>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</si>
  <si>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</si>
  <si>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</t>
    <phoneticPr fontId="1" type="noConversion"/>
  </si>
  <si>
    <t>E1</t>
    <phoneticPr fontId="1" type="noConversion"/>
  </si>
  <si>
    <t>自由度</t>
  </si>
  <si>
    <t>SS</t>
  </si>
  <si>
    <t>MS</t>
  </si>
  <si>
    <t>F</t>
  </si>
  <si>
    <t>顯著值</t>
  </si>
  <si>
    <t>E2</t>
    <phoneticPr fontId="1" type="noConversion"/>
  </si>
  <si>
    <t>迴歸</t>
  </si>
  <si>
    <t>E3</t>
    <phoneticPr fontId="1" type="noConversion"/>
  </si>
  <si>
    <t>殘差</t>
  </si>
  <si>
    <t>E12</t>
    <phoneticPr fontId="1" type="noConversion"/>
  </si>
  <si>
    <t>總和</t>
  </si>
  <si>
    <t>E23</t>
    <phoneticPr fontId="1" type="noConversion"/>
  </si>
  <si>
    <t>E13</t>
    <phoneticPr fontId="1" type="noConversion"/>
  </si>
  <si>
    <t>係數</t>
  </si>
  <si>
    <t>標準誤</t>
  </si>
  <si>
    <t>t 統計</t>
  </si>
  <si>
    <t>P-值</t>
  </si>
  <si>
    <t>下限 95%</t>
  </si>
  <si>
    <t>上限 95%</t>
  </si>
  <si>
    <t>下限 99.0%</t>
  </si>
  <si>
    <t>上限 99.0%</t>
  </si>
  <si>
    <t>E123</t>
    <phoneticPr fontId="1" type="noConversion"/>
  </si>
  <si>
    <t>截距</t>
  </si>
  <si>
    <t>t_16,0.005</t>
    <phoneticPr fontId="1" type="noConversion"/>
  </si>
  <si>
    <t>t_16,0.995</t>
    <phoneticPr fontId="1" type="noConversion"/>
  </si>
  <si>
    <t>x1</t>
  </si>
  <si>
    <t>t_E1</t>
    <phoneticPr fontId="1" type="noConversion"/>
  </si>
  <si>
    <t>x2</t>
  </si>
  <si>
    <t>t_E2</t>
    <phoneticPr fontId="1" type="noConversion"/>
  </si>
  <si>
    <t>x3</t>
  </si>
  <si>
    <t>t_E3</t>
  </si>
  <si>
    <t>x1x2</t>
  </si>
  <si>
    <t>t_E12</t>
    <phoneticPr fontId="1" type="noConversion"/>
  </si>
  <si>
    <t>x2x3</t>
  </si>
  <si>
    <t>t_E23</t>
    <phoneticPr fontId="1" type="noConversion"/>
  </si>
  <si>
    <t>x1x3</t>
  </si>
  <si>
    <t>t_E13</t>
    <phoneticPr fontId="1" type="noConversion"/>
  </si>
  <si>
    <t>x1x2x3</t>
  </si>
  <si>
    <t>t_E123</t>
    <phoneticPr fontId="1" type="noConversion"/>
  </si>
  <si>
    <t>b</t>
    <phoneticPr fontId="1" type="noConversion"/>
  </si>
  <si>
    <t>coefficient</t>
    <phoneticPr fontId="1" type="noConversion"/>
  </si>
  <si>
    <t>-</t>
    <phoneticPr fontId="1" type="noConversion"/>
  </si>
  <si>
    <t>+</t>
    <phoneticPr fontId="1" type="noConversion"/>
  </si>
  <si>
    <t>H_0</t>
    <phoneticPr fontId="1" type="noConversion"/>
  </si>
  <si>
    <t>b0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</si>
  <si>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</si>
  <si>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t>b1</t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</si>
  <si>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</si>
  <si>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t>b2</t>
    <phoneticPr fontId="1" type="noConversion"/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</si>
  <si>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</si>
  <si>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b3</t>
    <phoneticPr fontId="1" type="noConversion"/>
  </si>
  <si>
    <t>E12±t*s</t>
    <phoneticPr fontId="1" type="noConversion"/>
  </si>
  <si>
    <t>b12</t>
    <phoneticPr fontId="1" type="noConversion"/>
  </si>
  <si>
    <t>E23±t*s</t>
    <phoneticPr fontId="1" type="noConversion"/>
  </si>
  <si>
    <t>b23</t>
    <phoneticPr fontId="1" type="noConversion"/>
  </si>
  <si>
    <t>b3</t>
  </si>
  <si>
    <t>E13±t*s</t>
    <phoneticPr fontId="1" type="noConversion"/>
  </si>
  <si>
    <t>b13</t>
    <phoneticPr fontId="1" type="noConversion"/>
  </si>
  <si>
    <t>E123±t*s</t>
    <phoneticPr fontId="1" type="noConversion"/>
  </si>
  <si>
    <t>b123</t>
    <phoneticPr fontId="1" type="noConversion"/>
  </si>
  <si>
    <t>y_hat</t>
    <phoneticPr fontId="1" type="noConversion"/>
  </si>
  <si>
    <t>e_ij</t>
    <phoneticPr fontId="1" type="noConversion"/>
  </si>
  <si>
    <t>precentile</t>
    <phoneticPr fontId="1" type="noConversion"/>
  </si>
  <si>
    <t>std</t>
    <phoneticPr fontId="1" type="noConversion"/>
  </si>
  <si>
    <t>run order</t>
    <phoneticPr fontId="1" type="noConversion"/>
  </si>
  <si>
    <t>y_ij-y_ibar</t>
    <phoneticPr fontId="1" type="noConversion"/>
  </si>
  <si>
    <t>y_ibar</t>
    <phoneticPr fontId="1" type="noConversion"/>
  </si>
  <si>
    <t>E2</t>
  </si>
  <si>
    <t>E3</t>
  </si>
  <si>
    <t>E12</t>
  </si>
  <si>
    <t>bartlett's test</t>
    <phoneticPr fontId="1" type="noConversion"/>
  </si>
  <si>
    <t>M</t>
    <phoneticPr fontId="1" type="noConversion"/>
  </si>
  <si>
    <t>N</t>
    <phoneticPr fontId="1" type="noConversion"/>
  </si>
  <si>
    <t>(n_i-1)ln(s_i^2)</t>
    <phoneticPr fontId="1" type="noConversion"/>
  </si>
  <si>
    <t>1/(n_i-1)</t>
    <phoneticPr fontId="1" type="noConversion"/>
  </si>
  <si>
    <t>c</t>
    <phoneticPr fontId="1" type="noConversion"/>
  </si>
  <si>
    <t>chisq</t>
    <phoneticPr fontId="1" type="noConversion"/>
  </si>
  <si>
    <t>M/c</t>
    <phoneticPr fontId="1" type="noConversion"/>
  </si>
  <si>
    <t>order</t>
    <phoneticPr fontId="1" type="noConversion"/>
  </si>
  <si>
    <t>average y_bar</t>
    <phoneticPr fontId="1" type="noConversion"/>
  </si>
  <si>
    <t>y_bar_bar</t>
    <phoneticPr fontId="1" type="noConversion"/>
  </si>
  <si>
    <t>y_bar-y_bar_bar</t>
    <phoneticPr fontId="1" type="noConversion"/>
  </si>
  <si>
    <t>y-y_bar</t>
    <phoneticPr fontId="1" type="noConversion"/>
  </si>
  <si>
    <t>SS(mean)</t>
    <phoneticPr fontId="1" type="noConversion"/>
  </si>
  <si>
    <t>SS(between test)</t>
    <phoneticPr fontId="1" type="noConversion"/>
  </si>
  <si>
    <t>SS(within test)</t>
    <phoneticPr fontId="1" type="noConversion"/>
  </si>
  <si>
    <t>SS</t>
    <phoneticPr fontId="1" type="noConversion"/>
  </si>
  <si>
    <t>SS(tatal)</t>
    <phoneticPr fontId="1" type="noConversion"/>
  </si>
  <si>
    <t>source of variation</t>
  </si>
  <si>
    <t>source of variation</t>
    <phoneticPr fontId="1" type="noConversion"/>
  </si>
  <si>
    <t>mean</t>
    <phoneticPr fontId="1" type="noConversion"/>
  </si>
  <si>
    <t>between test</t>
  </si>
  <si>
    <t>between test</t>
    <phoneticPr fontId="1" type="noConversion"/>
  </si>
  <si>
    <t>pure error (within test)</t>
  </si>
  <si>
    <t>pure error (within test)</t>
    <phoneticPr fontId="1" type="noConversion"/>
  </si>
  <si>
    <t>sum of squares (SS)</t>
    <phoneticPr fontId="1" type="noConversion"/>
  </si>
  <si>
    <t>DOF</t>
    <phoneticPr fontId="1" type="noConversion"/>
  </si>
  <si>
    <t>MS</t>
    <phoneticPr fontId="1" type="noConversion"/>
  </si>
  <si>
    <t>mean square (MS)</t>
    <phoneticPr fontId="1" type="noConversion"/>
  </si>
  <si>
    <t>F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</si>
  <si>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</si>
  <si>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</si>
  <si>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</si>
  <si>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SS12</t>
    <phoneticPr fontId="1" type="noConversion"/>
  </si>
  <si>
    <t>SS23</t>
    <phoneticPr fontId="1" type="noConversion"/>
  </si>
  <si>
    <t>SS13</t>
    <phoneticPr fontId="1" type="noConversion"/>
  </si>
  <si>
    <t>SS123</t>
    <phoneticPr fontId="1" type="noConversion"/>
  </si>
  <si>
    <t>x1+</t>
    <phoneticPr fontId="1" type="noConversion"/>
  </si>
  <si>
    <t>x1-</t>
    <phoneticPr fontId="1" type="noConversion"/>
  </si>
  <si>
    <t>x2+</t>
  </si>
  <si>
    <t>x3+</t>
  </si>
  <si>
    <t>x12+</t>
    <phoneticPr fontId="1" type="noConversion"/>
  </si>
  <si>
    <t>x12-</t>
    <phoneticPr fontId="1" type="noConversion"/>
  </si>
  <si>
    <t>x23+</t>
    <phoneticPr fontId="1" type="noConversion"/>
  </si>
  <si>
    <t>x23-</t>
    <phoneticPr fontId="1" type="noConversion"/>
  </si>
  <si>
    <t>x13+</t>
    <phoneticPr fontId="1" type="noConversion"/>
  </si>
  <si>
    <t>x13-</t>
    <phoneticPr fontId="1" type="noConversion"/>
  </si>
  <si>
    <t>x123+</t>
    <phoneticPr fontId="1" type="noConversion"/>
  </si>
  <si>
    <t>x123-</t>
    <phoneticPr fontId="1" type="noConversion"/>
  </si>
  <si>
    <t>x2-</t>
    <phoneticPr fontId="1" type="noConversion"/>
  </si>
  <si>
    <t>x3-</t>
    <phoneticPr fontId="1" type="noConversion"/>
  </si>
  <si>
    <t>row1</t>
    <phoneticPr fontId="1" type="noConversion"/>
  </si>
  <si>
    <t>row3</t>
  </si>
  <si>
    <t>row4</t>
  </si>
  <si>
    <t>row5</t>
  </si>
  <si>
    <t>row6</t>
  </si>
  <si>
    <t>row7</t>
  </si>
  <si>
    <t>row8</t>
  </si>
  <si>
    <t>row2</t>
    <phoneticPr fontId="1" type="noConversion"/>
  </si>
  <si>
    <t>SS error</t>
    <phoneticPr fontId="1" type="noConversion"/>
  </si>
  <si>
    <t>total</t>
    <phoneticPr fontId="1" type="noConversion"/>
  </si>
  <si>
    <t>E1</t>
  </si>
  <si>
    <t>E23</t>
  </si>
  <si>
    <t>E13</t>
  </si>
  <si>
    <t>E123</t>
  </si>
  <si>
    <t>pure error</t>
    <phoneticPr fontId="1" type="noConversion"/>
  </si>
  <si>
    <t>effects</t>
    <phoneticPr fontId="1" type="noConversion"/>
  </si>
  <si>
    <t>b12</t>
  </si>
  <si>
    <t>b23</t>
  </si>
  <si>
    <t>b13</t>
  </si>
  <si>
    <t>b123</t>
  </si>
  <si>
    <t>F_0.1</t>
    <phoneticPr fontId="1" type="noConversion"/>
  </si>
  <si>
    <t>R^2</t>
    <phoneticPr fontId="1" type="noConversion"/>
  </si>
  <si>
    <t>R</t>
    <phoneticPr fontId="1" type="noConversion"/>
  </si>
  <si>
    <t>adjusted R^2</t>
  </si>
  <si>
    <t>adjusted R^2</t>
    <phoneticPr fontId="1" type="noConversion"/>
  </si>
  <si>
    <t>replicate</t>
    <phoneticPr fontId="1" type="noConversion"/>
  </si>
  <si>
    <t>下限 95.0%</t>
  </si>
  <si>
    <t>上限 95.0%</t>
  </si>
  <si>
    <t>exp</t>
    <phoneticPr fontId="1" type="noConversion"/>
  </si>
  <si>
    <t>Top</t>
    <phoneticPr fontId="1" type="noConversion"/>
  </si>
  <si>
    <t>Center</t>
    <phoneticPr fontId="1" type="noConversion"/>
  </si>
  <si>
    <t>Bottom</t>
    <phoneticPr fontId="1" type="noConversion"/>
  </si>
  <si>
    <t>standard error</t>
    <phoneticPr fontId="1" type="noConversion"/>
  </si>
  <si>
    <t>SN</t>
    <phoneticPr fontId="1" type="noConversion"/>
  </si>
  <si>
    <t>for SN</t>
    <phoneticPr fontId="1" type="noConversion"/>
  </si>
  <si>
    <t>for thickness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</si>
  <si>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</si>
  <si>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</si>
  <si>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</si>
  <si>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</si>
  <si>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</si>
  <si>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</si>
  <si>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</si>
  <si>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</si>
  <si>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</si>
  <si>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</si>
  <si>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</si>
  <si>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</si>
  <si>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</si>
  <si>
    <t>C3</t>
  </si>
  <si>
    <t>D1</t>
    <phoneticPr fontId="1" type="noConversion"/>
  </si>
  <si>
    <t>D2</t>
  </si>
  <si>
    <t>D3</t>
  </si>
  <si>
    <t>F1</t>
    <phoneticPr fontId="1" type="noConversion"/>
  </si>
  <si>
    <t>F2</t>
  </si>
  <si>
    <t>F3</t>
  </si>
  <si>
    <t>J</t>
    <phoneticPr fontId="1" type="noConversion"/>
  </si>
  <si>
    <t>SS_A</t>
    <phoneticPr fontId="1" type="noConversion"/>
  </si>
  <si>
    <t>SS_B</t>
    <phoneticPr fontId="1" type="noConversion"/>
  </si>
  <si>
    <t>SS_C</t>
    <phoneticPr fontId="1" type="noConversion"/>
  </si>
  <si>
    <t>SS_D</t>
    <phoneticPr fontId="1" type="noConversion"/>
  </si>
  <si>
    <t>SS_E</t>
    <phoneticPr fontId="1" type="noConversion"/>
  </si>
  <si>
    <t>SS_F</t>
    <phoneticPr fontId="1" type="noConversion"/>
  </si>
  <si>
    <t>thickness</t>
    <phoneticPr fontId="1" type="noConversion"/>
  </si>
  <si>
    <t>SS(between)</t>
    <phoneticPr fontId="1" type="noConversion"/>
  </si>
  <si>
    <t>(y_ij-y_bar)^2</t>
    <phoneticPr fontId="1" type="noConversion"/>
  </si>
  <si>
    <t>sum</t>
    <phoneticPr fontId="1" type="noConversion"/>
  </si>
  <si>
    <t>Thickness</t>
    <phoneticPr fontId="1" type="noConversion"/>
  </si>
  <si>
    <t>B2</t>
  </si>
  <si>
    <t>B3</t>
  </si>
  <si>
    <t>SSA</t>
    <phoneticPr fontId="1" type="noConversion"/>
  </si>
  <si>
    <t>SSB</t>
    <phoneticPr fontId="1" type="noConversion"/>
  </si>
  <si>
    <t>SSC</t>
    <phoneticPr fontId="1" type="noConversion"/>
  </si>
  <si>
    <t>SSD</t>
    <phoneticPr fontId="1" type="noConversion"/>
  </si>
  <si>
    <t>SSE</t>
    <phoneticPr fontId="1" type="noConversion"/>
  </si>
  <si>
    <t>SSF</t>
    <phoneticPr fontId="1" type="noConversion"/>
  </si>
  <si>
    <t>SS(error)</t>
    <phoneticPr fontId="1" type="noConversion"/>
  </si>
  <si>
    <t xml:space="preserve">average thickness </t>
    <phoneticPr fontId="1" type="noConversion"/>
  </si>
  <si>
    <t>A3</t>
  </si>
  <si>
    <t>Thickness(W1)</t>
    <phoneticPr fontId="1" type="noConversion"/>
  </si>
  <si>
    <t>Thickness(W2)</t>
    <phoneticPr fontId="1" type="noConversion"/>
  </si>
  <si>
    <t>Thickness(W3)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</si>
</sst>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2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4">
    <xf numFmtId="0" fontId="0" fillId="0" borderId="0" xfId="0">
      <alignment vertical="center"/>
    </xf>
    <xf numFmtId="0" fontId="0" fillId="0" borderId="1" xfId="0" applyBorder="1" applyAlignment="1">
      <alignment horizontal="centerContinuous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9" borderId="3" xfId="0" applyFill="1" applyBorder="1">
      <alignment vertical="center"/>
    </xf>
    <xf numFmtId="0" fontId="0" fillId="0" borderId="0" xfId="0" applyAlignment="1">
      <alignment vertical="center"/>
    </xf>
    <xf numFmtId="0" fontId="0" fillId="10" borderId="0" xfId="0" applyFill="1">
      <alignment vertical="center"/>
    </xf>
    <xf numFmtId="4" fontId="0" fillId="0" borderId="0" xfId="0" applyNumberFormat="1">
      <alignment vertical="center"/>
    </xf>
    <xf numFmtId="0" fontId="0" fillId="11" borderId="0" xfId="0" applyFill="1">
      <alignment vertical="center"/>
    </xf>
    <xf numFmtId="0" fontId="0" fillId="11" borderId="2" xfId="0" applyFill="1" applyBorder="1">
      <alignment vertical="center"/>
    </xf>
    <xf numFmtId="0" fontId="0" fillId="12" borderId="0" xfId="0" applyFill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13" borderId="15" xfId="0" applyFill="1" applyBorder="1">
      <alignment vertical="center"/>
    </xf>
    <xf numFmtId="0" fontId="0" fillId="13" borderId="0" xfId="0" applyFill="1">
      <alignment vertical="center"/>
    </xf>
    <xf numFmtId="0" fontId="0" fillId="13" borderId="16" xfId="0" applyFill="1" applyBorder="1">
      <alignment vertical="center"/>
    </xf>
    <xf numFmtId="0" fontId="0" fillId="14" borderId="15" xfId="0" applyFill="1" applyBorder="1">
      <alignment vertical="center"/>
    </xf>
    <xf numFmtId="0" fontId="0" fillId="14" borderId="0" xfId="0" applyFill="1">
      <alignment vertical="center"/>
    </xf>
    <xf numFmtId="0" fontId="0" fillId="14" borderId="16" xfId="0" applyFill="1" applyBorder="1">
      <alignment vertical="center"/>
    </xf>
    <xf numFmtId="0" fontId="0" fillId="15" borderId="15" xfId="0" applyFill="1" applyBorder="1">
      <alignment vertical="center"/>
    </xf>
    <xf numFmtId="0" fontId="0" fillId="15" borderId="0" xfId="0" applyFill="1">
      <alignment vertical="center"/>
    </xf>
    <xf numFmtId="0" fontId="0" fillId="15" borderId="16" xfId="0" applyFill="1" applyBorder="1">
      <alignment vertical="center"/>
    </xf>
    <xf numFmtId="0" fontId="0" fillId="16" borderId="15" xfId="0" applyFill="1" applyBorder="1">
      <alignment vertical="center"/>
    </xf>
    <xf numFmtId="0" fontId="0" fillId="16" borderId="0" xfId="0" applyFill="1">
      <alignment vertical="center"/>
    </xf>
    <xf numFmtId="0" fontId="0" fillId="16" borderId="16" xfId="0" applyFill="1" applyBorder="1">
      <alignment vertical="center"/>
    </xf>
    <xf numFmtId="0" fontId="0" fillId="17" borderId="15" xfId="0" applyFill="1" applyBorder="1">
      <alignment vertical="center"/>
    </xf>
    <xf numFmtId="0" fontId="0" fillId="17" borderId="0" xfId="0" applyFill="1">
      <alignment vertical="center"/>
    </xf>
    <xf numFmtId="0" fontId="0" fillId="17" borderId="16" xfId="0" applyFill="1" applyBorder="1">
      <alignment vertical="center"/>
    </xf>
    <xf numFmtId="0" fontId="0" fillId="18" borderId="15" xfId="0" applyFill="1" applyBorder="1">
      <alignment vertical="center"/>
    </xf>
    <xf numFmtId="0" fontId="0" fillId="18" borderId="0" xfId="0" applyFill="1">
      <alignment vertical="center"/>
    </xf>
    <xf numFmtId="0" fontId="0" fillId="18" borderId="16" xfId="0" applyFill="1" applyBorder="1">
      <alignment vertical="center"/>
    </xf>
    <xf numFmtId="0" fontId="0" fillId="19" borderId="15" xfId="0" applyFill="1" applyBorder="1">
      <alignment vertical="center"/>
    </xf>
    <xf numFmtId="0" fontId="0" fillId="19" borderId="0" xfId="0" applyFill="1">
      <alignment vertical="center"/>
    </xf>
    <xf numFmtId="0" fontId="0" fillId="19" borderId="16" xfId="0" applyFill="1" applyBorder="1">
      <alignment vertical="center"/>
    </xf>
    <xf numFmtId="0" fontId="0" fillId="20" borderId="15" xfId="0" applyFill="1" applyBorder="1">
      <alignment vertical="center"/>
    </xf>
    <xf numFmtId="0" fontId="0" fillId="20" borderId="0" xfId="0" applyFill="1">
      <alignment vertical="center"/>
    </xf>
    <xf numFmtId="0" fontId="0" fillId="20" borderId="16" xfId="0" applyFill="1" applyBorder="1">
      <alignment vertical="center"/>
    </xf>
    <xf numFmtId="0" fontId="0" fillId="0" borderId="17" xfId="0" applyBorder="1">
      <alignment vertical="center"/>
    </xf>
    <xf numFmtId="0" fontId="0" fillId="13" borderId="17" xfId="0" applyFill="1" applyBorder="1">
      <alignment vertical="center"/>
    </xf>
    <xf numFmtId="0" fontId="0" fillId="14" borderId="17" xfId="0" applyFill="1" applyBorder="1">
      <alignment vertical="center"/>
    </xf>
    <xf numFmtId="0" fontId="0" fillId="15" borderId="17" xfId="0" applyFill="1" applyBorder="1">
      <alignment vertical="center"/>
    </xf>
    <xf numFmtId="0" fontId="0" fillId="16" borderId="17" xfId="0" applyFill="1" applyBorder="1">
      <alignment vertical="center"/>
    </xf>
    <xf numFmtId="0" fontId="0" fillId="17" borderId="17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7" xfId="0" applyFill="1" applyBorder="1">
      <alignment vertical="center"/>
    </xf>
    <xf numFmtId="0" fontId="0" fillId="20" borderId="17" xfId="0" applyFill="1" applyBorder="1">
      <alignment vertical="center"/>
    </xf>
    <xf numFmtId="0" fontId="0" fillId="21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2" borderId="9" xfId="0" applyFill="1" applyBorder="1">
      <alignment vertical="center"/>
    </xf>
    <xf numFmtId="0" fontId="0" fillId="22" borderId="1" xfId="0" applyFill="1" applyBorder="1">
      <alignment vertical="center"/>
    </xf>
    <xf numFmtId="0" fontId="0" fillId="22" borderId="20" xfId="0" applyFill="1" applyBorder="1">
      <alignment vertical="center"/>
    </xf>
    <xf numFmtId="0" fontId="0" fillId="22" borderId="4" xfId="0" applyFill="1" applyBorder="1">
      <alignment vertical="center"/>
    </xf>
    <xf numFmtId="0" fontId="0" fillId="22" borderId="10" xfId="0" applyFill="1" applyBorder="1">
      <alignment vertical="center"/>
    </xf>
    <xf numFmtId="0" fontId="0" fillId="22" borderId="0" xfId="0" applyFill="1" applyBorder="1">
      <alignment vertical="center"/>
    </xf>
    <xf numFmtId="0" fontId="0" fillId="22" borderId="16" xfId="0" applyFill="1" applyBorder="1">
      <alignment vertical="center"/>
    </xf>
    <xf numFmtId="0" fontId="0" fillId="22" borderId="6" xfId="0" applyFill="1" applyBorder="1">
      <alignment vertical="center"/>
    </xf>
    <xf numFmtId="0" fontId="0" fillId="22" borderId="12" xfId="0" applyFill="1" applyBorder="1">
      <alignment vertical="center"/>
    </xf>
    <xf numFmtId="0" fontId="0" fillId="22" borderId="13" xfId="0" applyFill="1" applyBorder="1">
      <alignment vertical="center"/>
    </xf>
    <xf numFmtId="0" fontId="0" fillId="22" borderId="18" xfId="0" applyFill="1" applyBorder="1">
      <alignment vertical="center"/>
    </xf>
    <xf numFmtId="0" fontId="0" fillId="22" borderId="14" xfId="0" applyFill="1" applyBorder="1">
      <alignment vertical="center"/>
    </xf>
    <xf numFmtId="0" fontId="0" fillId="22" borderId="0" xfId="0" applyFill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1" xfId="0" applyFill="1" applyBorder="1" applyAlignment="1">
      <alignment horizontal="centerContinuous" vertical="center"/>
    </xf>
    <xf numFmtId="0" fontId="0" fillId="23" borderId="9" xfId="0" applyFill="1" applyBorder="1">
      <alignment vertical="center"/>
    </xf>
    <xf numFmtId="0" fontId="0" fillId="23" borderId="1" xfId="0" applyFill="1" applyBorder="1">
      <alignment vertical="center"/>
    </xf>
    <xf numFmtId="0" fontId="0" fillId="23" borderId="20" xfId="0" applyFill="1" applyBorder="1">
      <alignment vertical="center"/>
    </xf>
    <xf numFmtId="0" fontId="0" fillId="23" borderId="4" xfId="0" applyFill="1" applyBorder="1">
      <alignment vertical="center"/>
    </xf>
    <xf numFmtId="0" fontId="0" fillId="23" borderId="10" xfId="0" applyFill="1" applyBorder="1">
      <alignment vertical="center"/>
    </xf>
    <xf numFmtId="0" fontId="0" fillId="23" borderId="0" xfId="0" applyFill="1" applyBorder="1">
      <alignment vertical="center"/>
    </xf>
    <xf numFmtId="0" fontId="0" fillId="23" borderId="16" xfId="0" applyFill="1" applyBorder="1">
      <alignment vertical="center"/>
    </xf>
    <xf numFmtId="0" fontId="0" fillId="23" borderId="6" xfId="0" applyFill="1" applyBorder="1">
      <alignment vertical="center"/>
    </xf>
    <xf numFmtId="0" fontId="0" fillId="23" borderId="18" xfId="0" applyFill="1" applyBorder="1">
      <alignment vertical="center"/>
    </xf>
    <xf numFmtId="0" fontId="0" fillId="23" borderId="13" xfId="0" applyFill="1" applyBorder="1">
      <alignment vertical="center"/>
    </xf>
    <xf numFmtId="0" fontId="0" fillId="23" borderId="14" xfId="0" applyFill="1" applyBorder="1">
      <alignment vertical="center"/>
    </xf>
    <xf numFmtId="0" fontId="0" fillId="23" borderId="0" xfId="0" applyFill="1">
      <alignment vertical="center"/>
    </xf>
    <xf numFmtId="0" fontId="0" fillId="23" borderId="1" xfId="0" applyFont="1" applyFill="1" applyBorder="1" applyAlignment="1">
      <alignment horizontal="centerContinuous" vertical="center"/>
    </xf>
    <xf numFmtId="0" fontId="0" fillId="23" borderId="0" xfId="0" applyFill="1" applyBorder="1" applyAlignment="1">
      <alignment vertical="center"/>
    </xf>
    <xf numFmtId="0" fontId="0" fillId="23" borderId="2" xfId="0" applyFill="1" applyBorder="1" applyAlignment="1">
      <alignment vertical="center"/>
    </xf>
    <xf numFmtId="0" fontId="0" fillId="22" borderId="5" xfId="0" applyFill="1" applyBorder="1">
      <alignment vertical="center"/>
    </xf>
    <xf numFmtId="0" fontId="0" fillId="22" borderId="19" xfId="0" applyFill="1" applyBorder="1">
      <alignment vertical="center"/>
    </xf>
    <xf numFmtId="0" fontId="0" fillId="3" borderId="3" xfId="0" applyFill="1" applyBorder="1">
      <alignment vertical="center"/>
    </xf>
    <xf numFmtId="0" fontId="0" fillId="5" borderId="16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7" xfId="0" applyFill="1" applyBorder="1">
      <alignment vertical="center"/>
    </xf>
    <xf numFmtId="0" fontId="0" fillId="23" borderId="12" xfId="0" applyFill="1" applyBorder="1">
      <alignment vertical="center"/>
    </xf>
    <xf numFmtId="0" fontId="0" fillId="23" borderId="25" xfId="0" applyFill="1" applyBorder="1">
      <alignment vertical="center"/>
    </xf>
    <xf numFmtId="0" fontId="0" fillId="23" borderId="27" xfId="0" applyFill="1" applyBorder="1">
      <alignment vertical="center"/>
    </xf>
    <xf numFmtId="0" fontId="0" fillId="23" borderId="24" xfId="0" applyFill="1" applyBorder="1">
      <alignment vertical="center"/>
    </xf>
    <xf numFmtId="0" fontId="0" fillId="23" borderId="15" xfId="0" applyFill="1" applyBorder="1">
      <alignment vertical="center"/>
    </xf>
    <xf numFmtId="0" fontId="0" fillId="19" borderId="9" xfId="0" applyFill="1" applyBorder="1">
      <alignment vertical="center"/>
    </xf>
    <xf numFmtId="0" fontId="0" fillId="19" borderId="1" xfId="0" applyFill="1" applyBorder="1">
      <alignment vertical="center"/>
    </xf>
    <xf numFmtId="0" fontId="0" fillId="19" borderId="24" xfId="0" applyFill="1" applyBorder="1">
      <alignment vertical="center"/>
    </xf>
    <xf numFmtId="0" fontId="0" fillId="19" borderId="10" xfId="0" applyFill="1" applyBorder="1">
      <alignment vertical="center"/>
    </xf>
    <xf numFmtId="0" fontId="0" fillId="19" borderId="12" xfId="0" applyFill="1" applyBorder="1">
      <alignment vertical="center"/>
    </xf>
    <xf numFmtId="0" fontId="0" fillId="19" borderId="0" xfId="0" applyFill="1" applyBorder="1">
      <alignment vertical="center"/>
    </xf>
    <xf numFmtId="0" fontId="0" fillId="19" borderId="25" xfId="0" applyFill="1" applyBorder="1">
      <alignment vertical="center"/>
    </xf>
    <xf numFmtId="0" fontId="0" fillId="19" borderId="27" xfId="0" applyFill="1" applyBorder="1">
      <alignment vertical="center"/>
    </xf>
    <xf numFmtId="0" fontId="0" fillId="19" borderId="13" xfId="0" applyFill="1" applyBorder="1">
      <alignment vertical="center"/>
    </xf>
    <xf numFmtId="0" fontId="0" fillId="19" borderId="18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  <xf numFmtId="0" fontId="0" fillId="24" borderId="15" xfId="0" applyFill="1" applyBorder="1">
      <alignment vertical="center"/>
    </xf>
    <xf numFmtId="0" fontId="0" fillId="24" borderId="0" xfId="0" applyFill="1" applyBorder="1">
      <alignment vertical="center"/>
    </xf>
    <xf numFmtId="0" fontId="0" fillId="24" borderId="16" xfId="0" applyFill="1" applyBorder="1">
      <alignment vertical="center"/>
    </xf>
    <xf numFmtId="0" fontId="0" fillId="25" borderId="15" xfId="0" applyFill="1" applyBorder="1">
      <alignment vertical="center"/>
    </xf>
    <xf numFmtId="0" fontId="0" fillId="25" borderId="0" xfId="0" applyFill="1" applyBorder="1">
      <alignment vertical="center"/>
    </xf>
    <xf numFmtId="0" fontId="0" fillId="25" borderId="16" xfId="0" applyFill="1" applyBorder="1">
      <alignment vertical="center"/>
    </xf>
  </cellXfs>
  <cellStyles count="1">
    <cellStyle name="一般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99FF"/>
      <color rgb="FFFF66FF"/>
      <color rgb="FF3399FF"/>
      <color rgb="FF66FFCC"/>
      <color rgb="FF66FF66"/>
      <color rgb="FF99FF66"/>
      <color rgb="FFCCFF66"/>
      <color rgb="FFFFFF6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3-45A6-882F-5B1225EDFB96}"/>
            </c:ext>
          </c:extLst>
        </c:ser>
        <c:ser>
          <c:idx val="1"/>
          <c:order val="1"/>
          <c:tx>
            <c:strRef>
              <c:f>'1-1'!$K$11:$K$17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A3-45A6-882F-5B1225EDF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'1-1'!$P$26:$P$33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'1-1'!$Q$26:$Q$33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2-4B6A-8857-B1C2CCFD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'1-1'!$AI$2:$AI$25</c:f>
              <c:numCache>
                <c:formatCode>General</c:formatCode>
                <c:ptCount val="24"/>
                <c:pt idx="0">
                  <c:v>3.3017048961195758</c:v>
                </c:pt>
                <c:pt idx="1">
                  <c:v>-2.7777834618357384</c:v>
                </c:pt>
                <c:pt idx="2">
                  <c:v>-1.171346530098841</c:v>
                </c:pt>
                <c:pt idx="3">
                  <c:v>0.82708217290775632</c:v>
                </c:pt>
                <c:pt idx="4">
                  <c:v>3.9394847909951354</c:v>
                </c:pt>
                <c:pt idx="5">
                  <c:v>1.5304292368910388</c:v>
                </c:pt>
                <c:pt idx="6">
                  <c:v>-3.9394847909951127</c:v>
                </c:pt>
                <c:pt idx="7">
                  <c:v>-0.4925623772507744</c:v>
                </c:pt>
                <c:pt idx="8">
                  <c:v>1.1713465300988646</c:v>
                </c:pt>
                <c:pt idx="9">
                  <c:v>-1.5304292368910171</c:v>
                </c:pt>
                <c:pt idx="10">
                  <c:v>6.3776205949555091</c:v>
                </c:pt>
                <c:pt idx="11">
                  <c:v>-1.9109201944016225</c:v>
                </c:pt>
                <c:pt idx="12">
                  <c:v>-0.16358717343096266</c:v>
                </c:pt>
                <c:pt idx="13">
                  <c:v>1.910920194401643</c:v>
                </c:pt>
                <c:pt idx="14">
                  <c:v>0.16358717343098547</c:v>
                </c:pt>
                <c:pt idx="15">
                  <c:v>2.3220376041503594</c:v>
                </c:pt>
                <c:pt idx="16">
                  <c:v>-0.827082172907735</c:v>
                </c:pt>
                <c:pt idx="17">
                  <c:v>-2.3220376041503372</c:v>
                </c:pt>
                <c:pt idx="18">
                  <c:v>-3.3017048961195545</c:v>
                </c:pt>
                <c:pt idx="19">
                  <c:v>4.8035520548914157</c:v>
                </c:pt>
                <c:pt idx="20">
                  <c:v>-6.3776205949554976</c:v>
                </c:pt>
                <c:pt idx="21">
                  <c:v>-4.8035520548913917</c:v>
                </c:pt>
                <c:pt idx="22">
                  <c:v>0.49256237725079627</c:v>
                </c:pt>
                <c:pt idx="23">
                  <c:v>2.7777834618357606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7-4C9B-8ADE-EA1E926E245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47-4C9B-8ADE-EA1E926E2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63824"/>
        <c:axId val="195756752"/>
      </c:scatterChart>
      <c:valAx>
        <c:axId val="19576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56752"/>
        <c:crosses val="autoZero"/>
        <c:crossBetween val="midCat"/>
      </c:valAx>
      <c:valAx>
        <c:axId val="1957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6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0456036745406815E-2"/>
          <c:y val="0.17634259259259263"/>
          <c:w val="0.89521062992125988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'1-1'!$Y$2:$Y$25</c:f>
              <c:numCache>
                <c:formatCode>General</c:formatCode>
                <c:ptCount val="24"/>
                <c:pt idx="0">
                  <c:v>4</c:v>
                </c:pt>
                <c:pt idx="1">
                  <c:v>2</c:v>
                </c:pt>
                <c:pt idx="2">
                  <c:v>7</c:v>
                </c:pt>
                <c:pt idx="3">
                  <c:v>6</c:v>
                </c:pt>
                <c:pt idx="4">
                  <c:v>1</c:v>
                </c:pt>
                <c:pt idx="5">
                  <c:v>5</c:v>
                </c:pt>
                <c:pt idx="6">
                  <c:v>8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7</c:v>
                </c:pt>
                <c:pt idx="11">
                  <c:v>6</c:v>
                </c:pt>
                <c:pt idx="12">
                  <c:v>1</c:v>
                </c:pt>
                <c:pt idx="13">
                  <c:v>5</c:v>
                </c:pt>
                <c:pt idx="14">
                  <c:v>8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7</c:v>
                </c:pt>
                <c:pt idx="19">
                  <c:v>6</c:v>
                </c:pt>
                <c:pt idx="20">
                  <c:v>1</c:v>
                </c:pt>
                <c:pt idx="21">
                  <c:v>5</c:v>
                </c:pt>
                <c:pt idx="22">
                  <c:v>8</c:v>
                </c:pt>
                <c:pt idx="23">
                  <c:v>3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97-46B8-B1D7-39514341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029968"/>
        <c:axId val="1669024560"/>
      </c:scatterChart>
      <c:valAx>
        <c:axId val="166902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9024560"/>
        <c:crosses val="autoZero"/>
        <c:crossBetween val="midCat"/>
      </c:valAx>
      <c:valAx>
        <c:axId val="166902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902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'1-1'!$AE$2:$AE$25</c:f>
              <c:numCache>
                <c:formatCode>General</c:formatCode>
                <c:ptCount val="24"/>
                <c:pt idx="0">
                  <c:v>57.48749999999999</c:v>
                </c:pt>
                <c:pt idx="1">
                  <c:v>78.956666666666649</c:v>
                </c:pt>
                <c:pt idx="2">
                  <c:v>28.853333333333318</c:v>
                </c:pt>
                <c:pt idx="3">
                  <c:v>50.322499999999984</c:v>
                </c:pt>
                <c:pt idx="4">
                  <c:v>20.780833333333327</c:v>
                </c:pt>
                <c:pt idx="5">
                  <c:v>42.249999999999993</c:v>
                </c:pt>
                <c:pt idx="6">
                  <c:v>49.414999999999999</c:v>
                </c:pt>
                <c:pt idx="7">
                  <c:v>70.884166666666658</c:v>
                </c:pt>
                <c:pt idx="8">
                  <c:v>57.48749999999999</c:v>
                </c:pt>
                <c:pt idx="9">
                  <c:v>78.956666666666649</c:v>
                </c:pt>
                <c:pt idx="10">
                  <c:v>28.853333333333318</c:v>
                </c:pt>
                <c:pt idx="11">
                  <c:v>50.322499999999984</c:v>
                </c:pt>
                <c:pt idx="12">
                  <c:v>20.780833333333327</c:v>
                </c:pt>
                <c:pt idx="13">
                  <c:v>42.249999999999993</c:v>
                </c:pt>
                <c:pt idx="14">
                  <c:v>49.414999999999999</c:v>
                </c:pt>
                <c:pt idx="15">
                  <c:v>70.884166666666658</c:v>
                </c:pt>
                <c:pt idx="16">
                  <c:v>57.48749999999999</c:v>
                </c:pt>
                <c:pt idx="17">
                  <c:v>78.956666666666649</c:v>
                </c:pt>
                <c:pt idx="18">
                  <c:v>28.853333333333318</c:v>
                </c:pt>
                <c:pt idx="19">
                  <c:v>50.322499999999984</c:v>
                </c:pt>
                <c:pt idx="20">
                  <c:v>20.780833333333327</c:v>
                </c:pt>
                <c:pt idx="21">
                  <c:v>42.249999999999993</c:v>
                </c:pt>
                <c:pt idx="22">
                  <c:v>49.414999999999999</c:v>
                </c:pt>
                <c:pt idx="23">
                  <c:v>70.884166666666658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9B-4F0D-9B41-94547B11E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794736"/>
        <c:axId val="1750776432"/>
      </c:scatterChart>
      <c:valAx>
        <c:axId val="175079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76432"/>
        <c:crosses val="autoZero"/>
        <c:crossBetween val="midCat"/>
      </c:valAx>
      <c:valAx>
        <c:axId val="17507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9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</a:t>
            </a:r>
            <a:r>
              <a:rPr lang="en-US" altLang="zh-TW" baseline="0"/>
              <a:t>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'1-1'!$AD$2:$AD$25</c:f>
              <c:numCache>
                <c:formatCode>General</c:formatCode>
                <c:ptCount val="24"/>
                <c:pt idx="0">
                  <c:v>59.026666666666664</c:v>
                </c:pt>
                <c:pt idx="1">
                  <c:v>76.313333333333333</c:v>
                </c:pt>
                <c:pt idx="2">
                  <c:v>28.870000000000005</c:v>
                </c:pt>
                <c:pt idx="3">
                  <c:v>51.41</c:v>
                </c:pt>
                <c:pt idx="4">
                  <c:v>20.3</c:v>
                </c:pt>
                <c:pt idx="5">
                  <c:v>41.626666666666665</c:v>
                </c:pt>
                <c:pt idx="6">
                  <c:v>48.34</c:v>
                </c:pt>
                <c:pt idx="7">
                  <c:v>73.063333333333333</c:v>
                </c:pt>
                <c:pt idx="8">
                  <c:v>59.026666666666664</c:v>
                </c:pt>
                <c:pt idx="9">
                  <c:v>76.313333333333333</c:v>
                </c:pt>
                <c:pt idx="10">
                  <c:v>28.870000000000005</c:v>
                </c:pt>
                <c:pt idx="11">
                  <c:v>51.41</c:v>
                </c:pt>
                <c:pt idx="12">
                  <c:v>20.3</c:v>
                </c:pt>
                <c:pt idx="13">
                  <c:v>41.626666666666665</c:v>
                </c:pt>
                <c:pt idx="14">
                  <c:v>48.34</c:v>
                </c:pt>
                <c:pt idx="15">
                  <c:v>73.063333333333333</c:v>
                </c:pt>
                <c:pt idx="16">
                  <c:v>59.026666666666664</c:v>
                </c:pt>
                <c:pt idx="17">
                  <c:v>76.313333333333333</c:v>
                </c:pt>
                <c:pt idx="18">
                  <c:v>28.870000000000005</c:v>
                </c:pt>
                <c:pt idx="19">
                  <c:v>51.41</c:v>
                </c:pt>
                <c:pt idx="20">
                  <c:v>20.3</c:v>
                </c:pt>
                <c:pt idx="21">
                  <c:v>41.626666666666665</c:v>
                </c:pt>
                <c:pt idx="22">
                  <c:v>48.34</c:v>
                </c:pt>
                <c:pt idx="23">
                  <c:v>73.063333333333333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81-4C65-89A9-802F2268B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753552"/>
        <c:axId val="1750768944"/>
      </c:scatterChart>
      <c:valAx>
        <c:axId val="175075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68944"/>
        <c:crosses val="autoZero"/>
        <c:crossBetween val="midCat"/>
      </c:valAx>
      <c:valAx>
        <c:axId val="175076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075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rsesiduals v.s.</a:t>
            </a:r>
            <a:r>
              <a:rPr lang="en-US" altLang="zh-TW" baseline="0"/>
              <a:t>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'1-1'!$Z$2:$Z$25</c:f>
              <c:numCache>
                <c:formatCode>General</c:formatCode>
                <c:ptCount val="24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A-4D05-8812-52CF2BCB9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118384"/>
        <c:axId val="1747119632"/>
      </c:scatterChart>
      <c:valAx>
        <c:axId val="174711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7119632"/>
        <c:crosses val="autoZero"/>
        <c:crossBetween val="midCat"/>
      </c:valAx>
      <c:valAx>
        <c:axId val="174711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711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'1-1'!$AA$2:$AA$25</c:f>
              <c:numCache>
                <c:formatCode>General</c:formatCode>
                <c:ptCount val="24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5-47FA-A23D-582116AF6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930288"/>
        <c:axId val="1770909072"/>
      </c:scatterChart>
      <c:valAx>
        <c:axId val="177093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909072"/>
        <c:crosses val="autoZero"/>
        <c:crossBetween val="midCat"/>
      </c:valAx>
      <c:valAx>
        <c:axId val="17709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093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'1-1'!$AB$2:$AB$25</c:f>
              <c:numCache>
                <c:formatCode>General</c:formatCode>
                <c:ptCount val="2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xVal>
          <c:yVal>
            <c:numRef>
              <c:f>'1-1'!$AF$2:$AF$25</c:f>
              <c:numCache>
                <c:formatCode>General</c:formatCode>
                <c:ptCount val="24"/>
                <c:pt idx="0">
                  <c:v>3.9425000000000097</c:v>
                </c:pt>
                <c:pt idx="1">
                  <c:v>-3.3366666666666447</c:v>
                </c:pt>
                <c:pt idx="2">
                  <c:v>-1.3433333333333159</c:v>
                </c:pt>
                <c:pt idx="3">
                  <c:v>1.0475000000000136</c:v>
                </c:pt>
                <c:pt idx="4">
                  <c:v>4.0191666666666741</c:v>
                </c:pt>
                <c:pt idx="5">
                  <c:v>1.3300000000000054</c:v>
                </c:pt>
                <c:pt idx="6">
                  <c:v>-4.2149999999999963</c:v>
                </c:pt>
                <c:pt idx="7">
                  <c:v>-0.37416666666665321</c:v>
                </c:pt>
                <c:pt idx="8">
                  <c:v>1.0925000000000082</c:v>
                </c:pt>
                <c:pt idx="9">
                  <c:v>-1.3866666666666561</c:v>
                </c:pt>
                <c:pt idx="10">
                  <c:v>5.1766666666666836</c:v>
                </c:pt>
                <c:pt idx="11">
                  <c:v>-1.8324999999999818</c:v>
                </c:pt>
                <c:pt idx="12">
                  <c:v>-9.0833333333325328E-2</c:v>
                </c:pt>
                <c:pt idx="13">
                  <c:v>2.0600000000000094</c:v>
                </c:pt>
                <c:pt idx="14">
                  <c:v>0.11500000000000199</c:v>
                </c:pt>
                <c:pt idx="15">
                  <c:v>3.1158333333333417</c:v>
                </c:pt>
                <c:pt idx="16">
                  <c:v>-0.41749999999998977</c:v>
                </c:pt>
                <c:pt idx="17">
                  <c:v>-3.2066666666666492</c:v>
                </c:pt>
                <c:pt idx="18">
                  <c:v>-3.7833333333333172</c:v>
                </c:pt>
                <c:pt idx="19">
                  <c:v>4.0475000000000136</c:v>
                </c:pt>
                <c:pt idx="20">
                  <c:v>-5.3708333333333265</c:v>
                </c:pt>
                <c:pt idx="21">
                  <c:v>-5.2599999999999909</c:v>
                </c:pt>
                <c:pt idx="22">
                  <c:v>0.875</c:v>
                </c:pt>
                <c:pt idx="23">
                  <c:v>3.7958333333333485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F5-491D-8E44-336FCCDE9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873280"/>
        <c:axId val="1753868704"/>
      </c:scatterChart>
      <c:valAx>
        <c:axId val="175387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868704"/>
        <c:crosses val="autoZero"/>
        <c:crossBetween val="midCat"/>
      </c:valAx>
      <c:valAx>
        <c:axId val="175386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387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970189</xdr:colOff>
      <xdr:row>33</xdr:row>
      <xdr:rowOff>160111</xdr:rowOff>
    </xdr:from>
    <xdr:to>
      <xdr:col>14</xdr:col>
      <xdr:colOff>96610</xdr:colOff>
      <xdr:row>51</xdr:row>
      <xdr:rowOff>83458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1C6F44F-0DD9-4E51-9B10-3DC5CEE3E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947552</xdr:colOff>
      <xdr:row>55</xdr:row>
      <xdr:rowOff>68489</xdr:rowOff>
    </xdr:from>
    <xdr:to>
      <xdr:col>14</xdr:col>
      <xdr:colOff>710787</xdr:colOff>
      <xdr:row>68</xdr:row>
      <xdr:rowOff>21234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F6DFBF2-59C9-41AD-BB37-EE3A58A0C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277503</xdr:colOff>
      <xdr:row>27</xdr:row>
      <xdr:rowOff>175489</xdr:rowOff>
    </xdr:from>
    <xdr:to>
      <xdr:col>35</xdr:col>
      <xdr:colOff>209468</xdr:colOff>
      <xdr:row>49</xdr:row>
      <xdr:rowOff>104733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C411710-8800-4380-A222-36D97E14A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319767</xdr:colOff>
      <xdr:row>36</xdr:row>
      <xdr:rowOff>2723</xdr:rowOff>
    </xdr:from>
    <xdr:to>
      <xdr:col>50</xdr:col>
      <xdr:colOff>129267</xdr:colOff>
      <xdr:row>49</xdr:row>
      <xdr:rowOff>92530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EA17AE4-7206-4DED-94E3-C26207627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285749</xdr:colOff>
      <xdr:row>22</xdr:row>
      <xdr:rowOff>70756</xdr:rowOff>
    </xdr:from>
    <xdr:to>
      <xdr:col>50</xdr:col>
      <xdr:colOff>95249</xdr:colOff>
      <xdr:row>35</xdr:row>
      <xdr:rowOff>146956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9BD7B48-7FA0-448C-8519-D6DBD36A4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43</xdr:col>
      <xdr:colOff>299356</xdr:colOff>
      <xdr:row>9</xdr:row>
      <xdr:rowOff>97970</xdr:rowOff>
    </xdr:from>
    <xdr:to>
      <xdr:col>50</xdr:col>
      <xdr:colOff>108856</xdr:colOff>
      <xdr:row>22</xdr:row>
      <xdr:rowOff>146956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C6F4797-3903-4A0A-B2BC-83AA87407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231321</xdr:colOff>
      <xdr:row>35</xdr:row>
      <xdr:rowOff>193222</xdr:rowOff>
    </xdr:from>
    <xdr:to>
      <xdr:col>43</xdr:col>
      <xdr:colOff>40821</xdr:colOff>
      <xdr:row>49</xdr:row>
      <xdr:rowOff>78922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BD330CAB-B660-4057-A18D-1C3F4C60A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244928</xdr:colOff>
      <xdr:row>21</xdr:row>
      <xdr:rowOff>193221</xdr:rowOff>
    </xdr:from>
    <xdr:to>
      <xdr:col>43</xdr:col>
      <xdr:colOff>54428</xdr:colOff>
      <xdr:row>35</xdr:row>
      <xdr:rowOff>65314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93FB17C2-C1CF-477E-98C7-6F8B54724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231321</xdr:colOff>
      <xdr:row>8</xdr:row>
      <xdr:rowOff>2721</xdr:rowOff>
    </xdr:from>
    <xdr:to>
      <xdr:col>43</xdr:col>
      <xdr:colOff>40821</xdr:colOff>
      <xdr:row>21</xdr:row>
      <xdr:rowOff>51706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395ED0D8-E52C-4EFE-9B63-414A76AB5E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08D-517C-4260-80E6-FB2ECBAC5C76}">
  <dimension ref="A1:AI57"/>
  <sheetViews>
    <sheetView topLeftCell="G1" zoomScale="55" zoomScaleNormal="55" workbookViewId="0">
      <selection activeCell="M11" sqref="M11"/>
    </sheetView>
  </sheetViews>
  <sheetFormatPr defaultRowHeight="16.5" x14ac:dyDescent="0.25"/>
  <cols>
    <col min="2" max="2" width="17.625" bestFit="1" customWidth="1"/>
    <col min="3" max="3" width="19.25" bestFit="1" customWidth="1"/>
    <col min="4" max="4" width="14" bestFit="1" customWidth="1"/>
    <col min="5" max="5" width="18.25" bestFit="1" customWidth="1"/>
    <col min="7" max="7" width="9" customWidth="1"/>
    <col min="9" max="9" width="12.125" customWidth="1"/>
    <col min="10" max="10" width="13.75" customWidth="1"/>
    <col min="11" max="11" width="16.125" customWidth="1"/>
    <col min="12" max="14" width="13.5" customWidth="1"/>
    <col min="15" max="15" width="14" customWidth="1"/>
    <col min="17" max="17" width="12.375" customWidth="1"/>
    <col min="32" max="32" width="13.625" bestFit="1" customWidth="1"/>
    <col min="33" max="33" width="13.625" customWidth="1"/>
  </cols>
  <sheetData>
    <row r="1" spans="1:35" x14ac:dyDescent="0.25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112</v>
      </c>
      <c r="J1" t="s">
        <v>8</v>
      </c>
      <c r="K1" t="s">
        <v>9</v>
      </c>
      <c r="L1" t="s">
        <v>105</v>
      </c>
      <c r="P1" t="s">
        <v>10</v>
      </c>
      <c r="Y1" t="s">
        <v>97</v>
      </c>
      <c r="Z1" t="s">
        <v>1</v>
      </c>
      <c r="AA1" t="s">
        <v>2</v>
      </c>
      <c r="AB1" t="s">
        <v>3</v>
      </c>
      <c r="AC1" t="s">
        <v>31</v>
      </c>
      <c r="AD1" t="s">
        <v>99</v>
      </c>
      <c r="AE1" t="s">
        <v>93</v>
      </c>
      <c r="AF1" t="s">
        <v>94</v>
      </c>
      <c r="AG1" t="s">
        <v>98</v>
      </c>
      <c r="AH1" t="s">
        <v>95</v>
      </c>
      <c r="AI1" t="s">
        <v>25</v>
      </c>
    </row>
    <row r="2" spans="1:35" ht="17.25" thickBot="1" x14ac:dyDescent="0.3">
      <c r="A2">
        <v>4</v>
      </c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L2">
        <f>K2*K4</f>
        <v>24</v>
      </c>
      <c r="Y2">
        <f>A2</f>
        <v>4</v>
      </c>
      <c r="Z2">
        <f>C2</f>
        <v>-1</v>
      </c>
      <c r="AA2">
        <f t="shared" ref="AA2:AB2" si="0">D2</f>
        <v>-1</v>
      </c>
      <c r="AB2">
        <f t="shared" si="0"/>
        <v>-1</v>
      </c>
      <c r="AC2" s="5">
        <f>I12</f>
        <v>61.43</v>
      </c>
      <c r="AD2" s="5">
        <f>I2</f>
        <v>59.026666666666664</v>
      </c>
      <c r="AE2">
        <f>$Q$26+$Q$27*B12+$Q$29*D12+$Q$31*C12*D12</f>
        <v>57.48749999999999</v>
      </c>
      <c r="AF2">
        <f>AC2-AE2</f>
        <v>3.9425000000000097</v>
      </c>
      <c r="AG2">
        <f>AC2-AD2</f>
        <v>2.403333333333336</v>
      </c>
      <c r="AH2">
        <f>(_xlfn.RANK.EQ(AF2,$AF$2:$AF$25,1)-0.5)/24*100</f>
        <v>85.416666666666657</v>
      </c>
      <c r="AI2">
        <f>_xlfn.NORM.INV(AH2/100,$AF$26,$AF$27)</f>
        <v>3.3017048961195758</v>
      </c>
    </row>
    <row r="3" spans="1:35" x14ac:dyDescent="0.25">
      <c r="A3">
        <v>2</v>
      </c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1">AVERAGE(F3:H3)</f>
        <v>76.313333333333333</v>
      </c>
      <c r="J3">
        <f t="shared" ref="J3:J9" si="2">VAR(F3:H3)</f>
        <v>1.1886333333333217</v>
      </c>
      <c r="K3" t="s">
        <v>11</v>
      </c>
      <c r="L3" t="s">
        <v>113</v>
      </c>
      <c r="P3" s="1" t="s">
        <v>12</v>
      </c>
      <c r="Q3" s="1"/>
      <c r="Y3">
        <f t="shared" ref="Y3:Y9" si="3">A3</f>
        <v>2</v>
      </c>
      <c r="Z3">
        <f t="shared" ref="Z3:Z9" si="4">C3</f>
        <v>1</v>
      </c>
      <c r="AA3">
        <f t="shared" ref="AA3:AA9" si="5">D3</f>
        <v>-1</v>
      </c>
      <c r="AB3">
        <f t="shared" ref="AB3:AB9" si="6">E3</f>
        <v>-1</v>
      </c>
      <c r="AC3" s="5">
        <f t="shared" ref="AC3:AC25" si="7">I13</f>
        <v>75.62</v>
      </c>
      <c r="AD3" s="5">
        <f t="shared" ref="AD3:AD9" si="8">I3</f>
        <v>76.313333333333333</v>
      </c>
      <c r="AE3">
        <f t="shared" ref="AE3:AE25" si="9">$Q$26+$Q$27*B13+$Q$29*D13+$Q$31*C13*D13</f>
        <v>78.956666666666649</v>
      </c>
      <c r="AF3">
        <f t="shared" ref="AF3:AF25" si="10">AC3-AE3</f>
        <v>-3.3366666666666447</v>
      </c>
      <c r="AG3">
        <f t="shared" ref="AG3:AG25" si="11">AC3-AD3</f>
        <v>-0.69333333333332803</v>
      </c>
      <c r="AH3">
        <f t="shared" ref="AH3:AH25" si="12">(_xlfn.RANK.EQ(AF3,$AF$2:$AF$25,1)-0.5)/24*100</f>
        <v>18.75</v>
      </c>
      <c r="AI3">
        <f t="shared" ref="AI3:AI25" si="13">_xlfn.NORM.INV(AH3/100,$AF$26,$AF$27)</f>
        <v>-2.7777834618357384</v>
      </c>
    </row>
    <row r="4" spans="1:35" x14ac:dyDescent="0.25">
      <c r="A4">
        <v>7</v>
      </c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1"/>
        <v>28.870000000000005</v>
      </c>
      <c r="J4">
        <f t="shared" si="2"/>
        <v>21.457599999999502</v>
      </c>
      <c r="K4">
        <v>3</v>
      </c>
      <c r="L4">
        <f>AVERAGE(I2:I9)</f>
        <v>49.868749999999999</v>
      </c>
      <c r="P4" t="s">
        <v>13</v>
      </c>
      <c r="Q4">
        <v>0.98944603157237543</v>
      </c>
      <c r="Y4">
        <f t="shared" si="3"/>
        <v>7</v>
      </c>
      <c r="Z4">
        <f t="shared" si="4"/>
        <v>-1</v>
      </c>
      <c r="AA4">
        <f t="shared" si="5"/>
        <v>1</v>
      </c>
      <c r="AB4">
        <f t="shared" si="6"/>
        <v>-1</v>
      </c>
      <c r="AC4" s="5">
        <f t="shared" si="7"/>
        <v>27.51</v>
      </c>
      <c r="AD4" s="5">
        <f t="shared" si="8"/>
        <v>28.870000000000005</v>
      </c>
      <c r="AE4">
        <f t="shared" si="9"/>
        <v>28.853333333333318</v>
      </c>
      <c r="AF4">
        <f t="shared" si="10"/>
        <v>-1.3433333333333159</v>
      </c>
      <c r="AG4">
        <f t="shared" si="11"/>
        <v>-1.360000000000003</v>
      </c>
      <c r="AH4">
        <f t="shared" si="12"/>
        <v>35.416666666666671</v>
      </c>
      <c r="AI4">
        <f t="shared" si="13"/>
        <v>-1.171346530098841</v>
      </c>
    </row>
    <row r="5" spans="1:35" x14ac:dyDescent="0.25">
      <c r="A5">
        <v>6</v>
      </c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1"/>
        <v>51.41</v>
      </c>
      <c r="J5">
        <f t="shared" si="2"/>
        <v>8.6447999999999858</v>
      </c>
      <c r="K5" t="s">
        <v>14</v>
      </c>
      <c r="L5" t="s">
        <v>119</v>
      </c>
      <c r="P5" t="s">
        <v>15</v>
      </c>
      <c r="Q5">
        <v>0.97900344939432205</v>
      </c>
      <c r="Y5">
        <f t="shared" si="3"/>
        <v>6</v>
      </c>
      <c r="Z5">
        <f t="shared" si="4"/>
        <v>1</v>
      </c>
      <c r="AA5">
        <f t="shared" si="5"/>
        <v>1</v>
      </c>
      <c r="AB5">
        <f t="shared" si="6"/>
        <v>-1</v>
      </c>
      <c r="AC5" s="5">
        <f t="shared" si="7"/>
        <v>51.37</v>
      </c>
      <c r="AD5" s="5">
        <f t="shared" si="8"/>
        <v>51.41</v>
      </c>
      <c r="AE5">
        <f t="shared" si="9"/>
        <v>50.322499999999984</v>
      </c>
      <c r="AF5">
        <f t="shared" si="10"/>
        <v>1.0475000000000136</v>
      </c>
      <c r="AG5">
        <f t="shared" si="11"/>
        <v>-3.9999999999999147E-2</v>
      </c>
      <c r="AH5">
        <f t="shared" si="12"/>
        <v>60.416666666666664</v>
      </c>
      <c r="AI5">
        <f t="shared" si="13"/>
        <v>0.82708217290775632</v>
      </c>
    </row>
    <row r="6" spans="1:35" x14ac:dyDescent="0.25">
      <c r="A6">
        <v>1</v>
      </c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1"/>
        <v>20.3</v>
      </c>
      <c r="J6">
        <f t="shared" si="2"/>
        <v>22.157100000000014</v>
      </c>
      <c r="K6" s="2">
        <f>AVERAGE(J2:J9)</f>
        <v>10.893966666666602</v>
      </c>
      <c r="L6" s="20" cm="1">
        <f t="array" ref="L6">SUM((F2:H9)^2)</f>
        <v>67986.9421</v>
      </c>
      <c r="M6" s="20"/>
      <c r="N6" s="20"/>
      <c r="O6" s="20"/>
      <c r="P6" t="s">
        <v>16</v>
      </c>
      <c r="Q6">
        <v>0.96981745850433798</v>
      </c>
      <c r="Y6">
        <f t="shared" si="3"/>
        <v>1</v>
      </c>
      <c r="Z6">
        <f t="shared" si="4"/>
        <v>-1</v>
      </c>
      <c r="AA6">
        <f t="shared" si="5"/>
        <v>-1</v>
      </c>
      <c r="AB6">
        <f t="shared" si="6"/>
        <v>1</v>
      </c>
      <c r="AC6" s="5">
        <f t="shared" si="7"/>
        <v>24.8</v>
      </c>
      <c r="AD6" s="5">
        <f t="shared" si="8"/>
        <v>20.3</v>
      </c>
      <c r="AE6">
        <f t="shared" si="9"/>
        <v>20.780833333333327</v>
      </c>
      <c r="AF6">
        <f t="shared" si="10"/>
        <v>4.0191666666666741</v>
      </c>
      <c r="AG6">
        <f t="shared" si="11"/>
        <v>4.5</v>
      </c>
      <c r="AH6">
        <f t="shared" si="12"/>
        <v>89.583333333333343</v>
      </c>
      <c r="AI6">
        <f t="shared" si="13"/>
        <v>3.9394847909951354</v>
      </c>
    </row>
    <row r="7" spans="1:35" x14ac:dyDescent="0.25">
      <c r="A7">
        <v>5</v>
      </c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1"/>
        <v>41.626666666666665</v>
      </c>
      <c r="J7">
        <f t="shared" si="2"/>
        <v>16.257233333333328</v>
      </c>
      <c r="K7" t="s">
        <v>17</v>
      </c>
      <c r="L7" t="s">
        <v>18</v>
      </c>
      <c r="M7" t="s">
        <v>19</v>
      </c>
      <c r="Q7" t="s">
        <v>20</v>
      </c>
      <c r="R7" s="3">
        <v>3.3006009553817135</v>
      </c>
      <c r="Y7">
        <f t="shared" si="3"/>
        <v>5</v>
      </c>
      <c r="Z7">
        <f t="shared" si="4"/>
        <v>1</v>
      </c>
      <c r="AA7">
        <f t="shared" si="5"/>
        <v>-1</v>
      </c>
      <c r="AB7">
        <f t="shared" si="6"/>
        <v>1</v>
      </c>
      <c r="AC7" s="5">
        <f t="shared" si="7"/>
        <v>43.58</v>
      </c>
      <c r="AD7" s="5">
        <f t="shared" si="8"/>
        <v>41.626666666666665</v>
      </c>
      <c r="AE7">
        <f t="shared" si="9"/>
        <v>42.249999999999993</v>
      </c>
      <c r="AF7">
        <f t="shared" si="10"/>
        <v>1.3300000000000054</v>
      </c>
      <c r="AG7">
        <f t="shared" si="11"/>
        <v>1.9533333333333331</v>
      </c>
      <c r="AH7">
        <f t="shared" si="12"/>
        <v>68.75</v>
      </c>
      <c r="AI7">
        <f t="shared" si="13"/>
        <v>1.5304292368910388</v>
      </c>
    </row>
    <row r="8" spans="1:35" ht="17.25" thickBot="1" x14ac:dyDescent="0.3">
      <c r="A8">
        <v>8</v>
      </c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1"/>
        <v>48.34</v>
      </c>
      <c r="J8">
        <f t="shared" si="2"/>
        <v>7.5390999999999906</v>
      </c>
      <c r="K8" s="4">
        <f>4*K6/(K2*K4)</f>
        <v>1.8156611111111003</v>
      </c>
      <c r="L8" s="4">
        <f>K8^0.5</f>
        <v>1.3474646975379727</v>
      </c>
      <c r="M8" s="5">
        <f>K8^0.5/2</f>
        <v>0.67373234876898636</v>
      </c>
      <c r="Q8" s="6" t="s">
        <v>21</v>
      </c>
      <c r="R8" s="6">
        <v>24</v>
      </c>
      <c r="Y8">
        <f t="shared" si="3"/>
        <v>8</v>
      </c>
      <c r="Z8">
        <f t="shared" si="4"/>
        <v>-1</v>
      </c>
      <c r="AA8">
        <f t="shared" si="5"/>
        <v>1</v>
      </c>
      <c r="AB8">
        <f t="shared" si="6"/>
        <v>1</v>
      </c>
      <c r="AC8" s="5">
        <f t="shared" si="7"/>
        <v>45.2</v>
      </c>
      <c r="AD8" s="5">
        <f t="shared" si="8"/>
        <v>48.34</v>
      </c>
      <c r="AE8">
        <f t="shared" si="9"/>
        <v>49.414999999999999</v>
      </c>
      <c r="AF8">
        <f t="shared" si="10"/>
        <v>-4.2149999999999963</v>
      </c>
      <c r="AG8">
        <f t="shared" si="11"/>
        <v>-3.1400000000000006</v>
      </c>
      <c r="AH8">
        <f t="shared" si="12"/>
        <v>10.416666666666668</v>
      </c>
      <c r="AI8">
        <f t="shared" si="13"/>
        <v>-3.9394847909951127</v>
      </c>
    </row>
    <row r="9" spans="1:35" x14ac:dyDescent="0.25">
      <c r="A9">
        <v>3</v>
      </c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1"/>
        <v>73.063333333333333</v>
      </c>
      <c r="J9">
        <f t="shared" si="2"/>
        <v>5.0052333333333312</v>
      </c>
      <c r="K9" t="s">
        <v>22</v>
      </c>
      <c r="L9">
        <f>K2*(K4-1)</f>
        <v>16</v>
      </c>
      <c r="M9" t="s">
        <v>23</v>
      </c>
      <c r="N9">
        <f>M19*K8^0.5</f>
        <v>3.9356501254355063</v>
      </c>
      <c r="O9">
        <f>N9/2</f>
        <v>1.9678250627177531</v>
      </c>
      <c r="Y9">
        <f t="shared" si="3"/>
        <v>3</v>
      </c>
      <c r="Z9">
        <f t="shared" si="4"/>
        <v>1</v>
      </c>
      <c r="AA9">
        <f t="shared" si="5"/>
        <v>1</v>
      </c>
      <c r="AB9">
        <f t="shared" si="6"/>
        <v>1</v>
      </c>
      <c r="AC9" s="5">
        <f t="shared" si="7"/>
        <v>70.510000000000005</v>
      </c>
      <c r="AD9" s="5">
        <f t="shared" si="8"/>
        <v>73.063333333333333</v>
      </c>
      <c r="AE9">
        <f t="shared" si="9"/>
        <v>70.884166666666658</v>
      </c>
      <c r="AF9">
        <f t="shared" si="10"/>
        <v>-0.37416666666665321</v>
      </c>
      <c r="AG9">
        <f t="shared" si="11"/>
        <v>-2.5533333333333275</v>
      </c>
      <c r="AH9">
        <f t="shared" si="12"/>
        <v>43.75</v>
      </c>
      <c r="AI9">
        <f t="shared" si="13"/>
        <v>-0.4925623772507744</v>
      </c>
    </row>
    <row r="10" spans="1:35" ht="17.25" thickBot="1" x14ac:dyDescent="0.3">
      <c r="L10" t="s">
        <v>24</v>
      </c>
      <c r="M10" t="s">
        <v>25</v>
      </c>
      <c r="P10" t="s">
        <v>26</v>
      </c>
      <c r="Y10">
        <f>A2</f>
        <v>4</v>
      </c>
      <c r="Z10">
        <f>Z2</f>
        <v>-1</v>
      </c>
      <c r="AA10">
        <f t="shared" ref="AA10:AB10" si="14">AA2</f>
        <v>-1</v>
      </c>
      <c r="AB10">
        <f t="shared" si="14"/>
        <v>-1</v>
      </c>
      <c r="AC10" s="10">
        <f t="shared" si="7"/>
        <v>58.58</v>
      </c>
      <c r="AD10" s="10">
        <f>I2</f>
        <v>59.026666666666664</v>
      </c>
      <c r="AE10">
        <f t="shared" si="9"/>
        <v>57.48749999999999</v>
      </c>
      <c r="AF10">
        <f t="shared" si="10"/>
        <v>1.0925000000000082</v>
      </c>
      <c r="AG10">
        <f t="shared" si="11"/>
        <v>-0.44666666666666544</v>
      </c>
      <c r="AH10">
        <f t="shared" si="12"/>
        <v>64.583333333333343</v>
      </c>
      <c r="AI10">
        <f t="shared" si="13"/>
        <v>1.1713465300988646</v>
      </c>
    </row>
    <row r="11" spans="1:35" x14ac:dyDescent="0.25">
      <c r="B11" t="s">
        <v>1</v>
      </c>
      <c r="C11" t="s">
        <v>2</v>
      </c>
      <c r="D11" t="s">
        <v>3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>
        <f>SUMPRODUCT(B12:B35,I12:I35)/(8/2*3)</f>
        <v>21.46916666666667</v>
      </c>
      <c r="L11">
        <f t="shared" ref="L11:L17" si="15">(_xlfn.RANK.EQ(K11,$K$11:$K$17,1)-0.5)/7*100</f>
        <v>78.571428571428569</v>
      </c>
      <c r="M11">
        <f t="shared" ref="M11:M17" si="16">_xlfn.NORM.INV(L11/100,0,$L$8)</f>
        <v>1.0667050771423081</v>
      </c>
      <c r="P11" s="7"/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37</v>
      </c>
      <c r="Y11">
        <f t="shared" ref="Y11:Y17" si="17">A3</f>
        <v>2</v>
      </c>
      <c r="Z11">
        <f t="shared" ref="Z11:AB11" si="18">Z3</f>
        <v>1</v>
      </c>
      <c r="AA11">
        <f t="shared" si="18"/>
        <v>-1</v>
      </c>
      <c r="AB11">
        <f t="shared" si="18"/>
        <v>-1</v>
      </c>
      <c r="AC11" s="10">
        <f t="shared" si="7"/>
        <v>77.569999999999993</v>
      </c>
      <c r="AD11" s="10">
        <f t="shared" ref="AD11:AD17" si="19">I3</f>
        <v>76.313333333333333</v>
      </c>
      <c r="AE11">
        <f t="shared" si="9"/>
        <v>78.956666666666649</v>
      </c>
      <c r="AF11">
        <f t="shared" si="10"/>
        <v>-1.3866666666666561</v>
      </c>
      <c r="AG11">
        <f t="shared" si="11"/>
        <v>1.2566666666666606</v>
      </c>
      <c r="AH11">
        <f t="shared" si="12"/>
        <v>31.25</v>
      </c>
      <c r="AI11">
        <f t="shared" si="13"/>
        <v>-1.5304292368910171</v>
      </c>
    </row>
    <row r="12" spans="1:35" x14ac:dyDescent="0.25">
      <c r="B12">
        <f>C2</f>
        <v>-1</v>
      </c>
      <c r="C12">
        <f t="shared" ref="C12:D12" si="20">D2</f>
        <v>-1</v>
      </c>
      <c r="D12">
        <f t="shared" si="20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5">
        <f>F2</f>
        <v>61.43</v>
      </c>
      <c r="J12" t="s">
        <v>38</v>
      </c>
      <c r="K12">
        <f>SUMPRODUCT(C12:C35,I12:I35)/(8/2*3)</f>
        <v>1.1041666666666672</v>
      </c>
      <c r="L12">
        <f t="shared" si="15"/>
        <v>35.714285714285715</v>
      </c>
      <c r="M12">
        <f t="shared" si="16"/>
        <v>-0.49331539133300878</v>
      </c>
      <c r="P12" t="s">
        <v>39</v>
      </c>
      <c r="Q12">
        <v>7</v>
      </c>
      <c r="R12" s="21">
        <v>8127.2251958333318</v>
      </c>
      <c r="S12">
        <v>1161.0321708333331</v>
      </c>
      <c r="T12">
        <v>106.57570436541312</v>
      </c>
      <c r="U12">
        <v>3.2000830664664587E-12</v>
      </c>
      <c r="Y12">
        <f t="shared" si="17"/>
        <v>7</v>
      </c>
      <c r="Z12">
        <f t="shared" ref="Z12:AB12" si="21">Z4</f>
        <v>-1</v>
      </c>
      <c r="AA12">
        <f t="shared" si="21"/>
        <v>1</v>
      </c>
      <c r="AB12">
        <f t="shared" si="21"/>
        <v>-1</v>
      </c>
      <c r="AC12" s="10">
        <f t="shared" si="7"/>
        <v>34.03</v>
      </c>
      <c r="AD12" s="10">
        <f t="shared" si="19"/>
        <v>28.870000000000005</v>
      </c>
      <c r="AE12">
        <f t="shared" si="9"/>
        <v>28.853333333333318</v>
      </c>
      <c r="AF12">
        <f t="shared" si="10"/>
        <v>5.1766666666666836</v>
      </c>
      <c r="AG12">
        <f t="shared" si="11"/>
        <v>5.1599999999999966</v>
      </c>
      <c r="AH12">
        <f t="shared" si="12"/>
        <v>97.916666666666657</v>
      </c>
      <c r="AI12">
        <f t="shared" si="13"/>
        <v>6.3776205949555091</v>
      </c>
    </row>
    <row r="13" spans="1:35" x14ac:dyDescent="0.25">
      <c r="B13">
        <f t="shared" ref="B13:D19" si="22">C3</f>
        <v>1</v>
      </c>
      <c r="C13">
        <f t="shared" si="22"/>
        <v>-1</v>
      </c>
      <c r="D13">
        <f t="shared" si="22"/>
        <v>-1</v>
      </c>
      <c r="E13">
        <f t="shared" ref="E13:F19" si="23">B13*C13</f>
        <v>-1</v>
      </c>
      <c r="F13">
        <f t="shared" si="23"/>
        <v>1</v>
      </c>
      <c r="G13">
        <f t="shared" ref="G13:G19" si="24">B13*D13</f>
        <v>-1</v>
      </c>
      <c r="H13">
        <f t="shared" ref="H13:H19" si="25">B13*C13*D13</f>
        <v>1</v>
      </c>
      <c r="I13" s="5">
        <f t="shared" ref="I13:I19" si="26">F3</f>
        <v>75.62</v>
      </c>
      <c r="J13" t="s">
        <v>40</v>
      </c>
      <c r="K13">
        <f>SUMPRODUCT(D12:D35,I12:I35)/(8/2*3)</f>
        <v>-8.072499999999998</v>
      </c>
      <c r="L13">
        <f t="shared" si="15"/>
        <v>7.1428571428571423</v>
      </c>
      <c r="M13">
        <f t="shared" si="16"/>
        <v>-1.9743508092834139</v>
      </c>
      <c r="P13" t="s">
        <v>41</v>
      </c>
      <c r="Q13">
        <v>16</v>
      </c>
      <c r="R13" s="25">
        <v>174.30346666666688</v>
      </c>
      <c r="S13" s="2">
        <v>10.89396666666668</v>
      </c>
      <c r="Y13">
        <f t="shared" si="17"/>
        <v>6</v>
      </c>
      <c r="Z13">
        <f t="shared" ref="Z13:AB13" si="27">Z5</f>
        <v>1</v>
      </c>
      <c r="AA13">
        <f t="shared" si="27"/>
        <v>1</v>
      </c>
      <c r="AB13">
        <f t="shared" si="27"/>
        <v>-1</v>
      </c>
      <c r="AC13" s="10">
        <f t="shared" si="7"/>
        <v>48.49</v>
      </c>
      <c r="AD13" s="10">
        <f t="shared" si="19"/>
        <v>51.41</v>
      </c>
      <c r="AE13">
        <f t="shared" si="9"/>
        <v>50.322499999999984</v>
      </c>
      <c r="AF13">
        <f t="shared" si="10"/>
        <v>-1.8324999999999818</v>
      </c>
      <c r="AG13">
        <f t="shared" si="11"/>
        <v>-2.9199999999999946</v>
      </c>
      <c r="AH13">
        <f t="shared" si="12"/>
        <v>27.083333333333332</v>
      </c>
      <c r="AI13">
        <f t="shared" si="13"/>
        <v>-1.9109201944016225</v>
      </c>
    </row>
    <row r="14" spans="1:35" ht="17.25" thickBot="1" x14ac:dyDescent="0.3">
      <c r="B14">
        <f t="shared" si="22"/>
        <v>-1</v>
      </c>
      <c r="C14">
        <f t="shared" si="22"/>
        <v>1</v>
      </c>
      <c r="D14">
        <f t="shared" si="22"/>
        <v>-1</v>
      </c>
      <c r="E14">
        <f t="shared" si="23"/>
        <v>-1</v>
      </c>
      <c r="F14">
        <f t="shared" si="23"/>
        <v>-1</v>
      </c>
      <c r="G14">
        <f t="shared" si="24"/>
        <v>1</v>
      </c>
      <c r="H14">
        <f t="shared" si="25"/>
        <v>1</v>
      </c>
      <c r="I14" s="5">
        <f t="shared" si="26"/>
        <v>27.51</v>
      </c>
      <c r="J14" t="s">
        <v>42</v>
      </c>
      <c r="K14">
        <f>SUMPRODUCT(E12:E35,I12:I35)/(8/2*3)</f>
        <v>2.1625000000000001</v>
      </c>
      <c r="L14">
        <f t="shared" si="15"/>
        <v>64.285714285714292</v>
      </c>
      <c r="M14">
        <f t="shared" si="16"/>
        <v>0.49331539133300889</v>
      </c>
      <c r="P14" s="6" t="s">
        <v>43</v>
      </c>
      <c r="Q14" s="6">
        <v>23</v>
      </c>
      <c r="R14" s="24">
        <v>8301.528662499999</v>
      </c>
      <c r="S14" s="6"/>
      <c r="T14" s="6"/>
      <c r="U14" s="6"/>
      <c r="Y14">
        <f t="shared" si="17"/>
        <v>1</v>
      </c>
      <c r="Z14">
        <f t="shared" ref="Z14:AB14" si="28">Z6</f>
        <v>-1</v>
      </c>
      <c r="AA14">
        <f t="shared" si="28"/>
        <v>-1</v>
      </c>
      <c r="AB14">
        <f t="shared" si="28"/>
        <v>1</v>
      </c>
      <c r="AC14" s="10">
        <f t="shared" si="7"/>
        <v>20.69</v>
      </c>
      <c r="AD14" s="10">
        <f t="shared" si="19"/>
        <v>20.3</v>
      </c>
      <c r="AE14">
        <f t="shared" si="9"/>
        <v>20.780833333333327</v>
      </c>
      <c r="AF14">
        <f t="shared" si="10"/>
        <v>-9.0833333333325328E-2</v>
      </c>
      <c r="AG14">
        <f t="shared" si="11"/>
        <v>0.39000000000000057</v>
      </c>
      <c r="AH14">
        <f t="shared" si="12"/>
        <v>47.916666666666671</v>
      </c>
      <c r="AI14">
        <f t="shared" si="13"/>
        <v>-0.16358717343096266</v>
      </c>
    </row>
    <row r="15" spans="1:35" ht="17.25" thickBot="1" x14ac:dyDescent="0.3">
      <c r="B15">
        <f t="shared" si="22"/>
        <v>1</v>
      </c>
      <c r="C15">
        <f t="shared" si="22"/>
        <v>1</v>
      </c>
      <c r="D15">
        <f t="shared" si="22"/>
        <v>-1</v>
      </c>
      <c r="E15">
        <f t="shared" si="23"/>
        <v>1</v>
      </c>
      <c r="F15">
        <f t="shared" si="23"/>
        <v>-1</v>
      </c>
      <c r="G15">
        <f t="shared" si="24"/>
        <v>-1</v>
      </c>
      <c r="H15">
        <f t="shared" si="25"/>
        <v>-1</v>
      </c>
      <c r="I15" s="5">
        <f t="shared" si="26"/>
        <v>51.37</v>
      </c>
      <c r="J15" t="s">
        <v>44</v>
      </c>
      <c r="K15">
        <f>SUMPRODUCT(F12:F35,I12:I35)/(8/2*3)</f>
        <v>28.634166666666669</v>
      </c>
      <c r="L15">
        <f t="shared" si="15"/>
        <v>92.857142857142861</v>
      </c>
      <c r="M15">
        <f t="shared" si="16"/>
        <v>1.9743508092834146</v>
      </c>
      <c r="Y15">
        <f t="shared" si="17"/>
        <v>5</v>
      </c>
      <c r="Z15">
        <f t="shared" ref="Z15:AB15" si="29">Z7</f>
        <v>1</v>
      </c>
      <c r="AA15">
        <f t="shared" si="29"/>
        <v>-1</v>
      </c>
      <c r="AB15">
        <f t="shared" si="29"/>
        <v>1</v>
      </c>
      <c r="AC15" s="10">
        <f t="shared" si="7"/>
        <v>44.31</v>
      </c>
      <c r="AD15" s="10">
        <f t="shared" si="19"/>
        <v>41.626666666666665</v>
      </c>
      <c r="AE15">
        <f>$Q$26+$Q$27*B25+$Q$29*D25+$Q$31*C25*D25</f>
        <v>42.249999999999993</v>
      </c>
      <c r="AF15">
        <f t="shared" si="10"/>
        <v>2.0600000000000094</v>
      </c>
      <c r="AG15">
        <f t="shared" si="11"/>
        <v>2.6833333333333371</v>
      </c>
      <c r="AH15">
        <f t="shared" si="12"/>
        <v>72.916666666666657</v>
      </c>
      <c r="AI15">
        <f t="shared" si="13"/>
        <v>1.910920194401643</v>
      </c>
    </row>
    <row r="16" spans="1:35" x14ac:dyDescent="0.25">
      <c r="B16">
        <f t="shared" si="22"/>
        <v>-1</v>
      </c>
      <c r="C16">
        <f t="shared" si="22"/>
        <v>-1</v>
      </c>
      <c r="D16">
        <f t="shared" si="22"/>
        <v>1</v>
      </c>
      <c r="E16">
        <f t="shared" si="23"/>
        <v>1</v>
      </c>
      <c r="F16">
        <f t="shared" si="23"/>
        <v>-1</v>
      </c>
      <c r="G16">
        <f t="shared" si="24"/>
        <v>-1</v>
      </c>
      <c r="H16">
        <f t="shared" si="25"/>
        <v>1</v>
      </c>
      <c r="I16" s="5">
        <f t="shared" si="26"/>
        <v>24.8</v>
      </c>
      <c r="J16" t="s">
        <v>45</v>
      </c>
      <c r="K16">
        <f>SUMPRODUCT(G12:G35,I12:I35)/(8/2*3)</f>
        <v>1.5558333333333347</v>
      </c>
      <c r="L16">
        <f t="shared" si="15"/>
        <v>50</v>
      </c>
      <c r="M16">
        <f t="shared" si="16"/>
        <v>0</v>
      </c>
      <c r="P16" s="7"/>
      <c r="Q16" s="7" t="s">
        <v>46</v>
      </c>
      <c r="R16" s="7" t="s">
        <v>47</v>
      </c>
      <c r="S16" s="7" t="s">
        <v>48</v>
      </c>
      <c r="T16" s="7" t="s">
        <v>49</v>
      </c>
      <c r="U16" s="7" t="s">
        <v>50</v>
      </c>
      <c r="V16" s="7" t="s">
        <v>51</v>
      </c>
      <c r="W16" s="7" t="s">
        <v>52</v>
      </c>
      <c r="X16" s="7" t="s">
        <v>53</v>
      </c>
      <c r="Y16">
        <f t="shared" si="17"/>
        <v>8</v>
      </c>
      <c r="Z16">
        <f t="shared" ref="Z16:AB16" si="30">Z8</f>
        <v>-1</v>
      </c>
      <c r="AA16">
        <f t="shared" si="30"/>
        <v>1</v>
      </c>
      <c r="AB16">
        <f t="shared" si="30"/>
        <v>1</v>
      </c>
      <c r="AC16" s="10">
        <f t="shared" si="7"/>
        <v>49.53</v>
      </c>
      <c r="AD16" s="10">
        <f t="shared" si="19"/>
        <v>48.34</v>
      </c>
      <c r="AE16">
        <f t="shared" si="9"/>
        <v>49.414999999999999</v>
      </c>
      <c r="AF16">
        <f t="shared" si="10"/>
        <v>0.11500000000000199</v>
      </c>
      <c r="AG16">
        <f t="shared" si="11"/>
        <v>1.1899999999999977</v>
      </c>
      <c r="AH16">
        <f t="shared" si="12"/>
        <v>52.083333333333336</v>
      </c>
      <c r="AI16">
        <f t="shared" si="13"/>
        <v>0.16358717343098547</v>
      </c>
    </row>
    <row r="17" spans="2:35" x14ac:dyDescent="0.25">
      <c r="B17">
        <f t="shared" si="22"/>
        <v>1</v>
      </c>
      <c r="C17">
        <f t="shared" si="22"/>
        <v>-1</v>
      </c>
      <c r="D17">
        <f t="shared" si="22"/>
        <v>1</v>
      </c>
      <c r="E17">
        <f t="shared" si="23"/>
        <v>-1</v>
      </c>
      <c r="F17">
        <f t="shared" si="23"/>
        <v>-1</v>
      </c>
      <c r="G17">
        <f t="shared" si="24"/>
        <v>1</v>
      </c>
      <c r="H17">
        <f t="shared" si="25"/>
        <v>-1</v>
      </c>
      <c r="I17" s="5">
        <f t="shared" si="26"/>
        <v>43.58</v>
      </c>
      <c r="J17" t="s">
        <v>54</v>
      </c>
      <c r="K17">
        <f>SUMPRODUCT(H12:H35,I12:I35)/(8/2*3)</f>
        <v>-0.4641666666666649</v>
      </c>
      <c r="L17">
        <f t="shared" si="15"/>
        <v>21.428571428571427</v>
      </c>
      <c r="M17">
        <f t="shared" si="16"/>
        <v>-1.0667050771423081</v>
      </c>
      <c r="P17" t="s">
        <v>55</v>
      </c>
      <c r="Q17">
        <v>49.868750000000006</v>
      </c>
      <c r="R17" s="5">
        <v>0.67373234876898891</v>
      </c>
      <c r="S17">
        <v>74.01863676446257</v>
      </c>
      <c r="T17">
        <v>1.0163243607548037E-21</v>
      </c>
      <c r="U17">
        <v>48.440501223587844</v>
      </c>
      <c r="V17">
        <v>51.296998776412167</v>
      </c>
      <c r="W17" s="8">
        <v>47.900924937282248</v>
      </c>
      <c r="X17" s="8">
        <v>51.836575062717763</v>
      </c>
      <c r="Y17">
        <f t="shared" si="17"/>
        <v>3</v>
      </c>
      <c r="Z17">
        <f t="shared" ref="Z17:AB17" si="31">Z9</f>
        <v>1</v>
      </c>
      <c r="AA17">
        <f t="shared" si="31"/>
        <v>1</v>
      </c>
      <c r="AB17">
        <f t="shared" si="31"/>
        <v>1</v>
      </c>
      <c r="AC17" s="10">
        <f t="shared" si="7"/>
        <v>74</v>
      </c>
      <c r="AD17" s="10">
        <f t="shared" si="19"/>
        <v>73.063333333333333</v>
      </c>
      <c r="AE17">
        <f t="shared" si="9"/>
        <v>70.884166666666658</v>
      </c>
      <c r="AF17">
        <f t="shared" si="10"/>
        <v>3.1158333333333417</v>
      </c>
      <c r="AG17">
        <f t="shared" si="11"/>
        <v>0.93666666666666742</v>
      </c>
      <c r="AH17">
        <f t="shared" si="12"/>
        <v>77.083333333333343</v>
      </c>
      <c r="AI17">
        <f t="shared" si="13"/>
        <v>2.3220376041503594</v>
      </c>
    </row>
    <row r="18" spans="2:35" x14ac:dyDescent="0.25">
      <c r="B18">
        <f t="shared" si="22"/>
        <v>-1</v>
      </c>
      <c r="C18">
        <f t="shared" si="22"/>
        <v>1</v>
      </c>
      <c r="D18">
        <f t="shared" si="22"/>
        <v>1</v>
      </c>
      <c r="E18">
        <f t="shared" si="23"/>
        <v>-1</v>
      </c>
      <c r="F18">
        <f t="shared" si="23"/>
        <v>1</v>
      </c>
      <c r="G18">
        <f t="shared" si="24"/>
        <v>-1</v>
      </c>
      <c r="H18">
        <f t="shared" si="25"/>
        <v>-1</v>
      </c>
      <c r="I18" s="5">
        <f t="shared" si="26"/>
        <v>45.2</v>
      </c>
      <c r="L18" t="s">
        <v>56</v>
      </c>
      <c r="M18" t="s">
        <v>57</v>
      </c>
      <c r="P18" t="s">
        <v>58</v>
      </c>
      <c r="Q18">
        <v>10.734583333333333</v>
      </c>
      <c r="R18" s="5">
        <v>0.67373234876898869</v>
      </c>
      <c r="S18">
        <v>15.933008639034547</v>
      </c>
      <c r="T18">
        <v>3.0810835246894781E-11</v>
      </c>
      <c r="U18">
        <v>9.306334556921172</v>
      </c>
      <c r="V18">
        <v>12.162832109745494</v>
      </c>
      <c r="W18" s="8">
        <v>8.766758270615572</v>
      </c>
      <c r="X18" s="8">
        <v>12.702408396051094</v>
      </c>
      <c r="Y18">
        <f>A2</f>
        <v>4</v>
      </c>
      <c r="Z18">
        <f>Z10</f>
        <v>-1</v>
      </c>
      <c r="AA18">
        <f t="shared" ref="AA18:AB18" si="32">AA10</f>
        <v>-1</v>
      </c>
      <c r="AB18">
        <f t="shared" si="32"/>
        <v>-1</v>
      </c>
      <c r="AC18" s="14">
        <f t="shared" si="7"/>
        <v>57.07</v>
      </c>
      <c r="AD18" s="14">
        <f>I2</f>
        <v>59.026666666666664</v>
      </c>
      <c r="AE18">
        <f t="shared" si="9"/>
        <v>57.48749999999999</v>
      </c>
      <c r="AF18">
        <f t="shared" si="10"/>
        <v>-0.41749999999998977</v>
      </c>
      <c r="AG18">
        <f t="shared" si="11"/>
        <v>-1.9566666666666634</v>
      </c>
      <c r="AH18">
        <f t="shared" si="12"/>
        <v>39.583333333333329</v>
      </c>
      <c r="AI18">
        <f t="shared" si="13"/>
        <v>-0.827082172907735</v>
      </c>
    </row>
    <row r="19" spans="2:35" x14ac:dyDescent="0.25">
      <c r="B19">
        <f t="shared" si="22"/>
        <v>1</v>
      </c>
      <c r="C19">
        <f t="shared" si="22"/>
        <v>1</v>
      </c>
      <c r="D19">
        <f t="shared" si="22"/>
        <v>1</v>
      </c>
      <c r="E19">
        <f t="shared" si="23"/>
        <v>1</v>
      </c>
      <c r="F19">
        <f t="shared" si="23"/>
        <v>1</v>
      </c>
      <c r="G19">
        <f t="shared" si="24"/>
        <v>1</v>
      </c>
      <c r="H19">
        <f t="shared" si="25"/>
        <v>1</v>
      </c>
      <c r="I19" s="5">
        <f t="shared" si="26"/>
        <v>70.510000000000005</v>
      </c>
      <c r="J19" t="s">
        <v>59</v>
      </c>
      <c r="K19">
        <f>(K11-0)/$K$8^0.5</f>
        <v>15.933008639034604</v>
      </c>
      <c r="L19">
        <f t="shared" ref="L19:L25" si="33">_xlfn.T.INV(0.005,$L$9)</f>
        <v>-2.9207816224251002</v>
      </c>
      <c r="M19" s="9">
        <f t="shared" ref="M19:M25" si="34">_xlfn.T.INV(0.995,$L$9)</f>
        <v>2.9207816224250998</v>
      </c>
      <c r="N19" s="9"/>
      <c r="O19" s="9"/>
      <c r="P19" t="s">
        <v>60</v>
      </c>
      <c r="Q19">
        <v>0.55208333333333437</v>
      </c>
      <c r="R19" s="5">
        <v>0.67373234876898869</v>
      </c>
      <c r="S19">
        <v>0.81944014465399273</v>
      </c>
      <c r="T19">
        <v>0.42457404740800841</v>
      </c>
      <c r="U19">
        <v>-0.87616544307882749</v>
      </c>
      <c r="V19">
        <v>1.9803321097454962</v>
      </c>
      <c r="W19" s="8">
        <v>-1.4157417293844259</v>
      </c>
      <c r="X19" s="8">
        <v>2.5199083960510946</v>
      </c>
      <c r="Y19">
        <f t="shared" ref="Y19:Y25" si="35">A3</f>
        <v>2</v>
      </c>
      <c r="Z19">
        <f t="shared" ref="Z19:AB19" si="36">Z11</f>
        <v>1</v>
      </c>
      <c r="AA19">
        <f t="shared" si="36"/>
        <v>-1</v>
      </c>
      <c r="AB19">
        <f t="shared" si="36"/>
        <v>-1</v>
      </c>
      <c r="AC19" s="14">
        <f t="shared" si="7"/>
        <v>75.75</v>
      </c>
      <c r="AD19" s="14">
        <f t="shared" ref="AD19:AD25" si="37">I3</f>
        <v>76.313333333333333</v>
      </c>
      <c r="AE19">
        <f t="shared" si="9"/>
        <v>78.956666666666649</v>
      </c>
      <c r="AF19">
        <f t="shared" si="10"/>
        <v>-3.2066666666666492</v>
      </c>
      <c r="AG19">
        <f t="shared" si="11"/>
        <v>-0.56333333333333258</v>
      </c>
      <c r="AH19">
        <f t="shared" si="12"/>
        <v>22.916666666666664</v>
      </c>
      <c r="AI19">
        <f t="shared" si="13"/>
        <v>-2.3220376041503372</v>
      </c>
    </row>
    <row r="20" spans="2:35" x14ac:dyDescent="0.25">
      <c r="B20">
        <f>C2</f>
        <v>-1</v>
      </c>
      <c r="C20">
        <f t="shared" ref="C20:D20" si="38">D2</f>
        <v>-1</v>
      </c>
      <c r="D20">
        <f t="shared" si="38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10">
        <f t="shared" ref="I20:I27" si="39">G2</f>
        <v>58.58</v>
      </c>
      <c r="J20" t="s">
        <v>61</v>
      </c>
      <c r="K20">
        <f t="shared" ref="K20:K25" si="40">(K12-0)/$K$8^0.5</f>
        <v>0.8194401446539944</v>
      </c>
      <c r="L20">
        <f t="shared" si="33"/>
        <v>-2.9207816224251002</v>
      </c>
      <c r="M20" s="9">
        <f t="shared" si="34"/>
        <v>2.9207816224250998</v>
      </c>
      <c r="P20" t="s">
        <v>62</v>
      </c>
      <c r="Q20">
        <v>-4.0362499999999972</v>
      </c>
      <c r="R20" s="5">
        <v>0.67373234876898891</v>
      </c>
      <c r="S20">
        <v>-5.9908805141609092</v>
      </c>
      <c r="T20">
        <v>1.8844248146767218E-5</v>
      </c>
      <c r="U20">
        <v>-5.4644987764121593</v>
      </c>
      <c r="V20">
        <v>-2.6080012235878351</v>
      </c>
      <c r="W20" s="8">
        <v>-6.0040750627177584</v>
      </c>
      <c r="X20" s="8">
        <v>-2.0684249372822361</v>
      </c>
      <c r="Y20">
        <f t="shared" si="35"/>
        <v>7</v>
      </c>
      <c r="Z20">
        <f t="shared" ref="Z20:AB20" si="41">Z12</f>
        <v>-1</v>
      </c>
      <c r="AA20">
        <f t="shared" si="41"/>
        <v>1</v>
      </c>
      <c r="AB20">
        <f t="shared" si="41"/>
        <v>-1</v>
      </c>
      <c r="AC20" s="14">
        <f t="shared" si="7"/>
        <v>25.07</v>
      </c>
      <c r="AD20" s="14">
        <f t="shared" si="37"/>
        <v>28.870000000000005</v>
      </c>
      <c r="AE20">
        <f t="shared" si="9"/>
        <v>28.853333333333318</v>
      </c>
      <c r="AF20">
        <f t="shared" si="10"/>
        <v>-3.7833333333333172</v>
      </c>
      <c r="AG20">
        <f t="shared" si="11"/>
        <v>-3.8000000000000043</v>
      </c>
      <c r="AH20">
        <f t="shared" si="12"/>
        <v>14.583333333333334</v>
      </c>
      <c r="AI20">
        <f t="shared" si="13"/>
        <v>-3.3017048961195545</v>
      </c>
    </row>
    <row r="21" spans="2:35" x14ac:dyDescent="0.25">
      <c r="B21">
        <f t="shared" ref="B21:D27" si="42">C3</f>
        <v>1</v>
      </c>
      <c r="C21">
        <f t="shared" si="42"/>
        <v>-1</v>
      </c>
      <c r="D21">
        <f t="shared" si="42"/>
        <v>-1</v>
      </c>
      <c r="E21">
        <f t="shared" ref="E21:F27" si="43">B21*C21</f>
        <v>-1</v>
      </c>
      <c r="F21">
        <f t="shared" si="43"/>
        <v>1</v>
      </c>
      <c r="G21">
        <f t="shared" ref="G21:G27" si="44">B21*D21</f>
        <v>-1</v>
      </c>
      <c r="H21">
        <f t="shared" ref="H21:H27" si="45">B21*C21*D21</f>
        <v>1</v>
      </c>
      <c r="I21" s="10">
        <f t="shared" si="39"/>
        <v>77.569999999999993</v>
      </c>
      <c r="J21" t="s">
        <v>63</v>
      </c>
      <c r="K21">
        <f t="shared" si="40"/>
        <v>-5.990880514160934</v>
      </c>
      <c r="L21">
        <f t="shared" si="33"/>
        <v>-2.9207816224251002</v>
      </c>
      <c r="M21" s="9">
        <f t="shared" si="34"/>
        <v>2.9207816224250998</v>
      </c>
      <c r="P21" t="s">
        <v>64</v>
      </c>
      <c r="Q21">
        <v>1.0812500000000012</v>
      </c>
      <c r="R21" s="5">
        <v>0.67373234876898891</v>
      </c>
      <c r="S21">
        <v>1.6048657927374406</v>
      </c>
      <c r="T21">
        <v>0.12807737096597094</v>
      </c>
      <c r="U21">
        <v>-0.34699877641216115</v>
      </c>
      <c r="V21">
        <v>2.5094987764121637</v>
      </c>
      <c r="W21" s="8">
        <v>-0.88657506271775977</v>
      </c>
      <c r="X21" s="8">
        <v>3.0490750627177619</v>
      </c>
      <c r="Y21">
        <f t="shared" si="35"/>
        <v>6</v>
      </c>
      <c r="Z21">
        <f t="shared" ref="Z21:AB21" si="46">Z13</f>
        <v>1</v>
      </c>
      <c r="AA21">
        <f t="shared" si="46"/>
        <v>1</v>
      </c>
      <c r="AB21">
        <f t="shared" si="46"/>
        <v>-1</v>
      </c>
      <c r="AC21" s="14">
        <f t="shared" si="7"/>
        <v>54.37</v>
      </c>
      <c r="AD21" s="14">
        <f t="shared" si="37"/>
        <v>51.41</v>
      </c>
      <c r="AE21">
        <f t="shared" si="9"/>
        <v>50.322499999999984</v>
      </c>
      <c r="AF21">
        <f t="shared" si="10"/>
        <v>4.0475000000000136</v>
      </c>
      <c r="AG21">
        <f t="shared" si="11"/>
        <v>2.9600000000000009</v>
      </c>
      <c r="AH21">
        <f t="shared" si="12"/>
        <v>93.75</v>
      </c>
      <c r="AI21">
        <f t="shared" si="13"/>
        <v>4.8035520548914157</v>
      </c>
    </row>
    <row r="22" spans="2:35" x14ac:dyDescent="0.25">
      <c r="B22">
        <f t="shared" si="42"/>
        <v>-1</v>
      </c>
      <c r="C22">
        <f t="shared" si="42"/>
        <v>1</v>
      </c>
      <c r="D22">
        <f t="shared" si="42"/>
        <v>-1</v>
      </c>
      <c r="E22">
        <f t="shared" si="43"/>
        <v>-1</v>
      </c>
      <c r="F22">
        <f t="shared" si="43"/>
        <v>-1</v>
      </c>
      <c r="G22">
        <f t="shared" si="44"/>
        <v>1</v>
      </c>
      <c r="H22">
        <f t="shared" si="45"/>
        <v>1</v>
      </c>
      <c r="I22" s="10">
        <f t="shared" si="39"/>
        <v>34.03</v>
      </c>
      <c r="J22" t="s">
        <v>65</v>
      </c>
      <c r="K22">
        <f t="shared" si="40"/>
        <v>1.604865792737445</v>
      </c>
      <c r="L22">
        <f t="shared" si="33"/>
        <v>-2.9207816224251002</v>
      </c>
      <c r="M22" s="9">
        <f t="shared" si="34"/>
        <v>2.9207816224250998</v>
      </c>
      <c r="P22" t="s">
        <v>66</v>
      </c>
      <c r="Q22">
        <v>14.317083333333336</v>
      </c>
      <c r="R22" s="5">
        <v>0.67373234876898891</v>
      </c>
      <c r="S22">
        <v>21.250402121098709</v>
      </c>
      <c r="T22">
        <v>3.749069900593742E-13</v>
      </c>
      <c r="U22">
        <v>12.888834556921173</v>
      </c>
      <c r="V22">
        <v>15.745332109745499</v>
      </c>
      <c r="W22" s="8">
        <v>12.349258270615575</v>
      </c>
      <c r="X22" s="8">
        <v>16.284908396051097</v>
      </c>
      <c r="Y22">
        <f t="shared" si="35"/>
        <v>1</v>
      </c>
      <c r="Z22">
        <f t="shared" ref="Z22:AB22" si="47">Z14</f>
        <v>-1</v>
      </c>
      <c r="AA22">
        <f t="shared" si="47"/>
        <v>-1</v>
      </c>
      <c r="AB22">
        <f t="shared" si="47"/>
        <v>1</v>
      </c>
      <c r="AC22" s="14">
        <f t="shared" si="7"/>
        <v>15.41</v>
      </c>
      <c r="AD22" s="14">
        <f t="shared" si="37"/>
        <v>20.3</v>
      </c>
      <c r="AE22">
        <f t="shared" si="9"/>
        <v>20.780833333333327</v>
      </c>
      <c r="AF22">
        <f t="shared" si="10"/>
        <v>-5.3708333333333265</v>
      </c>
      <c r="AG22">
        <f t="shared" si="11"/>
        <v>-4.8900000000000006</v>
      </c>
      <c r="AH22">
        <f t="shared" si="12"/>
        <v>2.083333333333333</v>
      </c>
      <c r="AI22">
        <f t="shared" si="13"/>
        <v>-6.3776205949554976</v>
      </c>
    </row>
    <row r="23" spans="2:35" x14ac:dyDescent="0.25">
      <c r="B23">
        <f t="shared" si="42"/>
        <v>1</v>
      </c>
      <c r="C23">
        <f t="shared" si="42"/>
        <v>1</v>
      </c>
      <c r="D23">
        <f t="shared" si="42"/>
        <v>-1</v>
      </c>
      <c r="E23">
        <f t="shared" si="43"/>
        <v>1</v>
      </c>
      <c r="F23">
        <f t="shared" si="43"/>
        <v>-1</v>
      </c>
      <c r="G23">
        <f t="shared" si="44"/>
        <v>-1</v>
      </c>
      <c r="H23">
        <f t="shared" si="45"/>
        <v>-1</v>
      </c>
      <c r="I23" s="10">
        <f t="shared" si="39"/>
        <v>48.49</v>
      </c>
      <c r="J23" t="s">
        <v>67</v>
      </c>
      <c r="K23">
        <f t="shared" si="40"/>
        <v>21.250402121098787</v>
      </c>
      <c r="L23">
        <f t="shared" si="33"/>
        <v>-2.9207816224251002</v>
      </c>
      <c r="M23" s="9">
        <f t="shared" si="34"/>
        <v>2.9207816224250998</v>
      </c>
      <c r="P23" t="s">
        <v>68</v>
      </c>
      <c r="Q23">
        <v>0.77791666666666759</v>
      </c>
      <c r="R23" s="5">
        <v>0.67373234876898869</v>
      </c>
      <c r="S23">
        <v>1.1546375472218893</v>
      </c>
      <c r="T23">
        <v>0.26519329780781253</v>
      </c>
      <c r="U23">
        <v>-0.65033210974549427</v>
      </c>
      <c r="V23">
        <v>2.2061654430788296</v>
      </c>
      <c r="W23" s="8">
        <v>-1.1899083960510928</v>
      </c>
      <c r="X23" s="8">
        <v>2.7457417293844277</v>
      </c>
      <c r="Y23">
        <f t="shared" si="35"/>
        <v>5</v>
      </c>
      <c r="Z23">
        <f t="shared" ref="Z23:AB23" si="48">Z15</f>
        <v>1</v>
      </c>
      <c r="AA23">
        <f t="shared" si="48"/>
        <v>-1</v>
      </c>
      <c r="AB23">
        <f t="shared" si="48"/>
        <v>1</v>
      </c>
      <c r="AC23" s="14">
        <f t="shared" si="7"/>
        <v>36.99</v>
      </c>
      <c r="AD23" s="14">
        <f t="shared" si="37"/>
        <v>41.626666666666665</v>
      </c>
      <c r="AE23">
        <f t="shared" si="9"/>
        <v>42.249999999999993</v>
      </c>
      <c r="AF23">
        <f t="shared" si="10"/>
        <v>-5.2599999999999909</v>
      </c>
      <c r="AG23">
        <f t="shared" si="11"/>
        <v>-4.6366666666666632</v>
      </c>
      <c r="AH23">
        <f t="shared" si="12"/>
        <v>6.25</v>
      </c>
      <c r="AI23">
        <f t="shared" si="13"/>
        <v>-4.8035520548913917</v>
      </c>
    </row>
    <row r="24" spans="2:35" ht="17.25" thickBot="1" x14ac:dyDescent="0.3">
      <c r="B24">
        <f t="shared" si="42"/>
        <v>-1</v>
      </c>
      <c r="C24">
        <f t="shared" si="42"/>
        <v>-1</v>
      </c>
      <c r="D24">
        <f t="shared" si="42"/>
        <v>1</v>
      </c>
      <c r="E24">
        <f t="shared" si="43"/>
        <v>1</v>
      </c>
      <c r="F24">
        <f t="shared" si="43"/>
        <v>-1</v>
      </c>
      <c r="G24">
        <f t="shared" si="44"/>
        <v>-1</v>
      </c>
      <c r="H24">
        <f t="shared" si="45"/>
        <v>1</v>
      </c>
      <c r="I24" s="10">
        <f t="shared" si="39"/>
        <v>20.69</v>
      </c>
      <c r="J24" t="s">
        <v>69</v>
      </c>
      <c r="K24">
        <f t="shared" si="40"/>
        <v>1.154637547221893</v>
      </c>
      <c r="L24">
        <f t="shared" si="33"/>
        <v>-2.9207816224251002</v>
      </c>
      <c r="M24" s="9">
        <f t="shared" si="34"/>
        <v>2.9207816224250998</v>
      </c>
      <c r="P24" s="6" t="s">
        <v>70</v>
      </c>
      <c r="Q24" s="6">
        <v>-0.23208333333333375</v>
      </c>
      <c r="R24" s="11">
        <v>0.67373234876898891</v>
      </c>
      <c r="S24" s="6">
        <v>-0.34447408345077263</v>
      </c>
      <c r="T24" s="6">
        <v>0.73497586712810792</v>
      </c>
      <c r="U24" s="6">
        <v>-1.6603321097454962</v>
      </c>
      <c r="V24" s="6">
        <v>1.1961654430788284</v>
      </c>
      <c r="W24" s="12">
        <v>-2.1999083960510948</v>
      </c>
      <c r="X24" s="12">
        <v>1.7357417293844271</v>
      </c>
      <c r="Y24">
        <f t="shared" si="35"/>
        <v>8</v>
      </c>
      <c r="Z24">
        <f t="shared" ref="Z24:AB24" si="49">Z16</f>
        <v>-1</v>
      </c>
      <c r="AA24">
        <f t="shared" si="49"/>
        <v>1</v>
      </c>
      <c r="AB24">
        <f t="shared" si="49"/>
        <v>1</v>
      </c>
      <c r="AC24" s="14">
        <f t="shared" si="7"/>
        <v>50.29</v>
      </c>
      <c r="AD24" s="14">
        <f t="shared" si="37"/>
        <v>48.34</v>
      </c>
      <c r="AE24">
        <f t="shared" si="9"/>
        <v>49.414999999999999</v>
      </c>
      <c r="AF24">
        <f t="shared" si="10"/>
        <v>0.875</v>
      </c>
      <c r="AG24">
        <f t="shared" si="11"/>
        <v>1.9499999999999957</v>
      </c>
      <c r="AH24">
        <f t="shared" si="12"/>
        <v>56.25</v>
      </c>
      <c r="AI24">
        <f t="shared" si="13"/>
        <v>0.49256237725079627</v>
      </c>
    </row>
    <row r="25" spans="2:35" x14ac:dyDescent="0.25">
      <c r="B25">
        <f t="shared" si="42"/>
        <v>1</v>
      </c>
      <c r="C25">
        <f t="shared" si="42"/>
        <v>-1</v>
      </c>
      <c r="D25">
        <f t="shared" si="42"/>
        <v>1</v>
      </c>
      <c r="E25">
        <f t="shared" si="43"/>
        <v>-1</v>
      </c>
      <c r="F25">
        <f t="shared" si="43"/>
        <v>-1</v>
      </c>
      <c r="G25">
        <f t="shared" si="44"/>
        <v>1</v>
      </c>
      <c r="H25">
        <f t="shared" si="45"/>
        <v>-1</v>
      </c>
      <c r="I25" s="10">
        <f t="shared" si="39"/>
        <v>44.31</v>
      </c>
      <c r="J25" t="s">
        <v>71</v>
      </c>
      <c r="K25">
        <f t="shared" si="40"/>
        <v>-0.34447408345077202</v>
      </c>
      <c r="L25">
        <f t="shared" si="33"/>
        <v>-2.9207816224251002</v>
      </c>
      <c r="M25" s="9">
        <f t="shared" si="34"/>
        <v>2.9207816224250998</v>
      </c>
      <c r="P25" t="s">
        <v>72</v>
      </c>
      <c r="Q25" t="s">
        <v>73</v>
      </c>
      <c r="R25" t="s">
        <v>74</v>
      </c>
      <c r="S25" t="s">
        <v>75</v>
      </c>
      <c r="T25" t="s">
        <v>76</v>
      </c>
      <c r="Y25">
        <f t="shared" si="35"/>
        <v>3</v>
      </c>
      <c r="Z25">
        <f t="shared" ref="Z25:AB25" si="50">Z17</f>
        <v>1</v>
      </c>
      <c r="AA25">
        <f t="shared" si="50"/>
        <v>1</v>
      </c>
      <c r="AB25">
        <f t="shared" si="50"/>
        <v>1</v>
      </c>
      <c r="AC25" s="19">
        <f t="shared" si="7"/>
        <v>74.680000000000007</v>
      </c>
      <c r="AD25" s="14">
        <f t="shared" si="37"/>
        <v>73.063333333333333</v>
      </c>
      <c r="AE25" s="18">
        <f t="shared" si="9"/>
        <v>70.884166666666658</v>
      </c>
      <c r="AF25" s="18">
        <f t="shared" si="10"/>
        <v>3.7958333333333485</v>
      </c>
      <c r="AG25">
        <f t="shared" si="11"/>
        <v>1.6166666666666742</v>
      </c>
      <c r="AH25" s="18">
        <f t="shared" si="12"/>
        <v>81.25</v>
      </c>
      <c r="AI25" s="18">
        <f t="shared" si="13"/>
        <v>2.7777834618357606</v>
      </c>
    </row>
    <row r="26" spans="2:35" x14ac:dyDescent="0.25">
      <c r="B26">
        <f t="shared" si="42"/>
        <v>-1</v>
      </c>
      <c r="C26">
        <f t="shared" si="42"/>
        <v>1</v>
      </c>
      <c r="D26">
        <f t="shared" si="42"/>
        <v>1</v>
      </c>
      <c r="E26">
        <f t="shared" si="43"/>
        <v>-1</v>
      </c>
      <c r="F26">
        <f t="shared" si="43"/>
        <v>1</v>
      </c>
      <c r="G26">
        <f t="shared" si="44"/>
        <v>-1</v>
      </c>
      <c r="H26">
        <f t="shared" si="45"/>
        <v>-1</v>
      </c>
      <c r="I26" s="10">
        <f t="shared" si="39"/>
        <v>49.53</v>
      </c>
      <c r="M26" s="9"/>
      <c r="P26" t="s">
        <v>77</v>
      </c>
      <c r="Q26" s="13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  <c r="AE26" t="s">
        <v>7</v>
      </c>
      <c r="AF26">
        <f>AVERAGE(AF2:AF25)</f>
        <v>1.0954200509634878E-14</v>
      </c>
    </row>
    <row r="27" spans="2:35" x14ac:dyDescent="0.25">
      <c r="B27">
        <f t="shared" si="42"/>
        <v>1</v>
      </c>
      <c r="C27">
        <f t="shared" si="42"/>
        <v>1</v>
      </c>
      <c r="D27">
        <f t="shared" si="42"/>
        <v>1</v>
      </c>
      <c r="E27">
        <f t="shared" si="43"/>
        <v>1</v>
      </c>
      <c r="F27">
        <f t="shared" si="43"/>
        <v>1</v>
      </c>
      <c r="G27">
        <f t="shared" si="44"/>
        <v>1</v>
      </c>
      <c r="H27">
        <f t="shared" si="45"/>
        <v>1</v>
      </c>
      <c r="I27" s="10">
        <f t="shared" si="39"/>
        <v>74</v>
      </c>
      <c r="J27" t="s">
        <v>78</v>
      </c>
      <c r="K27">
        <f t="shared" ref="K27:K33" si="51">K11-$N$9</f>
        <v>17.533516541231165</v>
      </c>
      <c r="L27" s="9">
        <f t="shared" ref="L27:L33" si="52">K11+$N$9</f>
        <v>25.404816792102174</v>
      </c>
      <c r="M27" s="9"/>
      <c r="P27" t="s">
        <v>79</v>
      </c>
      <c r="Q27" s="13">
        <f t="shared" ref="Q27:Q33" si="53">K11/2</f>
        <v>10.734583333333335</v>
      </c>
      <c r="R27" s="8">
        <f t="shared" ref="R27:S33" si="54">K27/2</f>
        <v>8.7667582706155827</v>
      </c>
      <c r="S27" s="8">
        <f t="shared" si="54"/>
        <v>12.702408396051087</v>
      </c>
      <c r="T27" t="str">
        <f t="shared" ref="T27:T33" si="55">IF(OR(R27&gt;0,S27&lt;0),"reject","accept")</f>
        <v>reject</v>
      </c>
      <c r="AE27" t="s">
        <v>96</v>
      </c>
      <c r="AF27">
        <f>_xlfn.STDEV.S(AF2:AF25)</f>
        <v>3.13114381563717</v>
      </c>
    </row>
    <row r="28" spans="2:35" x14ac:dyDescent="0.25">
      <c r="B28">
        <f>C2</f>
        <v>-1</v>
      </c>
      <c r="C28">
        <f t="shared" ref="C28:D28" si="56">D2</f>
        <v>-1</v>
      </c>
      <c r="D28">
        <f t="shared" si="56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4">
        <f t="shared" ref="I28:I35" si="57">H2</f>
        <v>57.07</v>
      </c>
      <c r="J28" t="s">
        <v>80</v>
      </c>
      <c r="K28">
        <f t="shared" si="51"/>
        <v>-2.8314834587688393</v>
      </c>
      <c r="L28" s="9">
        <f t="shared" si="52"/>
        <v>5.0398167921021733</v>
      </c>
      <c r="M28" s="9"/>
      <c r="P28" t="s">
        <v>81</v>
      </c>
      <c r="Q28">
        <f t="shared" si="53"/>
        <v>0.55208333333333359</v>
      </c>
      <c r="R28" s="8">
        <f t="shared" si="54"/>
        <v>-1.4157417293844197</v>
      </c>
      <c r="S28" s="8">
        <f t="shared" si="54"/>
        <v>2.5199083960510866</v>
      </c>
      <c r="T28" t="str">
        <f t="shared" si="55"/>
        <v>accept</v>
      </c>
    </row>
    <row r="29" spans="2:35" x14ac:dyDescent="0.25">
      <c r="B29">
        <f t="shared" ref="B29:D35" si="58">C3</f>
        <v>1</v>
      </c>
      <c r="C29">
        <f t="shared" si="58"/>
        <v>-1</v>
      </c>
      <c r="D29">
        <f t="shared" si="58"/>
        <v>-1</v>
      </c>
      <c r="E29">
        <f t="shared" ref="E29:F35" si="59">B29*C29</f>
        <v>-1</v>
      </c>
      <c r="F29">
        <f t="shared" si="59"/>
        <v>1</v>
      </c>
      <c r="G29">
        <f t="shared" ref="G29:G35" si="60">B29*D29</f>
        <v>-1</v>
      </c>
      <c r="H29">
        <f t="shared" ref="H29:H35" si="61">B29*C29*D29</f>
        <v>1</v>
      </c>
      <c r="I29" s="14">
        <f t="shared" si="57"/>
        <v>75.75</v>
      </c>
      <c r="J29" t="s">
        <v>82</v>
      </c>
      <c r="K29">
        <f t="shared" si="51"/>
        <v>-12.008150125435504</v>
      </c>
      <c r="L29" s="9">
        <f t="shared" si="52"/>
        <v>-4.1368498745644917</v>
      </c>
      <c r="M29" s="9"/>
      <c r="P29" t="s">
        <v>83</v>
      </c>
      <c r="Q29" s="13">
        <f t="shared" si="53"/>
        <v>-4.036249999999999</v>
      </c>
      <c r="R29" s="8">
        <f t="shared" si="54"/>
        <v>-6.0040750627177522</v>
      </c>
      <c r="S29" s="8">
        <f t="shared" si="54"/>
        <v>-2.0684249372822459</v>
      </c>
      <c r="T29" t="str">
        <f t="shared" si="55"/>
        <v>reject</v>
      </c>
      <c r="V29" t="s">
        <v>77</v>
      </c>
    </row>
    <row r="30" spans="2:35" x14ac:dyDescent="0.25">
      <c r="B30">
        <f t="shared" si="58"/>
        <v>-1</v>
      </c>
      <c r="C30">
        <f t="shared" si="58"/>
        <v>1</v>
      </c>
      <c r="D30">
        <f t="shared" si="58"/>
        <v>-1</v>
      </c>
      <c r="E30">
        <f t="shared" si="59"/>
        <v>-1</v>
      </c>
      <c r="F30">
        <f t="shared" si="59"/>
        <v>-1</v>
      </c>
      <c r="G30">
        <f t="shared" si="60"/>
        <v>1</v>
      </c>
      <c r="H30">
        <f t="shared" si="61"/>
        <v>1</v>
      </c>
      <c r="I30" s="14">
        <f t="shared" si="57"/>
        <v>25.07</v>
      </c>
      <c r="J30" t="s">
        <v>84</v>
      </c>
      <c r="K30">
        <f t="shared" si="51"/>
        <v>-1.7731501254355062</v>
      </c>
      <c r="L30" s="9">
        <f t="shared" si="52"/>
        <v>6.0981501254355059</v>
      </c>
      <c r="M30" s="9"/>
      <c r="P30" s="15" t="s">
        <v>85</v>
      </c>
      <c r="Q30">
        <f t="shared" si="53"/>
        <v>1.08125</v>
      </c>
      <c r="R30" s="8">
        <f t="shared" si="54"/>
        <v>-0.8865750627177531</v>
      </c>
      <c r="S30" s="8">
        <f t="shared" si="54"/>
        <v>3.049075062717753</v>
      </c>
      <c r="T30" t="str">
        <f t="shared" si="55"/>
        <v>accept</v>
      </c>
      <c r="V30" t="s">
        <v>79</v>
      </c>
    </row>
    <row r="31" spans="2:35" x14ac:dyDescent="0.25">
      <c r="B31">
        <f t="shared" si="58"/>
        <v>1</v>
      </c>
      <c r="C31">
        <f t="shared" si="58"/>
        <v>1</v>
      </c>
      <c r="D31">
        <f t="shared" si="58"/>
        <v>-1</v>
      </c>
      <c r="E31">
        <f t="shared" si="59"/>
        <v>1</v>
      </c>
      <c r="F31">
        <f t="shared" si="59"/>
        <v>-1</v>
      </c>
      <c r="G31">
        <f t="shared" si="60"/>
        <v>-1</v>
      </c>
      <c r="H31">
        <f t="shared" si="61"/>
        <v>-1</v>
      </c>
      <c r="I31" s="14">
        <f t="shared" si="57"/>
        <v>54.37</v>
      </c>
      <c r="J31" t="s">
        <v>86</v>
      </c>
      <c r="K31">
        <f t="shared" si="51"/>
        <v>24.698516541231164</v>
      </c>
      <c r="L31" s="9">
        <f t="shared" si="52"/>
        <v>32.569816792102174</v>
      </c>
      <c r="M31" s="9"/>
      <c r="P31" t="s">
        <v>87</v>
      </c>
      <c r="Q31" s="13">
        <f t="shared" si="53"/>
        <v>14.317083333333334</v>
      </c>
      <c r="R31" s="8">
        <f t="shared" si="54"/>
        <v>12.349258270615582</v>
      </c>
      <c r="S31" s="8">
        <f t="shared" si="54"/>
        <v>16.284908396051087</v>
      </c>
      <c r="T31" t="str">
        <f t="shared" si="55"/>
        <v>reject</v>
      </c>
      <c r="V31" t="s">
        <v>88</v>
      </c>
    </row>
    <row r="32" spans="2:35" x14ac:dyDescent="0.25">
      <c r="B32">
        <f t="shared" si="58"/>
        <v>-1</v>
      </c>
      <c r="C32">
        <f t="shared" si="58"/>
        <v>-1</v>
      </c>
      <c r="D32">
        <f t="shared" si="58"/>
        <v>1</v>
      </c>
      <c r="E32">
        <f t="shared" si="59"/>
        <v>1</v>
      </c>
      <c r="F32">
        <f t="shared" si="59"/>
        <v>-1</v>
      </c>
      <c r="G32">
        <f t="shared" si="60"/>
        <v>-1</v>
      </c>
      <c r="H32">
        <f t="shared" si="61"/>
        <v>1</v>
      </c>
      <c r="I32" s="14">
        <f t="shared" si="57"/>
        <v>15.41</v>
      </c>
      <c r="J32" t="s">
        <v>89</v>
      </c>
      <c r="K32">
        <f t="shared" si="51"/>
        <v>-2.3798167921021713</v>
      </c>
      <c r="L32" s="9">
        <f t="shared" si="52"/>
        <v>5.4914834587688413</v>
      </c>
      <c r="M32" s="9"/>
      <c r="P32" t="s">
        <v>90</v>
      </c>
      <c r="Q32">
        <f t="shared" si="53"/>
        <v>0.77791666666666737</v>
      </c>
      <c r="R32" s="8">
        <f t="shared" si="54"/>
        <v>-1.1899083960510857</v>
      </c>
      <c r="S32" s="8">
        <f t="shared" si="54"/>
        <v>2.7457417293844206</v>
      </c>
      <c r="T32" t="str">
        <f t="shared" si="55"/>
        <v>accept</v>
      </c>
      <c r="V32" t="s">
        <v>90</v>
      </c>
    </row>
    <row r="33" spans="2:20" x14ac:dyDescent="0.25">
      <c r="B33">
        <f t="shared" si="58"/>
        <v>1</v>
      </c>
      <c r="C33">
        <f t="shared" si="58"/>
        <v>-1</v>
      </c>
      <c r="D33">
        <f t="shared" si="58"/>
        <v>1</v>
      </c>
      <c r="E33">
        <f t="shared" si="59"/>
        <v>-1</v>
      </c>
      <c r="F33">
        <f t="shared" si="59"/>
        <v>-1</v>
      </c>
      <c r="G33">
        <f t="shared" si="60"/>
        <v>1</v>
      </c>
      <c r="H33">
        <f t="shared" si="61"/>
        <v>-1</v>
      </c>
      <c r="I33" s="14">
        <f t="shared" si="57"/>
        <v>36.99</v>
      </c>
      <c r="J33" t="s">
        <v>91</v>
      </c>
      <c r="K33">
        <f t="shared" si="51"/>
        <v>-4.3998167921021709</v>
      </c>
      <c r="L33" s="9">
        <f t="shared" si="52"/>
        <v>3.4714834587688412</v>
      </c>
      <c r="M33" s="9"/>
      <c r="P33" t="s">
        <v>92</v>
      </c>
      <c r="Q33">
        <f t="shared" si="53"/>
        <v>-0.23208333333333245</v>
      </c>
      <c r="R33" s="8">
        <f t="shared" si="54"/>
        <v>-2.1999083960510855</v>
      </c>
      <c r="S33" s="8">
        <f t="shared" si="54"/>
        <v>1.7357417293844206</v>
      </c>
      <c r="T33" t="str">
        <f t="shared" si="55"/>
        <v>accept</v>
      </c>
    </row>
    <row r="34" spans="2:20" x14ac:dyDescent="0.25">
      <c r="B34">
        <f t="shared" si="58"/>
        <v>-1</v>
      </c>
      <c r="C34">
        <f t="shared" si="58"/>
        <v>1</v>
      </c>
      <c r="D34">
        <f t="shared" si="58"/>
        <v>1</v>
      </c>
      <c r="E34">
        <f t="shared" si="59"/>
        <v>-1</v>
      </c>
      <c r="F34">
        <f t="shared" si="59"/>
        <v>1</v>
      </c>
      <c r="G34">
        <f t="shared" si="60"/>
        <v>-1</v>
      </c>
      <c r="H34">
        <f t="shared" si="61"/>
        <v>-1</v>
      </c>
      <c r="I34" s="14">
        <f t="shared" si="57"/>
        <v>50.29</v>
      </c>
      <c r="M34" s="9"/>
    </row>
    <row r="35" spans="2:20" x14ac:dyDescent="0.25">
      <c r="B35">
        <f t="shared" si="58"/>
        <v>1</v>
      </c>
      <c r="C35">
        <f t="shared" si="58"/>
        <v>1</v>
      </c>
      <c r="D35">
        <f t="shared" si="58"/>
        <v>1</v>
      </c>
      <c r="E35">
        <f t="shared" si="59"/>
        <v>1</v>
      </c>
      <c r="F35">
        <f t="shared" si="59"/>
        <v>1</v>
      </c>
      <c r="G35">
        <f t="shared" si="60"/>
        <v>1</v>
      </c>
      <c r="H35">
        <f t="shared" si="61"/>
        <v>1</v>
      </c>
      <c r="I35" s="14">
        <f t="shared" si="57"/>
        <v>74.680000000000007</v>
      </c>
      <c r="M35" s="9"/>
      <c r="Q35" t="s">
        <v>1</v>
      </c>
      <c r="R35" t="s">
        <v>2</v>
      </c>
      <c r="S35" t="s">
        <v>3</v>
      </c>
      <c r="T35" t="s">
        <v>93</v>
      </c>
    </row>
    <row r="36" spans="2:20" x14ac:dyDescent="0.25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25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25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  <row r="41" spans="2:20" x14ac:dyDescent="0.25">
      <c r="B41" t="s">
        <v>113</v>
      </c>
      <c r="C41" t="s">
        <v>114</v>
      </c>
      <c r="D41" t="s">
        <v>115</v>
      </c>
      <c r="E41" t="s">
        <v>115</v>
      </c>
      <c r="F41" t="s">
        <v>115</v>
      </c>
      <c r="Q41" s="145" t="s">
        <v>103</v>
      </c>
      <c r="R41" s="145"/>
      <c r="S41" s="145"/>
    </row>
    <row r="42" spans="2:20" x14ac:dyDescent="0.25">
      <c r="B42">
        <f>L4</f>
        <v>49.868749999999999</v>
      </c>
      <c r="C42">
        <f>I2-$L$4</f>
        <v>9.1579166666666652</v>
      </c>
      <c r="D42">
        <f>F2-$I2</f>
        <v>2.403333333333336</v>
      </c>
      <c r="E42">
        <f t="shared" ref="E42:F42" si="62">G2-$I2</f>
        <v>-0.44666666666666544</v>
      </c>
      <c r="F42">
        <f t="shared" si="62"/>
        <v>-1.9566666666666634</v>
      </c>
      <c r="Q42" t="s">
        <v>106</v>
      </c>
      <c r="R42" t="s">
        <v>107</v>
      </c>
    </row>
    <row r="43" spans="2:20" x14ac:dyDescent="0.25">
      <c r="B43" t="s">
        <v>9</v>
      </c>
      <c r="C43">
        <f t="shared" ref="C43:C49" si="63">I3-$L$4</f>
        <v>26.444583333333334</v>
      </c>
      <c r="D43">
        <f t="shared" ref="D43:D49" si="64">F3-$I3</f>
        <v>-0.69333333333332803</v>
      </c>
      <c r="E43">
        <f t="shared" ref="E43:E49" si="65">G3-$I3</f>
        <v>1.2566666666666606</v>
      </c>
      <c r="F43">
        <f t="shared" ref="F43:F49" si="66">H3-$I3</f>
        <v>-0.56333333333333258</v>
      </c>
      <c r="Q43">
        <f>($K$4-1)*LN(J2)</f>
        <v>3.1793001700568033</v>
      </c>
      <c r="R43">
        <f>1/($K$4-1)</f>
        <v>0.5</v>
      </c>
    </row>
    <row r="44" spans="2:20" x14ac:dyDescent="0.25">
      <c r="B44">
        <f>K2</f>
        <v>8</v>
      </c>
      <c r="C44">
        <f t="shared" si="63"/>
        <v>-20.998749999999994</v>
      </c>
      <c r="D44">
        <f t="shared" si="64"/>
        <v>-1.360000000000003</v>
      </c>
      <c r="E44">
        <f t="shared" si="65"/>
        <v>5.1599999999999966</v>
      </c>
      <c r="F44">
        <f t="shared" si="66"/>
        <v>-3.8000000000000043</v>
      </c>
      <c r="Q44">
        <f t="shared" ref="Q44:Q50" si="67">($K$4-1)*LN(J3)</f>
        <v>0.34560837550967544</v>
      </c>
      <c r="R44">
        <f t="shared" ref="R44:R50" si="68">1/($K$4-1)</f>
        <v>0.5</v>
      </c>
    </row>
    <row r="45" spans="2:20" x14ac:dyDescent="0.25">
      <c r="B45" t="s">
        <v>11</v>
      </c>
      <c r="C45">
        <f t="shared" si="63"/>
        <v>1.541249999999998</v>
      </c>
      <c r="D45">
        <f t="shared" si="64"/>
        <v>-3.9999999999999147E-2</v>
      </c>
      <c r="E45">
        <f t="shared" si="65"/>
        <v>-2.9199999999999946</v>
      </c>
      <c r="F45">
        <f t="shared" si="66"/>
        <v>2.9600000000000009</v>
      </c>
      <c r="Q45">
        <f t="shared" si="67"/>
        <v>6.1321577899490309</v>
      </c>
      <c r="R45">
        <f t="shared" si="68"/>
        <v>0.5</v>
      </c>
    </row>
    <row r="46" spans="2:20" x14ac:dyDescent="0.25">
      <c r="B46">
        <f>K4</f>
        <v>3</v>
      </c>
      <c r="C46">
        <f t="shared" si="63"/>
        <v>-29.568749999999998</v>
      </c>
      <c r="D46">
        <f t="shared" si="64"/>
        <v>4.5</v>
      </c>
      <c r="E46">
        <f t="shared" si="65"/>
        <v>0.39000000000000057</v>
      </c>
      <c r="F46">
        <f t="shared" si="66"/>
        <v>-4.8900000000000006</v>
      </c>
      <c r="Q46">
        <f t="shared" si="67"/>
        <v>4.3139159682153254</v>
      </c>
      <c r="R46">
        <f t="shared" si="68"/>
        <v>0.5</v>
      </c>
    </row>
    <row r="47" spans="2:20" x14ac:dyDescent="0.25">
      <c r="C47">
        <f t="shared" si="63"/>
        <v>-8.2420833333333334</v>
      </c>
      <c r="D47">
        <f t="shared" si="64"/>
        <v>1.9533333333333331</v>
      </c>
      <c r="E47">
        <f t="shared" si="65"/>
        <v>2.6833333333333371</v>
      </c>
      <c r="F47">
        <f t="shared" si="66"/>
        <v>-4.6366666666666632</v>
      </c>
      <c r="Q47">
        <f t="shared" si="67"/>
        <v>6.1963159737786659</v>
      </c>
      <c r="R47">
        <f t="shared" si="68"/>
        <v>0.5</v>
      </c>
    </row>
    <row r="48" spans="2:20" x14ac:dyDescent="0.25">
      <c r="C48">
        <f t="shared" si="63"/>
        <v>-1.5287499999999952</v>
      </c>
      <c r="D48">
        <f t="shared" si="64"/>
        <v>-3.1400000000000006</v>
      </c>
      <c r="E48">
        <f t="shared" si="65"/>
        <v>1.1899999999999977</v>
      </c>
      <c r="F48">
        <f t="shared" si="66"/>
        <v>1.9499999999999957</v>
      </c>
      <c r="Q48">
        <f t="shared" si="67"/>
        <v>5.5770758758814081</v>
      </c>
      <c r="R48">
        <f t="shared" si="68"/>
        <v>0.5</v>
      </c>
    </row>
    <row r="49" spans="2:19" x14ac:dyDescent="0.25">
      <c r="C49">
        <f t="shared" si="63"/>
        <v>23.194583333333334</v>
      </c>
      <c r="D49">
        <f t="shared" si="64"/>
        <v>-2.5533333333333275</v>
      </c>
      <c r="E49">
        <f t="shared" si="65"/>
        <v>0.93666666666666742</v>
      </c>
      <c r="F49">
        <f t="shared" si="66"/>
        <v>1.6166666666666742</v>
      </c>
      <c r="Q49">
        <f t="shared" si="67"/>
        <v>4.0402056230005217</v>
      </c>
      <c r="R49">
        <f t="shared" si="68"/>
        <v>0.5</v>
      </c>
    </row>
    <row r="50" spans="2:19" x14ac:dyDescent="0.25">
      <c r="B50" t="s">
        <v>116</v>
      </c>
      <c r="C50" t="s">
        <v>117</v>
      </c>
      <c r="D50" t="s">
        <v>118</v>
      </c>
      <c r="E50" t="s">
        <v>119</v>
      </c>
      <c r="F50" t="s">
        <v>120</v>
      </c>
      <c r="Q50">
        <f t="shared" si="67"/>
        <v>3.2209680634542459</v>
      </c>
      <c r="R50">
        <f t="shared" si="68"/>
        <v>0.5</v>
      </c>
    </row>
    <row r="51" spans="2:19" x14ac:dyDescent="0.25">
      <c r="B51">
        <f>B44*B46*B42^2</f>
        <v>59685.413437499992</v>
      </c>
      <c r="C51" s="21" cm="1">
        <f t="array" ref="C51">B46*SUM((C42:C49)^2)</f>
        <v>8127.2251958333327</v>
      </c>
      <c r="D51" s="25" cm="1">
        <f t="array" ref="D51">SUM((D42:F49)^2)</f>
        <v>174.30346666666662</v>
      </c>
      <c r="E51">
        <f>SUM(B51:D51)</f>
        <v>67986.942099999986</v>
      </c>
      <c r="F51" s="23">
        <f>E51-B51</f>
        <v>8301.5286624999935</v>
      </c>
      <c r="Q51" t="s">
        <v>104</v>
      </c>
      <c r="R51" t="s">
        <v>108</v>
      </c>
    </row>
    <row r="52" spans="2:19" ht="17.25" thickBot="1" x14ac:dyDescent="0.3">
      <c r="Q52">
        <f>(L2-K2)*LN(K6)-SUM(Q43:Q50)</f>
        <v>5.2057980668508534</v>
      </c>
      <c r="R52">
        <f>1+1/(3*(K2-1))*(SUM(R43:R50)-1/(L2-K2))</f>
        <v>1.1875</v>
      </c>
    </row>
    <row r="53" spans="2:19" x14ac:dyDescent="0.25">
      <c r="B53" s="31" t="s">
        <v>122</v>
      </c>
      <c r="C53" s="29" t="s">
        <v>128</v>
      </c>
      <c r="D53" s="29" t="s">
        <v>129</v>
      </c>
      <c r="E53" s="29" t="s">
        <v>131</v>
      </c>
      <c r="F53" s="30" t="s">
        <v>132</v>
      </c>
      <c r="G53" s="22"/>
    </row>
    <row r="54" spans="2:19" x14ac:dyDescent="0.25">
      <c r="B54" s="32" t="s">
        <v>123</v>
      </c>
      <c r="C54" s="26">
        <f>B51</f>
        <v>59685.413437499992</v>
      </c>
      <c r="D54" s="26">
        <v>1</v>
      </c>
      <c r="E54" s="26">
        <f>C54/D54</f>
        <v>59685.413437499992</v>
      </c>
      <c r="F54" s="27">
        <f>E54/E56</f>
        <v>5478.758588469459</v>
      </c>
      <c r="G54" s="22"/>
      <c r="Q54" t="s">
        <v>110</v>
      </c>
      <c r="R54" t="s">
        <v>109</v>
      </c>
      <c r="S54" t="s">
        <v>76</v>
      </c>
    </row>
    <row r="55" spans="2:19" x14ac:dyDescent="0.25">
      <c r="B55" s="32" t="s">
        <v>125</v>
      </c>
      <c r="C55" s="26">
        <f>C51</f>
        <v>8127.2251958333327</v>
      </c>
      <c r="D55" s="26">
        <f>B44-1</f>
        <v>7</v>
      </c>
      <c r="E55" s="26">
        <f t="shared" ref="E55:E56" si="69">C55/D55</f>
        <v>1161.0321708333333</v>
      </c>
      <c r="F55" s="27">
        <f>E55/E56</f>
        <v>106.5757043654133</v>
      </c>
      <c r="Q55">
        <f>Q52/R52</f>
        <v>4.3838299510322978</v>
      </c>
      <c r="R55">
        <f>_xlfn.CHISQ.INV.RT(0.1,K2-1)</f>
        <v>12.01703662378053</v>
      </c>
      <c r="S55" t="str">
        <f>IF(Q55&gt;R55,"reject","accept")</f>
        <v>accept</v>
      </c>
    </row>
    <row r="56" spans="2:19" x14ac:dyDescent="0.25">
      <c r="B56" s="32" t="s">
        <v>127</v>
      </c>
      <c r="C56" s="26">
        <f>D51</f>
        <v>174.30346666666662</v>
      </c>
      <c r="D56" s="26">
        <f>B44*(B46-1)</f>
        <v>16</v>
      </c>
      <c r="E56" s="26">
        <f t="shared" si="69"/>
        <v>10.893966666666664</v>
      </c>
      <c r="F56" s="27"/>
    </row>
    <row r="57" spans="2:19" ht="17.25" thickBot="1" x14ac:dyDescent="0.3">
      <c r="B57" s="34" t="s">
        <v>119</v>
      </c>
      <c r="C57" s="35">
        <f>SUM(C54:C56)</f>
        <v>67986.942099999986</v>
      </c>
      <c r="D57" s="35">
        <f>SUM(D54:D56)</f>
        <v>24</v>
      </c>
      <c r="E57" s="35"/>
      <c r="F57" s="36"/>
    </row>
  </sheetData>
  <mergeCells count="1">
    <mergeCell ref="Q41:S41"/>
  </mergeCells>
  <phoneticPr fontId="1" type="noConversion"/>
  <conditionalFormatting sqref="K19:K25">
    <cfRule type="cellIs" dxfId="6" priority="2" operator="lessThan">
      <formula>$L$19</formula>
    </cfRule>
    <cfRule type="cellIs" dxfId="5" priority="3" operator="greaterThan">
      <formula>$M$19</formula>
    </cfRule>
  </conditionalFormatting>
  <conditionalFormatting sqref="S55">
    <cfRule type="containsText" dxfId="4" priority="1" operator="containsText" text="reject">
      <formula>NOT(ISERROR(SEARCH("reject",S55)))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EC86-FC72-4B52-9483-A8FAFAA06644}">
  <dimension ref="A1:AA54"/>
  <sheetViews>
    <sheetView zoomScale="70" zoomScaleNormal="70" workbookViewId="0">
      <selection activeCell="G22" sqref="G22:G30"/>
    </sheetView>
  </sheetViews>
  <sheetFormatPr defaultRowHeight="16.5" x14ac:dyDescent="0.25"/>
  <cols>
    <col min="1" max="1" width="20" bestFit="1" customWidth="1"/>
    <col min="2" max="2" width="17.75" bestFit="1" customWidth="1"/>
    <col min="3" max="3" width="13" bestFit="1" customWidth="1"/>
    <col min="4" max="4" width="16.375" bestFit="1" customWidth="1"/>
    <col min="5" max="5" width="13.5" bestFit="1" customWidth="1"/>
    <col min="6" max="6" width="8" customWidth="1"/>
    <col min="7" max="7" width="17.125" bestFit="1" customWidth="1"/>
    <col min="8" max="9" width="8" customWidth="1"/>
    <col min="13" max="13" width="17.125" bestFit="1" customWidth="1"/>
  </cols>
  <sheetData>
    <row r="1" spans="1:27" x14ac:dyDescent="0.25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27</v>
      </c>
      <c r="G1" t="s">
        <v>28</v>
      </c>
      <c r="H1" t="s">
        <v>29</v>
      </c>
      <c r="I1" t="s">
        <v>30</v>
      </c>
      <c r="J1" s="37" t="s">
        <v>4</v>
      </c>
      <c r="K1" t="s">
        <v>5</v>
      </c>
      <c r="L1" s="38" t="s">
        <v>6</v>
      </c>
      <c r="M1" s="63"/>
      <c r="N1" t="s">
        <v>112</v>
      </c>
      <c r="O1" s="38" t="s">
        <v>8</v>
      </c>
      <c r="P1" t="s">
        <v>9</v>
      </c>
      <c r="Q1" t="s">
        <v>105</v>
      </c>
      <c r="S1" s="2" t="s">
        <v>10</v>
      </c>
      <c r="T1" s="2"/>
    </row>
    <row r="2" spans="1:27" ht="17.25" thickBot="1" x14ac:dyDescent="0.3">
      <c r="A2">
        <v>4</v>
      </c>
      <c r="B2">
        <v>1</v>
      </c>
      <c r="C2">
        <v>-1</v>
      </c>
      <c r="D2">
        <v>-1</v>
      </c>
      <c r="E2">
        <v>-1</v>
      </c>
      <c r="F2">
        <f>C2*D2</f>
        <v>1</v>
      </c>
      <c r="G2">
        <f>D2*E2</f>
        <v>1</v>
      </c>
      <c r="H2">
        <f>C2*E2</f>
        <v>1</v>
      </c>
      <c r="I2">
        <f>C2*D2*E2</f>
        <v>-1</v>
      </c>
      <c r="J2" s="39">
        <v>61.43</v>
      </c>
      <c r="K2" s="40">
        <v>58.58</v>
      </c>
      <c r="L2" s="41">
        <v>57.07</v>
      </c>
      <c r="M2" s="64" t="s">
        <v>154</v>
      </c>
      <c r="N2">
        <f>AVERAGE(J2:L2)</f>
        <v>59.026666666666664</v>
      </c>
      <c r="O2" s="38">
        <f>VAR(J2:L2)</f>
        <v>4.9020333333333328</v>
      </c>
      <c r="P2">
        <v>8</v>
      </c>
      <c r="Q2">
        <f>P2*P4</f>
        <v>24</v>
      </c>
      <c r="S2" s="2"/>
      <c r="T2" s="2"/>
    </row>
    <row r="3" spans="1:27" x14ac:dyDescent="0.25">
      <c r="A3">
        <v>2</v>
      </c>
      <c r="B3">
        <v>2</v>
      </c>
      <c r="C3">
        <v>1</v>
      </c>
      <c r="D3">
        <v>-1</v>
      </c>
      <c r="E3">
        <v>-1</v>
      </c>
      <c r="F3">
        <f t="shared" ref="F3:F9" si="0">C3*D3</f>
        <v>-1</v>
      </c>
      <c r="G3">
        <f t="shared" ref="G3:G9" si="1">D3*E3</f>
        <v>1</v>
      </c>
      <c r="H3">
        <f t="shared" ref="H3:H9" si="2">C3*E3</f>
        <v>-1</v>
      </c>
      <c r="I3">
        <f t="shared" ref="I3:I9" si="3">C3*D3*E3</f>
        <v>1</v>
      </c>
      <c r="J3" s="42">
        <v>75.62</v>
      </c>
      <c r="K3" s="43">
        <v>77.569999999999993</v>
      </c>
      <c r="L3" s="44">
        <v>75.75</v>
      </c>
      <c r="M3" s="65" t="s">
        <v>161</v>
      </c>
      <c r="N3">
        <f t="shared" ref="N3:N9" si="4">AVERAGE(J3:L3)</f>
        <v>76.313333333333333</v>
      </c>
      <c r="O3" s="38">
        <f t="shared" ref="O3:O9" si="5">VAR(J3:L3)</f>
        <v>1.1886333333333217</v>
      </c>
      <c r="P3" t="s">
        <v>11</v>
      </c>
      <c r="Q3" t="s">
        <v>113</v>
      </c>
      <c r="S3" s="105" t="s">
        <v>12</v>
      </c>
      <c r="T3" s="105"/>
    </row>
    <row r="4" spans="1:27" x14ac:dyDescent="0.25">
      <c r="A4">
        <v>7</v>
      </c>
      <c r="B4">
        <v>3</v>
      </c>
      <c r="C4">
        <v>-1</v>
      </c>
      <c r="D4">
        <v>1</v>
      </c>
      <c r="E4">
        <v>-1</v>
      </c>
      <c r="F4">
        <f t="shared" si="0"/>
        <v>-1</v>
      </c>
      <c r="G4">
        <f t="shared" si="1"/>
        <v>-1</v>
      </c>
      <c r="H4">
        <f t="shared" si="2"/>
        <v>1</v>
      </c>
      <c r="I4">
        <f t="shared" si="3"/>
        <v>1</v>
      </c>
      <c r="J4" s="45">
        <v>27.51</v>
      </c>
      <c r="K4" s="46">
        <v>34.03</v>
      </c>
      <c r="L4" s="47">
        <v>25.07</v>
      </c>
      <c r="M4" s="66" t="s">
        <v>155</v>
      </c>
      <c r="N4">
        <f t="shared" si="4"/>
        <v>28.870000000000005</v>
      </c>
      <c r="O4" s="38">
        <f t="shared" si="5"/>
        <v>21.457599999999502</v>
      </c>
      <c r="P4">
        <v>3</v>
      </c>
      <c r="Q4">
        <f>AVERAGE(N2:N9)</f>
        <v>49.868749999999999</v>
      </c>
      <c r="S4" s="2" t="s">
        <v>13</v>
      </c>
      <c r="T4" s="2">
        <v>0.98944603157237543</v>
      </c>
    </row>
    <row r="5" spans="1:27" x14ac:dyDescent="0.25">
      <c r="A5">
        <v>6</v>
      </c>
      <c r="B5">
        <v>4</v>
      </c>
      <c r="C5">
        <v>1</v>
      </c>
      <c r="D5">
        <v>1</v>
      </c>
      <c r="E5">
        <v>-1</v>
      </c>
      <c r="F5">
        <f t="shared" si="0"/>
        <v>1</v>
      </c>
      <c r="G5">
        <f t="shared" si="1"/>
        <v>-1</v>
      </c>
      <c r="H5">
        <f t="shared" si="2"/>
        <v>-1</v>
      </c>
      <c r="I5">
        <f t="shared" si="3"/>
        <v>-1</v>
      </c>
      <c r="J5" s="48">
        <v>51.37</v>
      </c>
      <c r="K5" s="49">
        <v>48.49</v>
      </c>
      <c r="L5" s="50">
        <v>54.37</v>
      </c>
      <c r="M5" s="67" t="s">
        <v>156</v>
      </c>
      <c r="N5">
        <f t="shared" si="4"/>
        <v>51.41</v>
      </c>
      <c r="O5" s="38">
        <f t="shared" si="5"/>
        <v>8.6447999999999858</v>
      </c>
      <c r="P5" t="s">
        <v>14</v>
      </c>
      <c r="Q5" t="s">
        <v>119</v>
      </c>
      <c r="S5" s="2" t="s">
        <v>15</v>
      </c>
      <c r="T5" s="2">
        <v>0.97900344939432205</v>
      </c>
    </row>
    <row r="6" spans="1:27" x14ac:dyDescent="0.25">
      <c r="A6">
        <v>1</v>
      </c>
      <c r="B6">
        <v>5</v>
      </c>
      <c r="C6">
        <v>-1</v>
      </c>
      <c r="D6">
        <v>-1</v>
      </c>
      <c r="E6">
        <v>1</v>
      </c>
      <c r="F6">
        <f t="shared" si="0"/>
        <v>1</v>
      </c>
      <c r="G6">
        <f t="shared" si="1"/>
        <v>-1</v>
      </c>
      <c r="H6">
        <f t="shared" si="2"/>
        <v>-1</v>
      </c>
      <c r="I6">
        <f t="shared" si="3"/>
        <v>1</v>
      </c>
      <c r="J6" s="51">
        <v>24.8</v>
      </c>
      <c r="K6" s="52">
        <v>20.69</v>
      </c>
      <c r="L6" s="53">
        <v>15.41</v>
      </c>
      <c r="M6" s="68" t="s">
        <v>157</v>
      </c>
      <c r="N6">
        <f t="shared" si="4"/>
        <v>20.3</v>
      </c>
      <c r="O6" s="38">
        <f t="shared" si="5"/>
        <v>22.157100000000014</v>
      </c>
      <c r="P6" s="2">
        <f>AVERAGE(O2:O9)</f>
        <v>10.893966666666602</v>
      </c>
      <c r="Q6" s="20" cm="1">
        <f t="array" ref="Q6">SUM((J2:L9)^2)</f>
        <v>67986.9421</v>
      </c>
      <c r="R6" s="20"/>
      <c r="S6" s="2" t="s">
        <v>16</v>
      </c>
      <c r="T6" s="2">
        <v>0.96981745850433798</v>
      </c>
    </row>
    <row r="7" spans="1:27" x14ac:dyDescent="0.25">
      <c r="A7">
        <v>5</v>
      </c>
      <c r="B7">
        <v>6</v>
      </c>
      <c r="C7">
        <v>1</v>
      </c>
      <c r="D7">
        <v>-1</v>
      </c>
      <c r="E7">
        <v>1</v>
      </c>
      <c r="F7">
        <f t="shared" si="0"/>
        <v>-1</v>
      </c>
      <c r="G7">
        <f t="shared" si="1"/>
        <v>-1</v>
      </c>
      <c r="H7">
        <f t="shared" si="2"/>
        <v>1</v>
      </c>
      <c r="I7">
        <f t="shared" si="3"/>
        <v>-1</v>
      </c>
      <c r="J7" s="54">
        <v>43.58</v>
      </c>
      <c r="K7" s="55">
        <v>44.31</v>
      </c>
      <c r="L7" s="56">
        <v>36.99</v>
      </c>
      <c r="M7" s="69" t="s">
        <v>158</v>
      </c>
      <c r="N7">
        <f t="shared" si="4"/>
        <v>41.626666666666665</v>
      </c>
      <c r="O7" s="38">
        <f t="shared" si="5"/>
        <v>16.257233333333328</v>
      </c>
      <c r="P7" t="s">
        <v>17</v>
      </c>
      <c r="Q7" t="s">
        <v>18</v>
      </c>
      <c r="R7" t="s">
        <v>19</v>
      </c>
      <c r="T7" t="s">
        <v>20</v>
      </c>
      <c r="U7" s="3">
        <v>3.3006009553817135</v>
      </c>
    </row>
    <row r="8" spans="1:27" ht="17.25" thickBot="1" x14ac:dyDescent="0.3">
      <c r="A8">
        <v>8</v>
      </c>
      <c r="B8">
        <v>7</v>
      </c>
      <c r="C8">
        <v>-1</v>
      </c>
      <c r="D8">
        <v>1</v>
      </c>
      <c r="E8">
        <v>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-1</v>
      </c>
      <c r="J8" s="57">
        <v>45.2</v>
      </c>
      <c r="K8" s="58">
        <v>49.53</v>
      </c>
      <c r="L8" s="59">
        <v>50.29</v>
      </c>
      <c r="M8" s="70" t="s">
        <v>159</v>
      </c>
      <c r="N8">
        <f t="shared" si="4"/>
        <v>48.34</v>
      </c>
      <c r="O8" s="38">
        <f t="shared" si="5"/>
        <v>7.5390999999999906</v>
      </c>
      <c r="P8" s="4">
        <f>4*P6/(P2*P4)</f>
        <v>1.8156611111111003</v>
      </c>
      <c r="Q8" s="4">
        <f>P8^0.5</f>
        <v>1.3474646975379727</v>
      </c>
      <c r="R8" s="5">
        <f>P8^0.5/2</f>
        <v>0.67373234876898636</v>
      </c>
      <c r="T8" s="6" t="s">
        <v>21</v>
      </c>
      <c r="U8" s="6">
        <v>24</v>
      </c>
    </row>
    <row r="9" spans="1:27" x14ac:dyDescent="0.25">
      <c r="A9">
        <v>3</v>
      </c>
      <c r="B9">
        <v>8</v>
      </c>
      <c r="C9">
        <v>1</v>
      </c>
      <c r="D9">
        <v>1</v>
      </c>
      <c r="E9">
        <v>1</v>
      </c>
      <c r="F9">
        <f t="shared" si="0"/>
        <v>1</v>
      </c>
      <c r="G9">
        <f t="shared" si="1"/>
        <v>1</v>
      </c>
      <c r="H9">
        <f t="shared" si="2"/>
        <v>1</v>
      </c>
      <c r="I9">
        <f t="shared" si="3"/>
        <v>1</v>
      </c>
      <c r="J9" s="60">
        <v>70.510000000000005</v>
      </c>
      <c r="K9" s="61">
        <v>74</v>
      </c>
      <c r="L9" s="62">
        <v>74.680000000000007</v>
      </c>
      <c r="M9" s="71" t="s">
        <v>160</v>
      </c>
      <c r="N9">
        <f t="shared" si="4"/>
        <v>73.063333333333333</v>
      </c>
      <c r="O9" s="38">
        <f t="shared" si="5"/>
        <v>5.0052333333333312</v>
      </c>
      <c r="P9" t="s">
        <v>22</v>
      </c>
      <c r="Q9">
        <f>P2*(P4-1)</f>
        <v>16</v>
      </c>
    </row>
    <row r="10" spans="1:27" ht="17.25" thickBot="1" x14ac:dyDescent="0.3">
      <c r="M10" s="17"/>
      <c r="S10" t="s">
        <v>26</v>
      </c>
    </row>
    <row r="11" spans="1:27" x14ac:dyDescent="0.25">
      <c r="A11" t="s">
        <v>113</v>
      </c>
      <c r="B11" t="s">
        <v>114</v>
      </c>
      <c r="C11" t="s">
        <v>115</v>
      </c>
      <c r="D11" t="s">
        <v>115</v>
      </c>
      <c r="E11" t="s">
        <v>115</v>
      </c>
      <c r="G11" t="s">
        <v>133</v>
      </c>
      <c r="H11">
        <f>$Q$2/2*((J11-$Q$4)^2+(L11-$Q$4)^2)</f>
        <v>2765.5507041666647</v>
      </c>
      <c r="I11" t="s">
        <v>140</v>
      </c>
      <c r="J11">
        <f>AVERAGE(J3:L3,J5:L5,J7:L7,J9:L9)</f>
        <v>60.603333333333332</v>
      </c>
      <c r="K11" t="s">
        <v>141</v>
      </c>
      <c r="L11">
        <f>AVERAGE(J2:L2,J4:L4,J6:L6,J8:L8)</f>
        <v>39.134166666666673</v>
      </c>
      <c r="M11" s="17"/>
      <c r="N11" s="145" t="s">
        <v>169</v>
      </c>
      <c r="O11" s="145"/>
      <c r="P11" t="s">
        <v>77</v>
      </c>
      <c r="Q11">
        <f>AVERAGE(J2:L9)</f>
        <v>49.868749999999999</v>
      </c>
      <c r="S11" s="7"/>
      <c r="T11" s="7" t="s">
        <v>33</v>
      </c>
      <c r="U11" s="7" t="s">
        <v>34</v>
      </c>
      <c r="V11" s="7" t="s">
        <v>35</v>
      </c>
      <c r="W11" s="7" t="s">
        <v>36</v>
      </c>
      <c r="X11" s="7" t="s">
        <v>37</v>
      </c>
    </row>
    <row r="12" spans="1:27" x14ac:dyDescent="0.25">
      <c r="A12">
        <f>Q4</f>
        <v>49.868749999999999</v>
      </c>
      <c r="B12">
        <f>N2-$Q$4</f>
        <v>9.1579166666666652</v>
      </c>
      <c r="C12">
        <f>J2-$N2</f>
        <v>2.403333333333336</v>
      </c>
      <c r="D12">
        <f>K2-$N2</f>
        <v>-0.44666666666666544</v>
      </c>
      <c r="E12">
        <f>L2-$N2</f>
        <v>-1.9566666666666634</v>
      </c>
      <c r="G12" t="s">
        <v>134</v>
      </c>
      <c r="H12">
        <f t="shared" ref="H12:H17" si="6">$Q$2/2*((J12-$Q$4)^2+(L12-$Q$4)^2)</f>
        <v>7.3151041666669183</v>
      </c>
      <c r="I12" t="s">
        <v>142</v>
      </c>
      <c r="J12">
        <f>AVERAGE(J4:L4,J5:L5,J8:L8,J9:L9)</f>
        <v>50.420833333333348</v>
      </c>
      <c r="K12" t="s">
        <v>152</v>
      </c>
      <c r="L12">
        <f>AVERAGE(J2:L2,J3:L3,J6:L6,J7:L7)</f>
        <v>49.316666666666663</v>
      </c>
      <c r="M12" s="17"/>
      <c r="N12" t="s">
        <v>164</v>
      </c>
      <c r="O12">
        <v>21.46916666666667</v>
      </c>
      <c r="P12" t="s">
        <v>79</v>
      </c>
      <c r="Q12" s="72">
        <f t="shared" ref="Q12:Q18" si="7">O12/2</f>
        <v>10.734583333333335</v>
      </c>
      <c r="S12" t="s">
        <v>39</v>
      </c>
      <c r="T12">
        <v>7</v>
      </c>
      <c r="U12" s="21">
        <v>8127.2251958333318</v>
      </c>
      <c r="V12">
        <v>1161.0321708333331</v>
      </c>
      <c r="W12">
        <v>106.57570436541312</v>
      </c>
      <c r="X12">
        <v>3.2000830664664587E-12</v>
      </c>
    </row>
    <row r="13" spans="1:27" x14ac:dyDescent="0.25">
      <c r="A13" t="s">
        <v>9</v>
      </c>
      <c r="B13">
        <f t="shared" ref="B13:B19" si="8">N3-$Q$4</f>
        <v>26.444583333333334</v>
      </c>
      <c r="C13">
        <f t="shared" ref="C13:C19" si="9">J3-$N3</f>
        <v>-0.69333333333332803</v>
      </c>
      <c r="D13">
        <f t="shared" ref="D13:D19" si="10">K3-$N3</f>
        <v>1.2566666666666606</v>
      </c>
      <c r="E13">
        <f t="shared" ref="E13:E19" si="11">L3-$N3</f>
        <v>-0.56333333333333258</v>
      </c>
      <c r="G13" t="s">
        <v>135</v>
      </c>
      <c r="H13">
        <f t="shared" si="6"/>
        <v>390.99153749999914</v>
      </c>
      <c r="I13" t="s">
        <v>143</v>
      </c>
      <c r="J13">
        <f>AVERAGE(J6:L6,J7:L7,J8:L8,J9:L9)</f>
        <v>45.832500000000003</v>
      </c>
      <c r="K13" t="s">
        <v>153</v>
      </c>
      <c r="L13">
        <f>AVERAGE(J2:L2,J3:L3,J4:L4,J5:L5)</f>
        <v>53.904999999999994</v>
      </c>
      <c r="M13" s="17"/>
      <c r="N13" t="s">
        <v>100</v>
      </c>
      <c r="O13">
        <v>1.1041666666666672</v>
      </c>
      <c r="P13" t="s">
        <v>81</v>
      </c>
      <c r="Q13">
        <f t="shared" si="7"/>
        <v>0.55208333333333359</v>
      </c>
      <c r="S13" t="s">
        <v>41</v>
      </c>
      <c r="T13">
        <v>16</v>
      </c>
      <c r="U13" s="25">
        <v>174.30346666666688</v>
      </c>
      <c r="V13" s="2">
        <v>10.89396666666668</v>
      </c>
    </row>
    <row r="14" spans="1:27" ht="17.25" thickBot="1" x14ac:dyDescent="0.3">
      <c r="A14">
        <f>P2</f>
        <v>8</v>
      </c>
      <c r="B14">
        <f t="shared" si="8"/>
        <v>-20.998749999999994</v>
      </c>
      <c r="C14">
        <f t="shared" si="9"/>
        <v>-1.360000000000003</v>
      </c>
      <c r="D14">
        <f t="shared" si="10"/>
        <v>5.1599999999999966</v>
      </c>
      <c r="E14">
        <f t="shared" si="11"/>
        <v>-3.8000000000000043</v>
      </c>
      <c r="G14" t="s">
        <v>136</v>
      </c>
      <c r="H14">
        <f t="shared" si="6"/>
        <v>28.058437500000402</v>
      </c>
      <c r="I14" t="s">
        <v>144</v>
      </c>
      <c r="J14">
        <f>AVERAGE(J2:L2,J5:L5,J6:L6,J9:L9)</f>
        <v>50.95000000000001</v>
      </c>
      <c r="K14" t="s">
        <v>145</v>
      </c>
      <c r="L14">
        <f>AVERAGE(J3:L3,J4:L4,J7:L7,J8:L8)</f>
        <v>48.787499999999994</v>
      </c>
      <c r="M14" s="17"/>
      <c r="N14" t="s">
        <v>101</v>
      </c>
      <c r="O14">
        <v>-8.072499999999998</v>
      </c>
      <c r="P14" t="s">
        <v>83</v>
      </c>
      <c r="Q14" s="72">
        <f t="shared" si="7"/>
        <v>-4.036249999999999</v>
      </c>
      <c r="S14" s="6" t="s">
        <v>43</v>
      </c>
      <c r="T14" s="6">
        <v>23</v>
      </c>
      <c r="U14" s="24">
        <v>8301.528662499999</v>
      </c>
      <c r="V14" s="6"/>
      <c r="W14" s="6"/>
      <c r="X14" s="6"/>
    </row>
    <row r="15" spans="1:27" ht="17.25" thickBot="1" x14ac:dyDescent="0.3">
      <c r="A15" t="s">
        <v>11</v>
      </c>
      <c r="B15">
        <f t="shared" si="8"/>
        <v>1.541249999999998</v>
      </c>
      <c r="C15">
        <f t="shared" si="9"/>
        <v>-3.9999999999999147E-2</v>
      </c>
      <c r="D15">
        <f t="shared" si="10"/>
        <v>-2.9199999999999946</v>
      </c>
      <c r="E15">
        <f t="shared" si="11"/>
        <v>2.9600000000000009</v>
      </c>
      <c r="G15" t="s">
        <v>137</v>
      </c>
      <c r="H15">
        <f t="shared" si="6"/>
        <v>4919.4930041666657</v>
      </c>
      <c r="I15" t="s">
        <v>146</v>
      </c>
      <c r="J15">
        <f>AVERAGE(J2:L2,J3:L3,J8:L8,J9:L9)</f>
        <v>64.185833333333335</v>
      </c>
      <c r="K15" t="s">
        <v>147</v>
      </c>
      <c r="L15">
        <f>AVERAGE(J4:L4,J5:L5,J6:L6,J7:L7)</f>
        <v>35.551666666666669</v>
      </c>
      <c r="M15" s="17"/>
      <c r="N15" t="s">
        <v>102</v>
      </c>
      <c r="O15">
        <v>2.1625000000000001</v>
      </c>
      <c r="P15" t="s">
        <v>170</v>
      </c>
      <c r="Q15">
        <f t="shared" si="7"/>
        <v>1.08125</v>
      </c>
    </row>
    <row r="16" spans="1:27" x14ac:dyDescent="0.25">
      <c r="A16">
        <f>P4</f>
        <v>3</v>
      </c>
      <c r="B16">
        <f t="shared" si="8"/>
        <v>-29.568749999999998</v>
      </c>
      <c r="C16">
        <f t="shared" si="9"/>
        <v>4.5</v>
      </c>
      <c r="D16">
        <f t="shared" si="10"/>
        <v>0.39000000000000057</v>
      </c>
      <c r="E16">
        <f t="shared" si="11"/>
        <v>-4.8900000000000006</v>
      </c>
      <c r="G16" t="s">
        <v>138</v>
      </c>
      <c r="H16">
        <f t="shared" si="6"/>
        <v>14.523704166666649</v>
      </c>
      <c r="I16" t="s">
        <v>148</v>
      </c>
      <c r="J16">
        <f>AVERAGE(J2:L2,J4:L4,J7:L7,J9:L9)</f>
        <v>50.646666666666668</v>
      </c>
      <c r="K16" t="s">
        <v>149</v>
      </c>
      <c r="L16">
        <f>AVERAGE(J3:L3,J5:L5,J6:L6,J8:L8)</f>
        <v>49.090833333333336</v>
      </c>
      <c r="M16" s="17"/>
      <c r="N16" t="s">
        <v>165</v>
      </c>
      <c r="O16">
        <v>28.634166666666669</v>
      </c>
      <c r="P16" t="s">
        <v>171</v>
      </c>
      <c r="Q16" s="72">
        <f t="shared" si="7"/>
        <v>14.317083333333334</v>
      </c>
      <c r="S16" s="7"/>
      <c r="T16" s="7" t="s">
        <v>46</v>
      </c>
      <c r="U16" s="7" t="s">
        <v>47</v>
      </c>
      <c r="V16" s="7" t="s">
        <v>48</v>
      </c>
      <c r="W16" s="7" t="s">
        <v>49</v>
      </c>
      <c r="X16" s="7" t="s">
        <v>50</v>
      </c>
      <c r="Y16" s="7" t="s">
        <v>51</v>
      </c>
      <c r="Z16" s="7" t="s">
        <v>52</v>
      </c>
      <c r="AA16" s="7" t="s">
        <v>53</v>
      </c>
    </row>
    <row r="17" spans="1:27" x14ac:dyDescent="0.25">
      <c r="B17">
        <f t="shared" si="8"/>
        <v>-8.2420833333333334</v>
      </c>
      <c r="C17">
        <f t="shared" si="9"/>
        <v>1.9533333333333331</v>
      </c>
      <c r="D17">
        <f t="shared" si="10"/>
        <v>2.6833333333333371</v>
      </c>
      <c r="E17">
        <f t="shared" si="11"/>
        <v>-4.6366666666666632</v>
      </c>
      <c r="G17" t="s">
        <v>139</v>
      </c>
      <c r="H17">
        <f t="shared" si="6"/>
        <v>1.2927041666665713</v>
      </c>
      <c r="I17" t="s">
        <v>150</v>
      </c>
      <c r="J17">
        <f>AVERAGE(J3:L3,J4:L4,J6:L6,J9:L9)</f>
        <v>49.636666666666677</v>
      </c>
      <c r="K17" t="s">
        <v>151</v>
      </c>
      <c r="L17">
        <f>AVERAGE(J2:L2,J5:L5,J7:L7,J8:L8)</f>
        <v>50.100833333333327</v>
      </c>
      <c r="M17" s="17"/>
      <c r="N17" t="s">
        <v>166</v>
      </c>
      <c r="O17">
        <v>1.5558333333333347</v>
      </c>
      <c r="P17" t="s">
        <v>172</v>
      </c>
      <c r="Q17">
        <f t="shared" si="7"/>
        <v>0.77791666666666737</v>
      </c>
      <c r="S17" t="s">
        <v>55</v>
      </c>
      <c r="T17">
        <v>49.868750000000006</v>
      </c>
      <c r="U17" s="5">
        <v>0.67373234876898891</v>
      </c>
      <c r="V17">
        <v>74.01863676446257</v>
      </c>
      <c r="W17">
        <v>1.0163243607548037E-21</v>
      </c>
      <c r="X17">
        <v>48.440501223587844</v>
      </c>
      <c r="Y17">
        <v>51.296998776412167</v>
      </c>
      <c r="Z17" s="8">
        <v>47.900924937282248</v>
      </c>
      <c r="AA17" s="8">
        <v>51.836575062717763</v>
      </c>
    </row>
    <row r="18" spans="1:27" x14ac:dyDescent="0.25">
      <c r="B18">
        <f t="shared" si="8"/>
        <v>-1.5287499999999952</v>
      </c>
      <c r="C18">
        <f t="shared" si="9"/>
        <v>-3.1400000000000006</v>
      </c>
      <c r="D18">
        <f t="shared" si="10"/>
        <v>1.1899999999999977</v>
      </c>
      <c r="E18">
        <f t="shared" si="11"/>
        <v>1.9499999999999957</v>
      </c>
      <c r="G18" t="s">
        <v>162</v>
      </c>
      <c r="H18">
        <f>C21</f>
        <v>174.30346666666662</v>
      </c>
      <c r="M18" s="17"/>
      <c r="N18" t="s">
        <v>167</v>
      </c>
      <c r="O18">
        <v>-0.4641666666666649</v>
      </c>
      <c r="P18" t="s">
        <v>173</v>
      </c>
      <c r="Q18">
        <f t="shared" si="7"/>
        <v>-0.23208333333333245</v>
      </c>
      <c r="S18" t="s">
        <v>58</v>
      </c>
      <c r="T18">
        <v>10.734583333333333</v>
      </c>
      <c r="U18" s="5">
        <v>0.67373234876898869</v>
      </c>
      <c r="V18">
        <v>15.933008639034547</v>
      </c>
      <c r="W18">
        <v>3.0810835246894781E-11</v>
      </c>
      <c r="X18">
        <v>9.306334556921172</v>
      </c>
      <c r="Y18">
        <v>12.162832109745494</v>
      </c>
      <c r="Z18" s="8">
        <v>8.766758270615572</v>
      </c>
      <c r="AA18" s="8">
        <v>12.702408396051094</v>
      </c>
    </row>
    <row r="19" spans="1:27" x14ac:dyDescent="0.25">
      <c r="B19">
        <f t="shared" si="8"/>
        <v>23.194583333333334</v>
      </c>
      <c r="C19">
        <f t="shared" si="9"/>
        <v>-2.5533333333333275</v>
      </c>
      <c r="D19">
        <f t="shared" si="10"/>
        <v>0.93666666666666742</v>
      </c>
      <c r="E19">
        <f t="shared" si="11"/>
        <v>1.6166666666666742</v>
      </c>
      <c r="M19" s="17"/>
      <c r="S19" t="s">
        <v>60</v>
      </c>
      <c r="T19">
        <v>0.55208333333333437</v>
      </c>
      <c r="U19" s="5">
        <v>0.67373234876898869</v>
      </c>
      <c r="V19">
        <v>0.81944014465399273</v>
      </c>
      <c r="W19">
        <v>0.42457404740800841</v>
      </c>
      <c r="X19">
        <v>-0.87616544307882749</v>
      </c>
      <c r="Y19">
        <v>1.9803321097454962</v>
      </c>
      <c r="Z19" s="8">
        <v>-1.4157417293844259</v>
      </c>
      <c r="AA19" s="8">
        <v>2.5199083960510946</v>
      </c>
    </row>
    <row r="20" spans="1:27" ht="17.25" thickBot="1" x14ac:dyDescent="0.3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M20" s="17"/>
      <c r="S20" t="s">
        <v>62</v>
      </c>
      <c r="T20">
        <v>-4.0362499999999972</v>
      </c>
      <c r="U20" s="5">
        <v>0.67373234876898891</v>
      </c>
      <c r="V20">
        <v>-5.9908805141609092</v>
      </c>
      <c r="W20">
        <v>1.8844248146767218E-5</v>
      </c>
      <c r="X20">
        <v>-5.4644987764121593</v>
      </c>
      <c r="Y20">
        <v>-2.6080012235878351</v>
      </c>
      <c r="Z20" s="8">
        <v>-6.0040750627177584</v>
      </c>
      <c r="AA20" s="8">
        <v>-2.0684249372822361</v>
      </c>
    </row>
    <row r="21" spans="1:27" x14ac:dyDescent="0.25">
      <c r="A21">
        <f>A14*A16*A12^2</f>
        <v>59685.413437499992</v>
      </c>
      <c r="B21" s="21" cm="1">
        <f t="array" ref="B21">A16*SUM((B12:B19)^2)</f>
        <v>8127.2251958333327</v>
      </c>
      <c r="C21" s="25" cm="1">
        <f t="array" ref="C21">SUM((C12:E19)^2)</f>
        <v>174.30346666666662</v>
      </c>
      <c r="D21">
        <f>SUM(A21:C21)</f>
        <v>67986.942099999986</v>
      </c>
      <c r="E21" s="23">
        <f>D21-A21</f>
        <v>8301.5286624999935</v>
      </c>
      <c r="F21" s="16"/>
      <c r="G21" s="106" t="s">
        <v>122</v>
      </c>
      <c r="H21" s="107" t="s">
        <v>119</v>
      </c>
      <c r="I21" s="107" t="s">
        <v>129</v>
      </c>
      <c r="J21" s="107" t="s">
        <v>130</v>
      </c>
      <c r="K21" s="108" t="s">
        <v>132</v>
      </c>
      <c r="L21" s="109" t="s">
        <v>174</v>
      </c>
      <c r="M21" s="77" t="s">
        <v>122</v>
      </c>
      <c r="N21" s="78" t="s">
        <v>119</v>
      </c>
      <c r="O21" s="78" t="s">
        <v>129</v>
      </c>
      <c r="P21" s="78" t="s">
        <v>130</v>
      </c>
      <c r="Q21" s="79" t="s">
        <v>132</v>
      </c>
      <c r="R21" s="80" t="s">
        <v>174</v>
      </c>
      <c r="S21" t="s">
        <v>64</v>
      </c>
      <c r="T21">
        <v>1.0812500000000012</v>
      </c>
      <c r="U21" s="5">
        <v>0.67373234876898891</v>
      </c>
      <c r="V21">
        <v>1.6048657927374406</v>
      </c>
      <c r="W21">
        <v>0.12807737096597094</v>
      </c>
      <c r="X21">
        <v>-0.34699877641216115</v>
      </c>
      <c r="Y21">
        <v>2.5094987764121637</v>
      </c>
      <c r="Z21" s="8">
        <v>-0.88657506271775977</v>
      </c>
      <c r="AA21" s="8">
        <v>3.0490750627177619</v>
      </c>
    </row>
    <row r="22" spans="1:27" ht="17.25" thickBot="1" x14ac:dyDescent="0.3">
      <c r="G22" s="110" t="s">
        <v>32</v>
      </c>
      <c r="H22" s="111">
        <f>H11</f>
        <v>2765.5507041666647</v>
      </c>
      <c r="I22" s="111">
        <v>1</v>
      </c>
      <c r="J22" s="111">
        <f>H22/I22</f>
        <v>2765.5507041666647</v>
      </c>
      <c r="K22" s="112">
        <f>J22/$J$29</f>
        <v>253.86076429154963</v>
      </c>
      <c r="L22" s="113">
        <f>_xlfn.F.INV.RT(0.1,I22,$I$29)</f>
        <v>3.0481098110878739</v>
      </c>
      <c r="M22" s="121" t="s">
        <v>32</v>
      </c>
      <c r="N22" s="82">
        <f>H22</f>
        <v>2765.5507041666647</v>
      </c>
      <c r="O22" s="82">
        <v>1</v>
      </c>
      <c r="P22" s="82">
        <f>N22/O22</f>
        <v>2765.5507041666647</v>
      </c>
      <c r="Q22" s="83">
        <f>P22/$J$29</f>
        <v>253.86076429154963</v>
      </c>
      <c r="R22" s="84">
        <f>_xlfn.F.INV.RT(0.1,O22,$O$25)</f>
        <v>3.0481098110878739</v>
      </c>
      <c r="S22" t="s">
        <v>66</v>
      </c>
      <c r="T22">
        <v>14.317083333333336</v>
      </c>
      <c r="U22" s="5">
        <v>0.67373234876898891</v>
      </c>
      <c r="V22">
        <v>21.250402121098709</v>
      </c>
      <c r="W22">
        <v>3.749069900593742E-13</v>
      </c>
      <c r="X22">
        <v>12.888834556921173</v>
      </c>
      <c r="Y22">
        <v>15.745332109745499</v>
      </c>
      <c r="Z22" s="8">
        <v>12.349258270615575</v>
      </c>
      <c r="AA22" s="8">
        <v>16.284908396051097</v>
      </c>
    </row>
    <row r="23" spans="1:27" x14ac:dyDescent="0.25">
      <c r="A23" s="77" t="s">
        <v>122</v>
      </c>
      <c r="B23" s="78" t="s">
        <v>128</v>
      </c>
      <c r="C23" s="78" t="s">
        <v>129</v>
      </c>
      <c r="D23" s="78" t="s">
        <v>131</v>
      </c>
      <c r="E23" s="79" t="s">
        <v>132</v>
      </c>
      <c r="F23" s="80" t="s">
        <v>174</v>
      </c>
      <c r="G23" s="110" t="s">
        <v>38</v>
      </c>
      <c r="H23" s="111">
        <f t="shared" ref="H23:H29" si="12">H12</f>
        <v>7.3151041666669183</v>
      </c>
      <c r="I23" s="111">
        <v>1</v>
      </c>
      <c r="J23" s="111">
        <f t="shared" ref="J23:J29" si="13">H23/I23</f>
        <v>7.3151041666669183</v>
      </c>
      <c r="K23" s="112">
        <f t="shared" ref="K23:K28" si="14">J23/$J$29</f>
        <v>0.67148215067057793</v>
      </c>
      <c r="L23" s="113">
        <f t="shared" ref="L23:L28" si="15">_xlfn.F.INV.RT(0.1,I23,$I$29)</f>
        <v>3.0481098110878739</v>
      </c>
      <c r="M23" s="121" t="s">
        <v>40</v>
      </c>
      <c r="N23" s="82">
        <f>H24</f>
        <v>390.99153749999914</v>
      </c>
      <c r="O23" s="82">
        <v>1</v>
      </c>
      <c r="P23" s="82">
        <f t="shared" ref="P23:P24" si="16">N23/O23</f>
        <v>390.99153749999914</v>
      </c>
      <c r="Q23" s="83">
        <f t="shared" ref="Q23:Q24" si="17">P23/$J$29</f>
        <v>35.890649334952919</v>
      </c>
      <c r="R23" s="84">
        <f t="shared" ref="R23:R24" si="18">_xlfn.F.INV.RT(0.1,O23,$O$25)</f>
        <v>3.0481098110878739</v>
      </c>
      <c r="S23" t="s">
        <v>68</v>
      </c>
      <c r="T23">
        <v>0.77791666666666759</v>
      </c>
      <c r="U23" s="5">
        <v>0.67373234876898869</v>
      </c>
      <c r="V23">
        <v>1.1546375472218893</v>
      </c>
      <c r="W23">
        <v>0.26519329780781253</v>
      </c>
      <c r="X23">
        <v>-0.65033210974549427</v>
      </c>
      <c r="Y23">
        <v>2.2061654430788296</v>
      </c>
      <c r="Z23" s="8">
        <v>-1.1899083960510928</v>
      </c>
      <c r="AA23" s="8">
        <v>2.7457417293844277</v>
      </c>
    </row>
    <row r="24" spans="1:27" ht="17.25" thickBot="1" x14ac:dyDescent="0.3">
      <c r="A24" s="81" t="s">
        <v>123</v>
      </c>
      <c r="B24" s="82">
        <f>A21</f>
        <v>59685.413437499992</v>
      </c>
      <c r="C24" s="82">
        <v>1</v>
      </c>
      <c r="D24" s="82">
        <f>B24/C24</f>
        <v>59685.413437499992</v>
      </c>
      <c r="E24" s="83">
        <f>D24/D26</f>
        <v>5478.758588469459</v>
      </c>
      <c r="F24" s="84">
        <f>_xlfn.F.INV.RT(0.1,C24,$C$26)</f>
        <v>3.0481098110878739</v>
      </c>
      <c r="G24" s="110" t="s">
        <v>40</v>
      </c>
      <c r="H24" s="111">
        <f t="shared" si="12"/>
        <v>390.99153749999914</v>
      </c>
      <c r="I24" s="111">
        <v>1</v>
      </c>
      <c r="J24" s="111">
        <f t="shared" si="13"/>
        <v>390.99153749999914</v>
      </c>
      <c r="K24" s="112">
        <f t="shared" si="14"/>
        <v>35.890649334952919</v>
      </c>
      <c r="L24" s="113">
        <f t="shared" si="15"/>
        <v>3.0481098110878739</v>
      </c>
      <c r="M24" s="121" t="s">
        <v>44</v>
      </c>
      <c r="N24" s="82">
        <f>H26</f>
        <v>4919.4930041666657</v>
      </c>
      <c r="O24" s="82">
        <v>1</v>
      </c>
      <c r="P24" s="82">
        <f t="shared" si="16"/>
        <v>4919.4930041666657</v>
      </c>
      <c r="Q24" s="83">
        <f t="shared" si="17"/>
        <v>451.57959030839703</v>
      </c>
      <c r="R24" s="84">
        <f t="shared" si="18"/>
        <v>3.0481098110878739</v>
      </c>
      <c r="S24" s="6" t="s">
        <v>70</v>
      </c>
      <c r="T24" s="6">
        <v>-0.23208333333333375</v>
      </c>
      <c r="U24" s="11">
        <v>0.67373234876898891</v>
      </c>
      <c r="V24" s="6">
        <v>-0.34447408345077263</v>
      </c>
      <c r="W24" s="6">
        <v>0.73497586712810792</v>
      </c>
      <c r="X24" s="6">
        <v>-1.6603321097454962</v>
      </c>
      <c r="Y24" s="6">
        <v>1.1961654430788284</v>
      </c>
      <c r="Z24" s="12">
        <v>-2.1999083960510948</v>
      </c>
      <c r="AA24" s="12">
        <v>1.7357417293844271</v>
      </c>
    </row>
    <row r="25" spans="1:27" x14ac:dyDescent="0.25">
      <c r="A25" s="81" t="s">
        <v>125</v>
      </c>
      <c r="B25" s="82">
        <f>B21</f>
        <v>8127.2251958333327</v>
      </c>
      <c r="C25" s="82">
        <f>A14-1</f>
        <v>7</v>
      </c>
      <c r="D25" s="82">
        <f t="shared" ref="D25:D26" si="19">B25/C25</f>
        <v>1161.0321708333333</v>
      </c>
      <c r="E25" s="83">
        <f>D25/D26</f>
        <v>106.5757043654133</v>
      </c>
      <c r="F25" s="84">
        <f>_xlfn.F.INV.RT(0.1,C25,$C$26)</f>
        <v>2.1280026088875497</v>
      </c>
      <c r="G25" s="110" t="s">
        <v>42</v>
      </c>
      <c r="H25" s="111">
        <f t="shared" si="12"/>
        <v>28.058437500000402</v>
      </c>
      <c r="I25" s="111">
        <v>1</v>
      </c>
      <c r="J25" s="111">
        <f t="shared" si="13"/>
        <v>28.058437500000402</v>
      </c>
      <c r="K25" s="112">
        <f t="shared" si="14"/>
        <v>2.5755942126988098</v>
      </c>
      <c r="L25" s="113">
        <f t="shared" si="15"/>
        <v>3.0481098110878739</v>
      </c>
      <c r="M25" s="121" t="s">
        <v>168</v>
      </c>
      <c r="N25" s="82">
        <f>H29</f>
        <v>174.30346666666662</v>
      </c>
      <c r="O25" s="82">
        <f>I29</f>
        <v>16</v>
      </c>
      <c r="P25" s="82">
        <f>N25/O25</f>
        <v>10.893966666666664</v>
      </c>
      <c r="Q25" s="83" t="s">
        <v>175</v>
      </c>
      <c r="R25" s="84" t="s">
        <v>176</v>
      </c>
    </row>
    <row r="26" spans="1:27" ht="17.25" thickBot="1" x14ac:dyDescent="0.3">
      <c r="A26" s="81" t="s">
        <v>127</v>
      </c>
      <c r="B26" s="82">
        <f>C21</f>
        <v>174.30346666666662</v>
      </c>
      <c r="C26" s="82">
        <f>A14*(A16-1)</f>
        <v>16</v>
      </c>
      <c r="D26" s="82">
        <f t="shared" si="19"/>
        <v>10.893966666666664</v>
      </c>
      <c r="E26" s="83" t="s">
        <v>175</v>
      </c>
      <c r="F26" s="84" t="s">
        <v>176</v>
      </c>
      <c r="G26" s="110" t="s">
        <v>44</v>
      </c>
      <c r="H26" s="111">
        <f t="shared" si="12"/>
        <v>4919.4930041666657</v>
      </c>
      <c r="I26" s="111">
        <v>1</v>
      </c>
      <c r="J26" s="111">
        <f t="shared" si="13"/>
        <v>4919.4930041666657</v>
      </c>
      <c r="K26" s="112">
        <f t="shared" si="14"/>
        <v>451.57959030839703</v>
      </c>
      <c r="L26" s="113">
        <f t="shared" si="15"/>
        <v>3.0481098110878739</v>
      </c>
      <c r="M26" s="122" t="s">
        <v>163</v>
      </c>
      <c r="N26" s="86">
        <f>SUM(N22:N25)</f>
        <v>8250.3387124999954</v>
      </c>
      <c r="O26" s="86">
        <f>SUM(O22:O25)</f>
        <v>19</v>
      </c>
      <c r="P26" s="86"/>
      <c r="Q26" s="87">
        <f>SUM(N22:N24)/N26</f>
        <v>0.97887317445493705</v>
      </c>
      <c r="R26" s="88">
        <f>Q26^0.5</f>
        <v>0.98938019712087277</v>
      </c>
    </row>
    <row r="27" spans="1:27" ht="17.25" thickBot="1" x14ac:dyDescent="0.3">
      <c r="A27" s="85" t="s">
        <v>119</v>
      </c>
      <c r="B27" s="86">
        <f>SUM(B24:B26)</f>
        <v>67986.942099999986</v>
      </c>
      <c r="C27" s="86">
        <f>SUM(C24:C26)</f>
        <v>24</v>
      </c>
      <c r="D27" s="86"/>
      <c r="E27" s="87">
        <f>(B24+B25)/B27</f>
        <v>0.99743622140836563</v>
      </c>
      <c r="F27" s="88">
        <f>E27^0.5</f>
        <v>0.9987172880291828</v>
      </c>
      <c r="G27" s="110" t="s">
        <v>45</v>
      </c>
      <c r="H27" s="111">
        <f t="shared" si="12"/>
        <v>14.523704166666649</v>
      </c>
      <c r="I27" s="111">
        <v>1</v>
      </c>
      <c r="J27" s="111">
        <f t="shared" si="13"/>
        <v>14.523704166666649</v>
      </c>
      <c r="K27" s="112">
        <f t="shared" si="14"/>
        <v>1.3331878654545775</v>
      </c>
      <c r="L27" s="113">
        <f t="shared" si="15"/>
        <v>3.0481098110878739</v>
      </c>
      <c r="M27" s="121" t="s">
        <v>178</v>
      </c>
      <c r="N27" s="89">
        <f>1-(N25/O25)/(N26/O26)</f>
        <v>0.97491189466523775</v>
      </c>
      <c r="O27" s="89"/>
      <c r="P27" s="89"/>
      <c r="Q27" s="89"/>
      <c r="R27" s="89"/>
    </row>
    <row r="28" spans="1:27" x14ac:dyDescent="0.25">
      <c r="A28" s="81" t="s">
        <v>178</v>
      </c>
      <c r="B28" s="89">
        <f>1-(B26/C26)/(B27/C27)</f>
        <v>0.99615433211254845</v>
      </c>
      <c r="C28" s="89"/>
      <c r="D28" s="89"/>
      <c r="E28" s="89"/>
      <c r="F28" s="89"/>
      <c r="G28" s="110" t="s">
        <v>54</v>
      </c>
      <c r="H28" s="111">
        <f t="shared" si="12"/>
        <v>1.2927041666665713</v>
      </c>
      <c r="I28" s="111">
        <v>1</v>
      </c>
      <c r="J28" s="111">
        <f t="shared" si="13"/>
        <v>1.2927041666665713</v>
      </c>
      <c r="K28" s="112">
        <f t="shared" si="14"/>
        <v>0.11866239416924092</v>
      </c>
      <c r="L28" s="113">
        <f t="shared" si="15"/>
        <v>3.0481098110878739</v>
      </c>
    </row>
    <row r="29" spans="1:27" ht="17.25" thickBot="1" x14ac:dyDescent="0.3">
      <c r="G29" s="110" t="s">
        <v>168</v>
      </c>
      <c r="H29" s="111">
        <f t="shared" si="12"/>
        <v>174.30346666666662</v>
      </c>
      <c r="I29" s="111">
        <f>P2*(P4-1)</f>
        <v>16</v>
      </c>
      <c r="J29" s="111">
        <f t="shared" si="13"/>
        <v>10.893966666666664</v>
      </c>
      <c r="K29" s="112" t="s">
        <v>175</v>
      </c>
      <c r="L29" s="113" t="s">
        <v>176</v>
      </c>
    </row>
    <row r="30" spans="1:27" ht="17.25" thickBot="1" x14ac:dyDescent="0.3">
      <c r="A30" s="93" t="s">
        <v>121</v>
      </c>
      <c r="B30" s="94" t="s">
        <v>119</v>
      </c>
      <c r="C30" s="94" t="s">
        <v>129</v>
      </c>
      <c r="D30" s="94" t="s">
        <v>130</v>
      </c>
      <c r="E30" s="94" t="s">
        <v>132</v>
      </c>
      <c r="F30" s="95" t="s">
        <v>174</v>
      </c>
      <c r="G30" s="114" t="s">
        <v>163</v>
      </c>
      <c r="H30" s="115">
        <f>SUM(H22:H29)</f>
        <v>8301.5286624999972</v>
      </c>
      <c r="I30" s="115">
        <f>SUM(I22:I29)</f>
        <v>23</v>
      </c>
      <c r="J30" s="115"/>
      <c r="K30" s="114">
        <f>SUM(H22,H24,H26)/H30</f>
        <v>0.97283712122981925</v>
      </c>
      <c r="L30" s="116">
        <f>K30^0.5</f>
        <v>0.98632505860381503</v>
      </c>
      <c r="N30" t="s">
        <v>1</v>
      </c>
      <c r="O30" t="s">
        <v>3</v>
      </c>
      <c r="P30" t="s">
        <v>28</v>
      </c>
      <c r="Q30" t="s">
        <v>4</v>
      </c>
      <c r="S30" s="117" t="s">
        <v>10</v>
      </c>
      <c r="T30" s="117"/>
    </row>
    <row r="31" spans="1:27" ht="17.25" thickBot="1" x14ac:dyDescent="0.3">
      <c r="A31" s="96" t="s">
        <v>124</v>
      </c>
      <c r="B31" s="97">
        <f>B21</f>
        <v>8127.2251958333327</v>
      </c>
      <c r="C31" s="97">
        <f>A14-1</f>
        <v>7</v>
      </c>
      <c r="D31" s="97">
        <f>B31/C31</f>
        <v>1161.0321708333333</v>
      </c>
      <c r="E31" s="97">
        <f>D31/D32</f>
        <v>106.5757043654133</v>
      </c>
      <c r="F31" s="98">
        <f>_xlfn.F.INV.RT(0.1,C31,C32)</f>
        <v>2.1280026088875497</v>
      </c>
      <c r="G31" s="112" t="s">
        <v>178</v>
      </c>
      <c r="H31" s="97">
        <f>1-(H29/I29)/(H30/I30)</f>
        <v>0.96981745850433809</v>
      </c>
      <c r="I31" s="117"/>
      <c r="J31" s="117"/>
      <c r="K31" s="117"/>
      <c r="L31" s="117"/>
      <c r="M31" s="146" t="s">
        <v>179</v>
      </c>
      <c r="N31" s="26">
        <f>C2</f>
        <v>-1</v>
      </c>
      <c r="O31" s="26">
        <f>E2</f>
        <v>-1</v>
      </c>
      <c r="P31" s="26">
        <f>G2</f>
        <v>1</v>
      </c>
      <c r="Q31" s="26">
        <v>61.43</v>
      </c>
      <c r="S31" s="117"/>
      <c r="T31" s="117"/>
    </row>
    <row r="32" spans="1:27" x14ac:dyDescent="0.25">
      <c r="A32" s="96" t="s">
        <v>126</v>
      </c>
      <c r="B32" s="97">
        <f>C21</f>
        <v>174.30346666666662</v>
      </c>
      <c r="C32" s="97">
        <f>A14*(A16-1)</f>
        <v>16</v>
      </c>
      <c r="D32" s="97">
        <f>B32/C32</f>
        <v>10.893966666666664</v>
      </c>
      <c r="E32" s="97"/>
      <c r="F32" s="98"/>
      <c r="M32" s="146"/>
      <c r="N32" s="26">
        <f t="shared" ref="N32:N38" si="20">C3</f>
        <v>1</v>
      </c>
      <c r="O32" s="26">
        <f t="shared" ref="O32:O38" si="21">E3</f>
        <v>-1</v>
      </c>
      <c r="P32" s="26">
        <f t="shared" ref="P32:P38" si="22">G3</f>
        <v>1</v>
      </c>
      <c r="Q32" s="26">
        <v>75.62</v>
      </c>
      <c r="S32" s="118" t="s">
        <v>12</v>
      </c>
      <c r="T32" s="118"/>
    </row>
    <row r="33" spans="1:27" x14ac:dyDescent="0.25">
      <c r="A33" s="99" t="s">
        <v>163</v>
      </c>
      <c r="B33" s="100">
        <f>B31+B32</f>
        <v>8301.528662499999</v>
      </c>
      <c r="C33" s="100">
        <f>SUM(C31:C32)</f>
        <v>23</v>
      </c>
      <c r="D33" s="100"/>
      <c r="E33" s="100"/>
      <c r="F33" s="101"/>
      <c r="M33" s="146"/>
      <c r="N33" s="26">
        <f t="shared" si="20"/>
        <v>-1</v>
      </c>
      <c r="O33" s="26">
        <f t="shared" si="21"/>
        <v>-1</v>
      </c>
      <c r="P33" s="26">
        <f t="shared" si="22"/>
        <v>-1</v>
      </c>
      <c r="Q33" s="26">
        <v>27.51</v>
      </c>
      <c r="S33" s="119" t="s">
        <v>13</v>
      </c>
      <c r="T33" s="119">
        <v>0.98632505860381514</v>
      </c>
    </row>
    <row r="34" spans="1:27" ht="17.25" thickBot="1" x14ac:dyDescent="0.3">
      <c r="A34" s="102" t="s">
        <v>175</v>
      </c>
      <c r="B34" s="103">
        <f>B31/B33</f>
        <v>0.97900344939432216</v>
      </c>
      <c r="C34" s="103" t="s">
        <v>176</v>
      </c>
      <c r="D34" s="103">
        <f>B34^0.5</f>
        <v>0.98944603157237543</v>
      </c>
      <c r="E34" s="103" t="s">
        <v>177</v>
      </c>
      <c r="F34" s="104">
        <f>1-(B32/C32)/(B33/C33)</f>
        <v>0.96981745850433809</v>
      </c>
      <c r="G34" s="26"/>
      <c r="H34" s="26"/>
      <c r="I34" s="26"/>
      <c r="J34" s="26"/>
      <c r="M34" s="146"/>
      <c r="N34" s="26">
        <f t="shared" si="20"/>
        <v>1</v>
      </c>
      <c r="O34" s="26">
        <f t="shared" si="21"/>
        <v>-1</v>
      </c>
      <c r="P34" s="26">
        <f t="shared" si="22"/>
        <v>-1</v>
      </c>
      <c r="Q34" s="26">
        <v>51.37</v>
      </c>
      <c r="S34" s="119" t="s">
        <v>15</v>
      </c>
      <c r="T34" s="119">
        <v>0.97283712122981936</v>
      </c>
    </row>
    <row r="35" spans="1:27" x14ac:dyDescent="0.25">
      <c r="B35" s="26"/>
      <c r="C35" s="26"/>
      <c r="D35" s="26"/>
      <c r="E35" s="26"/>
      <c r="F35" s="26"/>
      <c r="G35" s="26"/>
      <c r="H35" s="26"/>
      <c r="I35" s="26"/>
      <c r="J35" s="26"/>
      <c r="M35" s="146"/>
      <c r="N35" s="26">
        <f t="shared" si="20"/>
        <v>-1</v>
      </c>
      <c r="O35" s="26">
        <f t="shared" si="21"/>
        <v>1</v>
      </c>
      <c r="P35" s="26">
        <f t="shared" si="22"/>
        <v>-1</v>
      </c>
      <c r="Q35" s="26">
        <v>24.8</v>
      </c>
      <c r="S35" s="119" t="s">
        <v>16</v>
      </c>
      <c r="T35" s="119">
        <v>0.96876268941429233</v>
      </c>
    </row>
    <row r="36" spans="1:27" x14ac:dyDescent="0.25">
      <c r="B36" s="26"/>
      <c r="C36" s="76"/>
      <c r="D36" s="76"/>
      <c r="E36" s="76"/>
      <c r="F36" s="76"/>
      <c r="G36" s="76"/>
      <c r="H36" s="26"/>
      <c r="I36" s="26"/>
      <c r="J36" s="26"/>
      <c r="M36" s="146"/>
      <c r="N36" s="26">
        <f t="shared" si="20"/>
        <v>1</v>
      </c>
      <c r="O36" s="26">
        <f t="shared" si="21"/>
        <v>1</v>
      </c>
      <c r="P36" s="26">
        <f t="shared" si="22"/>
        <v>-1</v>
      </c>
      <c r="Q36" s="26">
        <v>43.58</v>
      </c>
      <c r="S36" s="119" t="s">
        <v>47</v>
      </c>
      <c r="T36" s="119">
        <v>3.3577776628796219</v>
      </c>
    </row>
    <row r="37" spans="1:27" ht="17.25" thickBot="1" x14ac:dyDescent="0.3">
      <c r="B37" s="26"/>
      <c r="C37" s="73"/>
      <c r="D37" s="73"/>
      <c r="E37" s="73"/>
      <c r="F37" s="73"/>
      <c r="G37" s="73"/>
      <c r="H37" s="26"/>
      <c r="I37" s="26"/>
      <c r="J37" s="26"/>
      <c r="M37" s="146"/>
      <c r="N37" s="26">
        <f t="shared" si="20"/>
        <v>-1</v>
      </c>
      <c r="O37" s="26">
        <f t="shared" si="21"/>
        <v>1</v>
      </c>
      <c r="P37" s="26">
        <f t="shared" si="22"/>
        <v>1</v>
      </c>
      <c r="Q37" s="26">
        <v>45.2</v>
      </c>
      <c r="S37" s="120" t="s">
        <v>21</v>
      </c>
      <c r="T37" s="120">
        <v>24</v>
      </c>
    </row>
    <row r="38" spans="1:27" x14ac:dyDescent="0.25">
      <c r="B38" s="26"/>
      <c r="C38" s="73"/>
      <c r="D38" s="73"/>
      <c r="E38" s="73"/>
      <c r="F38" s="73"/>
      <c r="G38" s="73"/>
      <c r="H38" s="26"/>
      <c r="I38" s="26"/>
      <c r="J38" s="26"/>
      <c r="M38" s="147"/>
      <c r="N38" s="18">
        <f t="shared" si="20"/>
        <v>1</v>
      </c>
      <c r="O38" s="18">
        <f t="shared" si="21"/>
        <v>1</v>
      </c>
      <c r="P38" s="18">
        <f t="shared" si="22"/>
        <v>1</v>
      </c>
      <c r="Q38" s="18">
        <v>70.510000000000005</v>
      </c>
    </row>
    <row r="39" spans="1:27" ht="17.25" thickBot="1" x14ac:dyDescent="0.3">
      <c r="B39" s="26"/>
      <c r="C39" s="26"/>
      <c r="D39" s="26"/>
      <c r="E39" s="26"/>
      <c r="F39" s="26"/>
      <c r="G39" s="26"/>
      <c r="H39" s="26"/>
      <c r="I39" s="26"/>
      <c r="J39" s="26"/>
      <c r="M39" s="148" t="s">
        <v>179</v>
      </c>
      <c r="N39" s="90">
        <f>N31</f>
        <v>-1</v>
      </c>
      <c r="O39" s="90">
        <f>O31</f>
        <v>-1</v>
      </c>
      <c r="P39" s="90">
        <f>P31</f>
        <v>1</v>
      </c>
      <c r="Q39" s="90">
        <v>58.58</v>
      </c>
      <c r="S39" t="s">
        <v>26</v>
      </c>
    </row>
    <row r="40" spans="1:27" x14ac:dyDescent="0.25">
      <c r="B40" s="26"/>
      <c r="C40" s="26"/>
      <c r="D40" s="26"/>
      <c r="E40" s="26"/>
      <c r="F40" s="26"/>
      <c r="G40" s="26"/>
      <c r="H40" s="26"/>
      <c r="I40" s="26"/>
      <c r="J40" s="26"/>
      <c r="M40" s="146"/>
      <c r="N40" s="26">
        <f t="shared" ref="N40:P46" si="23">N32</f>
        <v>1</v>
      </c>
      <c r="O40" s="26">
        <f t="shared" si="23"/>
        <v>-1</v>
      </c>
      <c r="P40" s="26">
        <f t="shared" si="23"/>
        <v>1</v>
      </c>
      <c r="Q40" s="26">
        <v>77.569999999999993</v>
      </c>
      <c r="S40" s="75"/>
      <c r="T40" s="75" t="s">
        <v>33</v>
      </c>
      <c r="U40" s="75" t="s">
        <v>34</v>
      </c>
      <c r="V40" s="75" t="s">
        <v>35</v>
      </c>
      <c r="W40" s="75" t="s">
        <v>36</v>
      </c>
      <c r="X40" s="75" t="s">
        <v>37</v>
      </c>
    </row>
    <row r="41" spans="1:27" x14ac:dyDescent="0.25">
      <c r="B41" s="26"/>
      <c r="C41" s="26"/>
      <c r="D41" s="26"/>
      <c r="E41" s="26"/>
      <c r="F41" s="26"/>
      <c r="G41" s="26"/>
      <c r="H41" s="26"/>
      <c r="I41" s="26"/>
      <c r="J41" s="26"/>
      <c r="M41" s="146"/>
      <c r="N41" s="26">
        <f t="shared" si="23"/>
        <v>-1</v>
      </c>
      <c r="O41" s="26">
        <f t="shared" si="23"/>
        <v>-1</v>
      </c>
      <c r="P41" s="26">
        <f t="shared" si="23"/>
        <v>-1</v>
      </c>
      <c r="Q41" s="26">
        <v>34.03</v>
      </c>
      <c r="S41" s="73" t="s">
        <v>39</v>
      </c>
      <c r="T41" s="73">
        <v>3</v>
      </c>
      <c r="U41" s="73">
        <v>8076.0352458333318</v>
      </c>
      <c r="V41" s="73">
        <v>2692.0117486111108</v>
      </c>
      <c r="W41" s="73">
        <v>238.76632749687312</v>
      </c>
      <c r="X41" s="73">
        <v>7.9899884231460721E-16</v>
      </c>
    </row>
    <row r="42" spans="1:27" x14ac:dyDescent="0.25">
      <c r="M42" s="146"/>
      <c r="N42" s="26">
        <f t="shared" si="23"/>
        <v>1</v>
      </c>
      <c r="O42" s="26">
        <f t="shared" si="23"/>
        <v>-1</v>
      </c>
      <c r="P42" s="26">
        <f t="shared" si="23"/>
        <v>-1</v>
      </c>
      <c r="Q42" s="26">
        <v>48.49</v>
      </c>
      <c r="R42" s="76"/>
      <c r="S42" s="73" t="s">
        <v>41</v>
      </c>
      <c r="T42" s="73">
        <v>20</v>
      </c>
      <c r="U42" s="73">
        <v>225.49341666666675</v>
      </c>
      <c r="V42" s="73">
        <v>11.274670833333337</v>
      </c>
      <c r="W42" s="73"/>
      <c r="X42" s="73"/>
    </row>
    <row r="43" spans="1:27" ht="17.25" thickBot="1" x14ac:dyDescent="0.3">
      <c r="M43" s="146"/>
      <c r="N43" s="26">
        <f t="shared" si="23"/>
        <v>-1</v>
      </c>
      <c r="O43" s="26">
        <f t="shared" si="23"/>
        <v>1</v>
      </c>
      <c r="P43" s="26">
        <f t="shared" si="23"/>
        <v>-1</v>
      </c>
      <c r="Q43" s="26">
        <v>20.69</v>
      </c>
      <c r="R43" s="73"/>
      <c r="S43" s="74" t="s">
        <v>43</v>
      </c>
      <c r="T43" s="74">
        <v>23</v>
      </c>
      <c r="U43" s="74">
        <v>8301.528662499999</v>
      </c>
      <c r="V43" s="74"/>
      <c r="W43" s="74"/>
      <c r="X43" s="74"/>
    </row>
    <row r="44" spans="1:27" ht="17.25" thickBot="1" x14ac:dyDescent="0.3">
      <c r="M44" s="146"/>
      <c r="N44" s="26">
        <f t="shared" si="23"/>
        <v>1</v>
      </c>
      <c r="O44" s="26">
        <f t="shared" si="23"/>
        <v>1</v>
      </c>
      <c r="P44" s="26">
        <f t="shared" si="23"/>
        <v>-1</v>
      </c>
      <c r="Q44" s="26">
        <v>44.31</v>
      </c>
      <c r="R44" s="73"/>
    </row>
    <row r="45" spans="1:27" x14ac:dyDescent="0.25">
      <c r="M45" s="146"/>
      <c r="N45" s="26">
        <f t="shared" si="23"/>
        <v>-1</v>
      </c>
      <c r="O45" s="26">
        <f t="shared" si="23"/>
        <v>1</v>
      </c>
      <c r="P45" s="26">
        <f t="shared" si="23"/>
        <v>1</v>
      </c>
      <c r="Q45" s="26">
        <v>49.53</v>
      </c>
      <c r="R45" s="73"/>
      <c r="S45" s="75"/>
      <c r="T45" s="75" t="s">
        <v>46</v>
      </c>
      <c r="U45" s="75" t="s">
        <v>47</v>
      </c>
      <c r="V45" s="75" t="s">
        <v>48</v>
      </c>
      <c r="W45" s="75" t="s">
        <v>49</v>
      </c>
      <c r="X45" s="75" t="s">
        <v>50</v>
      </c>
      <c r="Y45" s="75" t="s">
        <v>51</v>
      </c>
      <c r="Z45" s="75" t="s">
        <v>180</v>
      </c>
      <c r="AA45" s="75" t="s">
        <v>181</v>
      </c>
    </row>
    <row r="46" spans="1:27" x14ac:dyDescent="0.25">
      <c r="M46" s="147"/>
      <c r="N46" s="18">
        <f t="shared" si="23"/>
        <v>1</v>
      </c>
      <c r="O46" s="18">
        <f t="shared" si="23"/>
        <v>1</v>
      </c>
      <c r="P46" s="18">
        <f t="shared" si="23"/>
        <v>1</v>
      </c>
      <c r="Q46" s="18">
        <v>74</v>
      </c>
      <c r="R46" s="73"/>
      <c r="S46" s="73" t="s">
        <v>55</v>
      </c>
      <c r="T46" s="73">
        <v>49.868750000000006</v>
      </c>
      <c r="U46" s="73">
        <v>0.68540349531417566</v>
      </c>
      <c r="V46" s="73">
        <v>72.758237069014569</v>
      </c>
      <c r="W46" s="73">
        <v>1.0069842215203724E-25</v>
      </c>
      <c r="X46" s="73">
        <v>48.439023362146372</v>
      </c>
      <c r="Y46" s="73">
        <v>51.298476637853639</v>
      </c>
      <c r="Z46" s="73">
        <v>48.439023362146372</v>
      </c>
      <c r="AA46" s="73">
        <v>51.298476637853639</v>
      </c>
    </row>
    <row r="47" spans="1:27" x14ac:dyDescent="0.25">
      <c r="M47" s="145" t="s">
        <v>179</v>
      </c>
      <c r="N47">
        <f>N39</f>
        <v>-1</v>
      </c>
      <c r="O47">
        <f>O39</f>
        <v>-1</v>
      </c>
      <c r="P47">
        <f>P31</f>
        <v>1</v>
      </c>
      <c r="Q47" s="26">
        <v>57.07</v>
      </c>
      <c r="R47" s="26"/>
      <c r="S47" s="73" t="s">
        <v>58</v>
      </c>
      <c r="T47" s="73">
        <v>10.734583333333335</v>
      </c>
      <c r="U47" s="73">
        <v>0.68540349531417566</v>
      </c>
      <c r="V47" s="73">
        <v>15.661699140318522</v>
      </c>
      <c r="W47" s="73">
        <v>1.0827628580791364E-12</v>
      </c>
      <c r="X47" s="73">
        <v>9.3048566954797032</v>
      </c>
      <c r="Y47" s="73">
        <v>12.164309971186967</v>
      </c>
      <c r="Z47" s="73">
        <v>9.3048566954797032</v>
      </c>
      <c r="AA47" s="73">
        <v>12.164309971186967</v>
      </c>
    </row>
    <row r="48" spans="1:27" x14ac:dyDescent="0.25">
      <c r="M48" s="145"/>
      <c r="N48">
        <f t="shared" ref="N48:O54" si="24">N40</f>
        <v>1</v>
      </c>
      <c r="O48">
        <f t="shared" si="24"/>
        <v>-1</v>
      </c>
      <c r="P48">
        <f t="shared" ref="P48:P54" si="25">P32</f>
        <v>1</v>
      </c>
      <c r="Q48" s="26">
        <v>75.75</v>
      </c>
      <c r="R48" s="26"/>
      <c r="S48" s="73" t="s">
        <v>62</v>
      </c>
      <c r="T48" s="73">
        <v>-4.0362499999999972</v>
      </c>
      <c r="U48" s="73">
        <v>0.68540349531417544</v>
      </c>
      <c r="V48" s="73">
        <v>-5.8888669631745314</v>
      </c>
      <c r="W48" s="73">
        <v>9.2515289397680043E-6</v>
      </c>
      <c r="X48" s="73">
        <v>-5.4659766378536272</v>
      </c>
      <c r="Y48" s="73">
        <v>-2.6065233621463668</v>
      </c>
      <c r="Z48" s="73">
        <v>-5.4659766378536272</v>
      </c>
      <c r="AA48" s="73">
        <v>-2.6065233621463668</v>
      </c>
    </row>
    <row r="49" spans="13:27" ht="17.25" thickBot="1" x14ac:dyDescent="0.3">
      <c r="M49" s="145"/>
      <c r="N49">
        <f t="shared" si="24"/>
        <v>-1</v>
      </c>
      <c r="O49">
        <f t="shared" si="24"/>
        <v>-1</v>
      </c>
      <c r="P49">
        <f t="shared" si="25"/>
        <v>-1</v>
      </c>
      <c r="Q49" s="26">
        <v>25.07</v>
      </c>
      <c r="R49" s="26"/>
      <c r="S49" s="74" t="s">
        <v>66</v>
      </c>
      <c r="T49" s="74">
        <v>14.317083333333333</v>
      </c>
      <c r="U49" s="74">
        <v>0.68540349531417566</v>
      </c>
      <c r="V49" s="74">
        <v>20.888547302739767</v>
      </c>
      <c r="W49" s="74">
        <v>4.7024726858451465E-15</v>
      </c>
      <c r="X49" s="74">
        <v>12.887356695479703</v>
      </c>
      <c r="Y49" s="74">
        <v>15.746809971186963</v>
      </c>
      <c r="Z49" s="74">
        <v>12.887356695479703</v>
      </c>
      <c r="AA49" s="74">
        <v>15.746809971186963</v>
      </c>
    </row>
    <row r="50" spans="13:27" x14ac:dyDescent="0.25">
      <c r="M50" s="145"/>
      <c r="N50">
        <f t="shared" si="24"/>
        <v>1</v>
      </c>
      <c r="O50">
        <f t="shared" si="24"/>
        <v>-1</v>
      </c>
      <c r="P50">
        <f t="shared" si="25"/>
        <v>-1</v>
      </c>
      <c r="Q50" s="26">
        <v>54.37</v>
      </c>
      <c r="R50" s="26"/>
    </row>
    <row r="51" spans="13:27" x14ac:dyDescent="0.25">
      <c r="M51" s="145"/>
      <c r="N51">
        <f t="shared" si="24"/>
        <v>-1</v>
      </c>
      <c r="O51">
        <f t="shared" si="24"/>
        <v>1</v>
      </c>
      <c r="P51">
        <f t="shared" si="25"/>
        <v>-1</v>
      </c>
      <c r="Q51">
        <v>15.41</v>
      </c>
    </row>
    <row r="52" spans="13:27" x14ac:dyDescent="0.25">
      <c r="M52" s="145"/>
      <c r="N52">
        <f t="shared" si="24"/>
        <v>1</v>
      </c>
      <c r="O52">
        <f t="shared" si="24"/>
        <v>1</v>
      </c>
      <c r="P52">
        <f t="shared" si="25"/>
        <v>-1</v>
      </c>
      <c r="Q52">
        <v>36.99</v>
      </c>
    </row>
    <row r="53" spans="13:27" x14ac:dyDescent="0.25">
      <c r="M53" s="145"/>
      <c r="N53">
        <f t="shared" si="24"/>
        <v>-1</v>
      </c>
      <c r="O53">
        <f t="shared" si="24"/>
        <v>1</v>
      </c>
      <c r="P53">
        <f t="shared" si="25"/>
        <v>1</v>
      </c>
      <c r="Q53">
        <v>50.29</v>
      </c>
    </row>
    <row r="54" spans="13:27" x14ac:dyDescent="0.25">
      <c r="M54" s="145"/>
      <c r="N54">
        <f t="shared" si="24"/>
        <v>1</v>
      </c>
      <c r="O54">
        <f t="shared" si="24"/>
        <v>1</v>
      </c>
      <c r="P54">
        <f t="shared" si="25"/>
        <v>1</v>
      </c>
      <c r="Q54">
        <v>74.680000000000007</v>
      </c>
    </row>
  </sheetData>
  <mergeCells count="4">
    <mergeCell ref="N11:O11"/>
    <mergeCell ref="M31:M38"/>
    <mergeCell ref="M39:M46"/>
    <mergeCell ref="M47:M54"/>
  </mergeCells>
  <phoneticPr fontId="1" type="noConversion"/>
  <conditionalFormatting sqref="K22:K28">
    <cfRule type="cellIs" dxfId="3" priority="2" operator="greaterThan">
      <formula>$L$22</formula>
    </cfRule>
  </conditionalFormatting>
  <conditionalFormatting sqref="Q22:Q24">
    <cfRule type="cellIs" dxfId="2" priority="1" operator="greaterThan">
      <formula>10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07D0-0378-48DE-A771-39BD13989BC5}">
  <dimension ref="A1:Y34"/>
  <sheetViews>
    <sheetView zoomScaleNormal="100" workbookViewId="0">
      <selection activeCell="Z19" sqref="Z19"/>
    </sheetView>
  </sheetViews>
  <sheetFormatPr defaultRowHeight="16.5" x14ac:dyDescent="0.25"/>
  <cols>
    <col min="3" max="12" width="9" customWidth="1"/>
    <col min="15" max="18" width="11.75" customWidth="1"/>
    <col min="20" max="20" width="16.75" bestFit="1" customWidth="1"/>
    <col min="21" max="21" width="9.25" bestFit="1" customWidth="1"/>
  </cols>
  <sheetData>
    <row r="1" spans="1:25" ht="17.25" thickBot="1" x14ac:dyDescent="0.3">
      <c r="A1" t="s">
        <v>182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132</v>
      </c>
      <c r="H1" s="3" t="s">
        <v>183</v>
      </c>
      <c r="I1" s="3" t="s">
        <v>184</v>
      </c>
      <c r="J1" s="3" t="s">
        <v>185</v>
      </c>
      <c r="K1" t="s">
        <v>7</v>
      </c>
      <c r="L1" t="s">
        <v>186</v>
      </c>
      <c r="M1" s="124" t="s">
        <v>187</v>
      </c>
      <c r="N1" s="5" t="s">
        <v>188</v>
      </c>
      <c r="O1" s="3" t="s">
        <v>189</v>
      </c>
      <c r="P1" s="149" t="s">
        <v>219</v>
      </c>
      <c r="Q1" s="149"/>
      <c r="R1" s="149"/>
      <c r="T1" t="s">
        <v>187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3">
        <v>2029</v>
      </c>
      <c r="I2" s="3">
        <v>1975</v>
      </c>
      <c r="J2" s="3">
        <v>1961</v>
      </c>
      <c r="K2">
        <f t="shared" ref="K2:K19" si="0">AVERAGE(H2:J2)</f>
        <v>1988.3333333333333</v>
      </c>
      <c r="L2">
        <f t="shared" ref="L2:L19" si="1">(_xlfn.VAR.S(H2:J2))^0.5</f>
        <v>35.907288025320618</v>
      </c>
      <c r="M2" s="124">
        <f t="shared" ref="M2:M19" si="2">10*LOG10(K2^2/L2^2)</f>
        <v>34.866131758820949</v>
      </c>
      <c r="N2" s="5" t="s">
        <v>9</v>
      </c>
      <c r="O2" s="3" t="s">
        <v>9</v>
      </c>
      <c r="P2" s="3">
        <f>(H2-$K2)^2</f>
        <v>1653.777777777784</v>
      </c>
      <c r="Q2" s="3">
        <f t="shared" ref="Q2:R2" si="3">(I2-$K2)^2</f>
        <v>177.77777777777575</v>
      </c>
      <c r="R2" s="3">
        <f t="shared" si="3"/>
        <v>747.11111111110699</v>
      </c>
      <c r="T2" s="31" t="s">
        <v>122</v>
      </c>
      <c r="U2" s="29" t="s">
        <v>119</v>
      </c>
      <c r="V2" s="29" t="s">
        <v>129</v>
      </c>
      <c r="W2" s="29" t="s">
        <v>130</v>
      </c>
      <c r="X2" s="29" t="s">
        <v>132</v>
      </c>
      <c r="Y2" s="30" t="s">
        <v>174</v>
      </c>
    </row>
    <row r="3" spans="1:25" x14ac:dyDescent="0.25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 s="3">
        <v>5375</v>
      </c>
      <c r="I3" s="3">
        <v>5191</v>
      </c>
      <c r="J3" s="3">
        <v>5242</v>
      </c>
      <c r="K3">
        <f t="shared" si="0"/>
        <v>5269.333333333333</v>
      </c>
      <c r="L3">
        <f t="shared" si="1"/>
        <v>94.99649116327052</v>
      </c>
      <c r="M3" s="124">
        <f t="shared" si="2"/>
        <v>34.880962165031875</v>
      </c>
      <c r="N3" s="5">
        <v>18</v>
      </c>
      <c r="O3" s="3">
        <f>18</f>
        <v>18</v>
      </c>
      <c r="P3" s="3">
        <f t="shared" ref="P3:P19" si="4">(H3-$K3)^2</f>
        <v>11165.444444444509</v>
      </c>
      <c r="Q3" s="3">
        <f t="shared" ref="Q3:Q19" si="5">(I3-$K3)^2</f>
        <v>6136.111111111064</v>
      </c>
      <c r="R3" s="3">
        <f t="shared" ref="R3:R19" si="6">(J3-$K3)^2</f>
        <v>747.11111111109449</v>
      </c>
      <c r="T3" s="32" t="s">
        <v>190</v>
      </c>
      <c r="U3" s="26">
        <f>E24</f>
        <v>81.56784307394885</v>
      </c>
      <c r="V3" s="26">
        <v>2</v>
      </c>
      <c r="W3" s="26">
        <f>U3/V3</f>
        <v>40.783921536974425</v>
      </c>
      <c r="X3" s="26">
        <f>W3/$W$9</f>
        <v>40.783921536974425</v>
      </c>
      <c r="Y3" s="27" t="e">
        <f>_xlfn.F.INV.RT(0.1,2,0)</f>
        <v>#NUM!</v>
      </c>
    </row>
    <row r="4" spans="1:25" x14ac:dyDescent="0.25">
      <c r="A4">
        <v>3</v>
      </c>
      <c r="B4">
        <v>1</v>
      </c>
      <c r="C4">
        <v>3</v>
      </c>
      <c r="D4">
        <v>3</v>
      </c>
      <c r="E4">
        <v>3</v>
      </c>
      <c r="F4">
        <v>3</v>
      </c>
      <c r="G4">
        <v>3</v>
      </c>
      <c r="H4" s="3">
        <v>5989</v>
      </c>
      <c r="I4" s="3">
        <v>5894</v>
      </c>
      <c r="J4" s="3">
        <v>5874</v>
      </c>
      <c r="K4">
        <f t="shared" si="0"/>
        <v>5919</v>
      </c>
      <c r="L4">
        <f t="shared" si="1"/>
        <v>61.441028637222537</v>
      </c>
      <c r="M4" s="124">
        <f t="shared" si="2"/>
        <v>39.675797239784998</v>
      </c>
      <c r="N4" s="5" t="s">
        <v>11</v>
      </c>
      <c r="O4" s="3" t="s">
        <v>11</v>
      </c>
      <c r="P4" s="3">
        <f t="shared" si="4"/>
        <v>4900</v>
      </c>
      <c r="Q4" s="3">
        <f t="shared" si="5"/>
        <v>625</v>
      </c>
      <c r="R4" s="3">
        <f t="shared" si="6"/>
        <v>2025</v>
      </c>
      <c r="T4" s="32" t="s">
        <v>191</v>
      </c>
      <c r="U4" s="26">
        <f>E26</f>
        <v>174.73674565798535</v>
      </c>
      <c r="V4" s="26">
        <v>2</v>
      </c>
      <c r="W4" s="26">
        <f t="shared" ref="W4:W8" si="7">U4/V4</f>
        <v>87.368372828992676</v>
      </c>
      <c r="X4" s="26">
        <f t="shared" ref="X4:X8" si="8">W4/$W$9</f>
        <v>87.368372828992676</v>
      </c>
      <c r="Y4" s="27"/>
    </row>
    <row r="5" spans="1:25" x14ac:dyDescent="0.25">
      <c r="A5">
        <v>4</v>
      </c>
      <c r="B5">
        <v>2</v>
      </c>
      <c r="C5">
        <v>1</v>
      </c>
      <c r="D5">
        <v>1</v>
      </c>
      <c r="E5">
        <v>2</v>
      </c>
      <c r="F5">
        <v>2</v>
      </c>
      <c r="G5">
        <v>3</v>
      </c>
      <c r="H5" s="3">
        <v>2118</v>
      </c>
      <c r="I5" s="3">
        <v>2109</v>
      </c>
      <c r="J5" s="3">
        <v>2099</v>
      </c>
      <c r="K5">
        <f t="shared" si="0"/>
        <v>2108.6666666666665</v>
      </c>
      <c r="L5">
        <f t="shared" si="1"/>
        <v>9.5043849529221696</v>
      </c>
      <c r="M5" s="124">
        <f t="shared" si="2"/>
        <v>46.921678295653393</v>
      </c>
      <c r="N5" s="5">
        <v>1</v>
      </c>
      <c r="O5" s="3">
        <v>3</v>
      </c>
      <c r="P5" s="3">
        <f t="shared" si="4"/>
        <v>87.111111111113942</v>
      </c>
      <c r="Q5" s="3">
        <f t="shared" si="5"/>
        <v>0.11111111111121216</v>
      </c>
      <c r="R5" s="3">
        <f t="shared" si="6"/>
        <v>93.444444444441515</v>
      </c>
      <c r="T5" s="32" t="s">
        <v>192</v>
      </c>
      <c r="U5" s="26">
        <f>E28</f>
        <v>38.711288673239395</v>
      </c>
      <c r="V5" s="26">
        <v>2</v>
      </c>
      <c r="W5" s="26">
        <f t="shared" si="7"/>
        <v>19.355644336619697</v>
      </c>
      <c r="X5" s="26">
        <f t="shared" si="8"/>
        <v>19.355644336619697</v>
      </c>
      <c r="Y5" s="27"/>
    </row>
    <row r="6" spans="1:25" x14ac:dyDescent="0.25">
      <c r="A6">
        <v>5</v>
      </c>
      <c r="B6">
        <v>2</v>
      </c>
      <c r="C6">
        <v>2</v>
      </c>
      <c r="D6">
        <v>2</v>
      </c>
      <c r="E6">
        <v>3</v>
      </c>
      <c r="F6">
        <v>3</v>
      </c>
      <c r="G6">
        <v>1</v>
      </c>
      <c r="H6" s="3">
        <v>4102</v>
      </c>
      <c r="I6" s="3">
        <v>4152</v>
      </c>
      <c r="J6" s="3">
        <v>4174</v>
      </c>
      <c r="K6">
        <f t="shared" si="0"/>
        <v>4142.666666666667</v>
      </c>
      <c r="L6">
        <f t="shared" si="1"/>
        <v>36.896250938724563</v>
      </c>
      <c r="M6" s="124">
        <f t="shared" si="2"/>
        <v>41.005955010313386</v>
      </c>
      <c r="N6" s="5" t="s">
        <v>105</v>
      </c>
      <c r="O6" s="3" t="s">
        <v>105</v>
      </c>
      <c r="P6" s="3">
        <f t="shared" si="4"/>
        <v>1653.7777777778024</v>
      </c>
      <c r="Q6" s="3">
        <f t="shared" si="5"/>
        <v>87.111111111105458</v>
      </c>
      <c r="R6" s="3">
        <f t="shared" si="6"/>
        <v>981.77777777775873</v>
      </c>
      <c r="T6" s="32" t="s">
        <v>193</v>
      </c>
      <c r="U6" s="26">
        <f>E30</f>
        <v>117.1146523333019</v>
      </c>
      <c r="V6" s="17">
        <v>2</v>
      </c>
      <c r="W6" s="26">
        <f t="shared" si="7"/>
        <v>58.557326166650952</v>
      </c>
      <c r="X6" s="26">
        <f t="shared" si="8"/>
        <v>58.557326166650952</v>
      </c>
      <c r="Y6" s="27"/>
    </row>
    <row r="7" spans="1:25" x14ac:dyDescent="0.25">
      <c r="A7">
        <v>6</v>
      </c>
      <c r="B7">
        <v>2</v>
      </c>
      <c r="C7">
        <v>3</v>
      </c>
      <c r="D7">
        <v>3</v>
      </c>
      <c r="E7">
        <v>1</v>
      </c>
      <c r="F7">
        <v>1</v>
      </c>
      <c r="G7">
        <v>2</v>
      </c>
      <c r="H7" s="3">
        <v>3022</v>
      </c>
      <c r="I7" s="3">
        <v>2932</v>
      </c>
      <c r="J7" s="3">
        <v>2913</v>
      </c>
      <c r="K7">
        <f t="shared" si="0"/>
        <v>2955.6666666666665</v>
      </c>
      <c r="L7">
        <f t="shared" si="1"/>
        <v>58.226568964119238</v>
      </c>
      <c r="M7" s="124">
        <f t="shared" si="2"/>
        <v>34.110685078975358</v>
      </c>
      <c r="N7" s="5">
        <f>N3*N5</f>
        <v>18</v>
      </c>
      <c r="O7" s="3">
        <f>O3*O5</f>
        <v>54</v>
      </c>
      <c r="P7" s="3">
        <f t="shared" si="4"/>
        <v>4400.1111111111313</v>
      </c>
      <c r="Q7" s="3">
        <f t="shared" si="5"/>
        <v>560.11111111110392</v>
      </c>
      <c r="R7" s="3">
        <f t="shared" si="6"/>
        <v>1820.4444444444316</v>
      </c>
      <c r="T7" s="32" t="s">
        <v>194</v>
      </c>
      <c r="U7" s="26">
        <f>E32</f>
        <v>573.32057693741103</v>
      </c>
      <c r="V7" s="17">
        <v>2</v>
      </c>
      <c r="W7" s="26">
        <f t="shared" si="7"/>
        <v>286.66028846870552</v>
      </c>
      <c r="X7" s="26">
        <f t="shared" si="8"/>
        <v>286.66028846870552</v>
      </c>
      <c r="Y7" s="27"/>
    </row>
    <row r="8" spans="1:25" x14ac:dyDescent="0.25">
      <c r="A8">
        <v>7</v>
      </c>
      <c r="B8">
        <v>3</v>
      </c>
      <c r="C8">
        <v>1</v>
      </c>
      <c r="D8">
        <v>2</v>
      </c>
      <c r="E8">
        <v>1</v>
      </c>
      <c r="F8">
        <v>3</v>
      </c>
      <c r="G8">
        <v>3</v>
      </c>
      <c r="H8" s="3">
        <v>3030</v>
      </c>
      <c r="I8" s="3">
        <v>3042</v>
      </c>
      <c r="J8" s="3">
        <v>3028</v>
      </c>
      <c r="K8">
        <f t="shared" si="0"/>
        <v>3033.3333333333335</v>
      </c>
      <c r="L8">
        <f t="shared" si="1"/>
        <v>7.5718777944003648</v>
      </c>
      <c r="M8" s="124">
        <f t="shared" si="2"/>
        <v>52.054330830149752</v>
      </c>
      <c r="P8" s="3">
        <f t="shared" si="4"/>
        <v>11.111111111112121</v>
      </c>
      <c r="Q8" s="3">
        <f t="shared" si="5"/>
        <v>75.111111111108485</v>
      </c>
      <c r="R8" s="3">
        <f t="shared" si="6"/>
        <v>28.444444444446063</v>
      </c>
      <c r="T8" s="32" t="s">
        <v>132</v>
      </c>
      <c r="U8" s="26">
        <f>E34</f>
        <v>9.9659815459927596</v>
      </c>
      <c r="V8" s="17">
        <v>2</v>
      </c>
      <c r="W8" s="26">
        <f t="shared" si="7"/>
        <v>4.9829907729963798</v>
      </c>
      <c r="X8" s="26">
        <f t="shared" si="8"/>
        <v>4.9829907729963798</v>
      </c>
      <c r="Y8" s="27"/>
    </row>
    <row r="9" spans="1:25" x14ac:dyDescent="0.25">
      <c r="A9">
        <v>8</v>
      </c>
      <c r="B9">
        <v>3</v>
      </c>
      <c r="C9">
        <v>2</v>
      </c>
      <c r="D9">
        <v>3</v>
      </c>
      <c r="E9">
        <v>2</v>
      </c>
      <c r="F9">
        <v>1</v>
      </c>
      <c r="G9">
        <v>1</v>
      </c>
      <c r="H9" s="3">
        <v>4707</v>
      </c>
      <c r="I9" s="3">
        <v>4472</v>
      </c>
      <c r="J9" s="3">
        <v>4336</v>
      </c>
      <c r="K9">
        <f t="shared" si="0"/>
        <v>4505</v>
      </c>
      <c r="L9">
        <f t="shared" si="1"/>
        <v>187.68857184176133</v>
      </c>
      <c r="M9" s="124">
        <f t="shared" si="2"/>
        <v>27.605139312389344</v>
      </c>
      <c r="P9" s="3">
        <f t="shared" si="4"/>
        <v>40804</v>
      </c>
      <c r="Q9" s="3">
        <f t="shared" si="5"/>
        <v>1089</v>
      </c>
      <c r="R9" s="3">
        <f t="shared" si="6"/>
        <v>28561</v>
      </c>
      <c r="T9" s="32" t="s">
        <v>168</v>
      </c>
      <c r="U9" s="26">
        <v>0</v>
      </c>
      <c r="V9" s="26">
        <f>N3*(N5-1)</f>
        <v>0</v>
      </c>
      <c r="W9" s="26">
        <v>1</v>
      </c>
      <c r="X9" s="26"/>
      <c r="Y9" s="27"/>
    </row>
    <row r="10" spans="1:25" x14ac:dyDescent="0.25">
      <c r="A10">
        <v>9</v>
      </c>
      <c r="B10">
        <v>3</v>
      </c>
      <c r="C10">
        <v>3</v>
      </c>
      <c r="D10">
        <v>1</v>
      </c>
      <c r="E10">
        <v>3</v>
      </c>
      <c r="F10">
        <v>2</v>
      </c>
      <c r="G10">
        <v>2</v>
      </c>
      <c r="H10" s="3">
        <v>3859</v>
      </c>
      <c r="I10" s="3">
        <v>3822</v>
      </c>
      <c r="J10" s="3">
        <v>3850</v>
      </c>
      <c r="K10">
        <f t="shared" si="0"/>
        <v>3843.6666666666665</v>
      </c>
      <c r="L10">
        <f t="shared" si="1"/>
        <v>19.295940851208403</v>
      </c>
      <c r="M10" s="124">
        <f t="shared" si="2"/>
        <v>45.985595164418541</v>
      </c>
      <c r="P10" s="3">
        <f t="shared" si="4"/>
        <v>235.11111111111575</v>
      </c>
      <c r="Q10" s="3">
        <f t="shared" si="5"/>
        <v>469.44444444443786</v>
      </c>
      <c r="R10" s="3">
        <f t="shared" si="6"/>
        <v>40.111111111113033</v>
      </c>
      <c r="T10" s="92" t="s">
        <v>163</v>
      </c>
      <c r="U10" s="90">
        <f>SUM(U3:U9)</f>
        <v>995.41708822187934</v>
      </c>
      <c r="V10" s="90"/>
      <c r="W10" s="90"/>
      <c r="X10" s="90"/>
      <c r="Y10" s="91"/>
    </row>
    <row r="11" spans="1:25" ht="17.25" thickBot="1" x14ac:dyDescent="0.3">
      <c r="A11">
        <v>10</v>
      </c>
      <c r="B11">
        <v>1</v>
      </c>
      <c r="C11">
        <v>1</v>
      </c>
      <c r="D11">
        <v>3</v>
      </c>
      <c r="E11">
        <v>3</v>
      </c>
      <c r="F11">
        <v>2</v>
      </c>
      <c r="G11">
        <v>1</v>
      </c>
      <c r="H11" s="3">
        <v>3227</v>
      </c>
      <c r="I11" s="3">
        <v>3205</v>
      </c>
      <c r="J11" s="3">
        <v>3242</v>
      </c>
      <c r="K11">
        <f t="shared" si="0"/>
        <v>3224.6666666666665</v>
      </c>
      <c r="L11">
        <f t="shared" si="1"/>
        <v>18.610033136277146</v>
      </c>
      <c r="M11" s="124">
        <f t="shared" si="2"/>
        <v>44.77475363828033</v>
      </c>
      <c r="P11" s="3">
        <f t="shared" si="4"/>
        <v>5.4444444444451516</v>
      </c>
      <c r="Q11" s="3">
        <f t="shared" si="5"/>
        <v>386.7777777777718</v>
      </c>
      <c r="R11" s="3">
        <f t="shared" si="6"/>
        <v>300.44444444444969</v>
      </c>
      <c r="T11" s="33"/>
      <c r="U11" s="6"/>
      <c r="V11" s="6"/>
      <c r="W11" s="6"/>
      <c r="X11" s="6"/>
      <c r="Y11" s="28"/>
    </row>
    <row r="12" spans="1:25" x14ac:dyDescent="0.25">
      <c r="A12">
        <v>11</v>
      </c>
      <c r="B12">
        <v>1</v>
      </c>
      <c r="C12">
        <v>2</v>
      </c>
      <c r="D12">
        <v>1</v>
      </c>
      <c r="E12">
        <v>1</v>
      </c>
      <c r="F12">
        <v>3</v>
      </c>
      <c r="G12">
        <v>2</v>
      </c>
      <c r="H12" s="3">
        <v>2521</v>
      </c>
      <c r="I12" s="3">
        <v>2499</v>
      </c>
      <c r="J12" s="3">
        <v>2499</v>
      </c>
      <c r="K12">
        <f t="shared" si="0"/>
        <v>2506.3333333333335</v>
      </c>
      <c r="L12">
        <f t="shared" si="1"/>
        <v>12.701705922171765</v>
      </c>
      <c r="M12" s="124">
        <f t="shared" si="2"/>
        <v>45.903535532871814</v>
      </c>
      <c r="P12" s="3">
        <f t="shared" si="4"/>
        <v>215.11111111110665</v>
      </c>
      <c r="Q12" s="3">
        <f t="shared" si="5"/>
        <v>53.777777777780003</v>
      </c>
      <c r="R12" s="3">
        <f t="shared" si="6"/>
        <v>53.777777777780003</v>
      </c>
    </row>
    <row r="13" spans="1:25" ht="17.25" thickBot="1" x14ac:dyDescent="0.3">
      <c r="A13">
        <v>12</v>
      </c>
      <c r="B13">
        <v>1</v>
      </c>
      <c r="C13">
        <v>3</v>
      </c>
      <c r="D13">
        <v>2</v>
      </c>
      <c r="E13">
        <v>2</v>
      </c>
      <c r="F13">
        <v>1</v>
      </c>
      <c r="G13">
        <v>3</v>
      </c>
      <c r="H13" s="3">
        <v>5921</v>
      </c>
      <c r="I13" s="3">
        <v>5766</v>
      </c>
      <c r="J13" s="3">
        <v>5844</v>
      </c>
      <c r="K13">
        <f t="shared" si="0"/>
        <v>5843.666666666667</v>
      </c>
      <c r="L13">
        <f t="shared" si="1"/>
        <v>77.500537632543782</v>
      </c>
      <c r="M13" s="124">
        <f t="shared" si="2"/>
        <v>37.547614394875183</v>
      </c>
      <c r="P13" s="3">
        <f t="shared" si="4"/>
        <v>5980.444444444398</v>
      </c>
      <c r="Q13" s="3">
        <f t="shared" si="5"/>
        <v>6032.1111111111586</v>
      </c>
      <c r="R13" s="3">
        <f t="shared" si="6"/>
        <v>0.111111111110909</v>
      </c>
      <c r="T13" t="s">
        <v>217</v>
      </c>
    </row>
    <row r="14" spans="1:25" x14ac:dyDescent="0.25">
      <c r="A14">
        <v>13</v>
      </c>
      <c r="B14">
        <v>2</v>
      </c>
      <c r="C14">
        <v>1</v>
      </c>
      <c r="D14">
        <v>2</v>
      </c>
      <c r="E14">
        <v>3</v>
      </c>
      <c r="F14">
        <v>1</v>
      </c>
      <c r="G14">
        <v>2</v>
      </c>
      <c r="H14" s="3">
        <v>2792</v>
      </c>
      <c r="I14" s="3">
        <v>2752</v>
      </c>
      <c r="J14" s="3">
        <v>2716</v>
      </c>
      <c r="K14">
        <f t="shared" si="0"/>
        <v>2753.3333333333335</v>
      </c>
      <c r="L14">
        <f t="shared" si="1"/>
        <v>38.017539811688678</v>
      </c>
      <c r="M14" s="124">
        <f t="shared" si="2"/>
        <v>37.197495663907716</v>
      </c>
      <c r="P14" s="3">
        <f t="shared" si="4"/>
        <v>1495.1111111110995</v>
      </c>
      <c r="Q14" s="3">
        <f t="shared" si="5"/>
        <v>1.777777777778182</v>
      </c>
      <c r="R14" s="3">
        <f t="shared" si="6"/>
        <v>1393.7777777777892</v>
      </c>
      <c r="T14" s="31" t="s">
        <v>122</v>
      </c>
      <c r="U14" s="29" t="s">
        <v>119</v>
      </c>
      <c r="V14" s="29" t="s">
        <v>129</v>
      </c>
      <c r="W14" s="29" t="s">
        <v>130</v>
      </c>
      <c r="X14" s="29" t="s">
        <v>132</v>
      </c>
      <c r="Y14" s="30" t="s">
        <v>174</v>
      </c>
    </row>
    <row r="15" spans="1:25" x14ac:dyDescent="0.25">
      <c r="A15">
        <v>14</v>
      </c>
      <c r="B15">
        <v>2</v>
      </c>
      <c r="C15">
        <v>2</v>
      </c>
      <c r="D15">
        <v>3</v>
      </c>
      <c r="E15">
        <v>1</v>
      </c>
      <c r="F15">
        <v>2</v>
      </c>
      <c r="G15">
        <v>3</v>
      </c>
      <c r="H15" s="3">
        <v>2863</v>
      </c>
      <c r="I15" s="3">
        <v>2835</v>
      </c>
      <c r="J15" s="3">
        <v>2859</v>
      </c>
      <c r="K15">
        <f t="shared" si="0"/>
        <v>2852.3333333333335</v>
      </c>
      <c r="L15">
        <f t="shared" si="1"/>
        <v>15.14375558880073</v>
      </c>
      <c r="M15" s="124">
        <f t="shared" si="2"/>
        <v>45.499333710234126</v>
      </c>
      <c r="P15" s="3">
        <f t="shared" si="4"/>
        <v>113.77777777777455</v>
      </c>
      <c r="Q15" s="3">
        <f t="shared" si="5"/>
        <v>300.44444444444969</v>
      </c>
      <c r="R15" s="3">
        <f t="shared" si="6"/>
        <v>44.444444444442425</v>
      </c>
      <c r="T15" s="32" t="s">
        <v>190</v>
      </c>
      <c r="U15" s="26">
        <f>L24</f>
        <v>11504394.481481489</v>
      </c>
      <c r="V15" s="26">
        <v>2</v>
      </c>
      <c r="W15" s="26">
        <f>U15/V15</f>
        <v>5752197.2407407444</v>
      </c>
      <c r="X15" s="26">
        <f>W15/$W$21</f>
        <v>1209.7531994609801</v>
      </c>
      <c r="Y15" s="27">
        <f>_xlfn.F.INV.RT(0.1,V15,$V$21)</f>
        <v>2.4563459949430451</v>
      </c>
    </row>
    <row r="16" spans="1:25" x14ac:dyDescent="0.25">
      <c r="A16">
        <v>15</v>
      </c>
      <c r="B16">
        <v>2</v>
      </c>
      <c r="C16">
        <v>3</v>
      </c>
      <c r="D16">
        <v>1</v>
      </c>
      <c r="E16">
        <v>2</v>
      </c>
      <c r="F16">
        <v>3</v>
      </c>
      <c r="G16">
        <v>1</v>
      </c>
      <c r="H16" s="3">
        <v>3218</v>
      </c>
      <c r="I16" s="3">
        <v>3149</v>
      </c>
      <c r="J16" s="3">
        <v>3124</v>
      </c>
      <c r="K16">
        <f t="shared" si="0"/>
        <v>3163.6666666666665</v>
      </c>
      <c r="L16">
        <f t="shared" si="1"/>
        <v>48.686069191641806</v>
      </c>
      <c r="M16" s="124">
        <f t="shared" si="2"/>
        <v>36.255720134339221</v>
      </c>
      <c r="P16" s="3">
        <f t="shared" si="4"/>
        <v>2952.1111111111277</v>
      </c>
      <c r="Q16" s="3">
        <f t="shared" si="5"/>
        <v>215.11111111110665</v>
      </c>
      <c r="R16" s="3">
        <f t="shared" si="6"/>
        <v>1573.4444444444325</v>
      </c>
      <c r="T16" s="32" t="s">
        <v>191</v>
      </c>
      <c r="U16" s="26">
        <f>L26</f>
        <v>21897229.148148157</v>
      </c>
      <c r="V16" s="26">
        <v>2</v>
      </c>
      <c r="W16" s="26">
        <f t="shared" ref="W16:W21" si="9">U16/V16</f>
        <v>10948614.574074078</v>
      </c>
      <c r="X16" s="26">
        <f t="shared" ref="X16:X20" si="10">W16/$W$21</f>
        <v>2302.6194958755586</v>
      </c>
      <c r="Y16" s="27">
        <f t="shared" ref="Y16:Y20" si="11">_xlfn.F.INV.RT(0.1,V16,$V$21)</f>
        <v>2.4563459949430451</v>
      </c>
    </row>
    <row r="17" spans="1:25" x14ac:dyDescent="0.25">
      <c r="A17">
        <v>16</v>
      </c>
      <c r="B17">
        <v>3</v>
      </c>
      <c r="C17">
        <v>1</v>
      </c>
      <c r="D17">
        <v>3</v>
      </c>
      <c r="E17">
        <v>2</v>
      </c>
      <c r="F17">
        <v>3</v>
      </c>
      <c r="G17">
        <v>2</v>
      </c>
      <c r="H17" s="3">
        <v>3020</v>
      </c>
      <c r="I17" s="3">
        <v>3008</v>
      </c>
      <c r="J17" s="3">
        <v>3016</v>
      </c>
      <c r="K17">
        <f t="shared" si="0"/>
        <v>3014.6666666666665</v>
      </c>
      <c r="L17">
        <f t="shared" si="1"/>
        <v>6.110100926607787</v>
      </c>
      <c r="M17" s="124">
        <f t="shared" si="2"/>
        <v>53.863818299568003</v>
      </c>
      <c r="P17" s="3">
        <f t="shared" si="4"/>
        <v>28.444444444446063</v>
      </c>
      <c r="Q17" s="3">
        <f t="shared" si="5"/>
        <v>44.444444444442425</v>
      </c>
      <c r="R17" s="3">
        <f t="shared" si="6"/>
        <v>1.777777777778182</v>
      </c>
      <c r="T17" s="32" t="s">
        <v>192</v>
      </c>
      <c r="U17" s="26">
        <f>L28</f>
        <v>11053419.148148151</v>
      </c>
      <c r="V17" s="26">
        <v>2</v>
      </c>
      <c r="W17" s="26">
        <f t="shared" si="9"/>
        <v>5526709.5740740756</v>
      </c>
      <c r="X17" s="26">
        <f t="shared" si="10"/>
        <v>1162.3305512497957</v>
      </c>
      <c r="Y17" s="27">
        <f t="shared" si="11"/>
        <v>2.4563459949430451</v>
      </c>
    </row>
    <row r="18" spans="1:25" x14ac:dyDescent="0.25">
      <c r="A18">
        <v>17</v>
      </c>
      <c r="B18">
        <v>3</v>
      </c>
      <c r="C18">
        <v>2</v>
      </c>
      <c r="D18">
        <v>1</v>
      </c>
      <c r="E18">
        <v>3</v>
      </c>
      <c r="F18">
        <v>1</v>
      </c>
      <c r="G18">
        <v>3</v>
      </c>
      <c r="H18" s="3">
        <v>4277</v>
      </c>
      <c r="I18" s="3">
        <v>4150</v>
      </c>
      <c r="J18" s="3">
        <v>3992</v>
      </c>
      <c r="K18">
        <f t="shared" si="0"/>
        <v>4139.666666666667</v>
      </c>
      <c r="L18">
        <f t="shared" si="1"/>
        <v>142.78071765239636</v>
      </c>
      <c r="M18" s="124">
        <f t="shared" si="2"/>
        <v>29.245916237207055</v>
      </c>
      <c r="P18" s="3">
        <f t="shared" si="4"/>
        <v>18860.444444444362</v>
      </c>
      <c r="Q18" s="3">
        <f t="shared" si="5"/>
        <v>106.77777777777152</v>
      </c>
      <c r="R18" s="3">
        <f t="shared" si="6"/>
        <v>21805.444444444533</v>
      </c>
      <c r="T18" s="32" t="s">
        <v>193</v>
      </c>
      <c r="U18" s="26">
        <f>L30</f>
        <v>18775153.925925925</v>
      </c>
      <c r="V18" s="26">
        <v>2</v>
      </c>
      <c r="W18" s="26">
        <f t="shared" si="9"/>
        <v>9387576.9629629627</v>
      </c>
      <c r="X18" s="26">
        <f t="shared" si="10"/>
        <v>1974.3153426130034</v>
      </c>
      <c r="Y18" s="27">
        <f t="shared" si="11"/>
        <v>2.4563459949430451</v>
      </c>
    </row>
    <row r="19" spans="1:25" x14ac:dyDescent="0.25">
      <c r="A19">
        <v>18</v>
      </c>
      <c r="B19">
        <v>3</v>
      </c>
      <c r="C19">
        <v>3</v>
      </c>
      <c r="D19">
        <v>2</v>
      </c>
      <c r="E19">
        <v>1</v>
      </c>
      <c r="F19">
        <v>2</v>
      </c>
      <c r="G19">
        <v>1</v>
      </c>
      <c r="H19" s="3">
        <v>3125</v>
      </c>
      <c r="I19" s="3">
        <v>3119</v>
      </c>
      <c r="J19" s="3">
        <v>3127</v>
      </c>
      <c r="K19">
        <f t="shared" si="0"/>
        <v>3123.6666666666665</v>
      </c>
      <c r="L19">
        <f t="shared" si="1"/>
        <v>4.1633319989322661</v>
      </c>
      <c r="M19" s="124">
        <f t="shared" si="2"/>
        <v>57.504472774037666</v>
      </c>
      <c r="P19" s="3">
        <f t="shared" si="4"/>
        <v>1.777777777778182</v>
      </c>
      <c r="Q19" s="3">
        <f t="shared" si="5"/>
        <v>21.777777777776365</v>
      </c>
      <c r="R19" s="3">
        <f t="shared" si="6"/>
        <v>11.111111111112121</v>
      </c>
      <c r="T19" s="32" t="s">
        <v>194</v>
      </c>
      <c r="U19" s="26">
        <f>L32</f>
        <v>852755.70370370476</v>
      </c>
      <c r="V19" s="26">
        <v>2</v>
      </c>
      <c r="W19" s="26">
        <f t="shared" si="9"/>
        <v>426377.85185185238</v>
      </c>
      <c r="X19" s="26">
        <f t="shared" si="10"/>
        <v>89.672163326349022</v>
      </c>
      <c r="Y19" s="27">
        <f t="shared" si="11"/>
        <v>2.4563459949430451</v>
      </c>
    </row>
    <row r="20" spans="1:25" x14ac:dyDescent="0.25">
      <c r="H20" s="3"/>
      <c r="I20" s="3"/>
      <c r="J20" s="3" t="s">
        <v>7</v>
      </c>
      <c r="M20" s="124" t="s">
        <v>7</v>
      </c>
      <c r="P20" s="145" t="s">
        <v>220</v>
      </c>
      <c r="Q20" s="145"/>
      <c r="R20" s="145"/>
      <c r="T20" s="32" t="s">
        <v>132</v>
      </c>
      <c r="U20" s="26">
        <f>L34</f>
        <v>4453178.9259259272</v>
      </c>
      <c r="V20" s="26">
        <v>2</v>
      </c>
      <c r="W20" s="26">
        <f t="shared" si="9"/>
        <v>2226589.4629629636</v>
      </c>
      <c r="X20" s="26">
        <f t="shared" si="10"/>
        <v>468.27735802026791</v>
      </c>
      <c r="Y20" s="27">
        <f t="shared" si="11"/>
        <v>2.4563459949430451</v>
      </c>
    </row>
    <row r="21" spans="1:25" x14ac:dyDescent="0.25">
      <c r="H21" s="123"/>
      <c r="I21" s="123"/>
      <c r="J21" s="123">
        <f>AVERAGE(H2:J19)</f>
        <v>3577.0925925925926</v>
      </c>
      <c r="M21" s="124">
        <f>AVERAGE(M2:M19)</f>
        <v>41.383274180047714</v>
      </c>
      <c r="P21" s="145">
        <f>SUM(P2:R19)</f>
        <v>171174.66666666669</v>
      </c>
      <c r="Q21" s="145"/>
      <c r="R21" s="145"/>
      <c r="T21" s="32" t="s">
        <v>168</v>
      </c>
      <c r="U21" s="26">
        <f>P21</f>
        <v>171174.66666666669</v>
      </c>
      <c r="V21" s="26">
        <f>O3*(O5-1)</f>
        <v>36</v>
      </c>
      <c r="W21" s="26">
        <f t="shared" si="9"/>
        <v>4754.8518518518522</v>
      </c>
      <c r="X21" s="26"/>
      <c r="Y21" s="27"/>
    </row>
    <row r="22" spans="1:25" x14ac:dyDescent="0.25">
      <c r="A22" s="150" t="s">
        <v>188</v>
      </c>
      <c r="B22" s="150"/>
      <c r="C22" s="150"/>
      <c r="D22" s="150"/>
      <c r="E22" s="150"/>
      <c r="F22" s="150"/>
      <c r="H22" s="149" t="s">
        <v>189</v>
      </c>
      <c r="I22" s="149"/>
      <c r="J22" s="149"/>
      <c r="K22" s="149"/>
      <c r="L22" s="149"/>
      <c r="T22" s="92" t="s">
        <v>163</v>
      </c>
      <c r="U22" s="90">
        <f>SUM(U15:U21)</f>
        <v>68707306.00000003</v>
      </c>
      <c r="V22" s="90"/>
      <c r="W22" s="90"/>
      <c r="X22" s="90"/>
      <c r="Y22" s="91"/>
    </row>
    <row r="23" spans="1:25" ht="17.25" thickBot="1" x14ac:dyDescent="0.3">
      <c r="A23" t="s">
        <v>195</v>
      </c>
      <c r="B23" t="s">
        <v>196</v>
      </c>
      <c r="C23" t="s">
        <v>197</v>
      </c>
      <c r="D23" t="s">
        <v>210</v>
      </c>
      <c r="E23" t="s">
        <v>211</v>
      </c>
      <c r="F23" t="s">
        <v>116</v>
      </c>
      <c r="H23" t="s">
        <v>195</v>
      </c>
      <c r="I23" t="s">
        <v>196</v>
      </c>
      <c r="J23" t="s">
        <v>197</v>
      </c>
      <c r="K23" t="s">
        <v>210</v>
      </c>
      <c r="L23" t="s">
        <v>211</v>
      </c>
      <c r="T23" s="33"/>
      <c r="U23" s="6"/>
      <c r="V23" s="6"/>
      <c r="W23" s="6"/>
      <c r="X23" s="6"/>
      <c r="Y23" s="28"/>
    </row>
    <row r="24" spans="1:25" x14ac:dyDescent="0.25">
      <c r="A24">
        <f>AVERAGE(M2,M3,M4,M11,M12,M13)</f>
        <v>39.60813245494419</v>
      </c>
      <c r="B24">
        <f>AVERAGE(M5,M6,M7,M14,M15,M16)</f>
        <v>40.165144648903869</v>
      </c>
      <c r="C24">
        <f>AVERAGE(M8,M9,M10,M17,M18,M19)</f>
        <v>44.376545436295061</v>
      </c>
      <c r="D24">
        <v>3</v>
      </c>
      <c r="E24">
        <f>$N$7/D24*((A24-$M$21)^2+(B24-$M$21)^2+(C24-$M$21)^2)</f>
        <v>81.56784307394885</v>
      </c>
      <c r="F24">
        <f>N5*N7*M21^2</f>
        <v>30826.356873498065</v>
      </c>
      <c r="H24">
        <f>AVERAGE(H2:J4,H11:J13)</f>
        <v>4125.2222222222226</v>
      </c>
      <c r="I24">
        <f>AVERAGE(H5:J7,H14:J16)</f>
        <v>2996.0555555555557</v>
      </c>
      <c r="J24">
        <f>AVERAGE(H8:J10,H17:J19)</f>
        <v>3610</v>
      </c>
      <c r="K24">
        <v>3</v>
      </c>
      <c r="L24">
        <f>$O$7/K24*((H24-$J$21)^2+(I24-$J$21)^2+(J24-$J$21)^2)</f>
        <v>11504394.481481489</v>
      </c>
    </row>
    <row r="25" spans="1:25" x14ac:dyDescent="0.25">
      <c r="A25" t="s">
        <v>198</v>
      </c>
      <c r="B25" t="s">
        <v>199</v>
      </c>
      <c r="C25" t="s">
        <v>200</v>
      </c>
      <c r="D25" t="s">
        <v>210</v>
      </c>
      <c r="E25" t="s">
        <v>212</v>
      </c>
      <c r="F25" t="s">
        <v>218</v>
      </c>
      <c r="H25" t="s">
        <v>198</v>
      </c>
      <c r="I25" t="s">
        <v>199</v>
      </c>
      <c r="J25" t="s">
        <v>200</v>
      </c>
      <c r="K25" t="s">
        <v>210</v>
      </c>
      <c r="L25" t="s">
        <v>212</v>
      </c>
    </row>
    <row r="26" spans="1:25" x14ac:dyDescent="0.25">
      <c r="A26">
        <f>AVERAGE(M2,M5,M8,M11,M14,M17)</f>
        <v>44.946368081063355</v>
      </c>
      <c r="B26">
        <f>AVERAGE(M3,M6,M9,M12,M15,M18)</f>
        <v>37.356806994674599</v>
      </c>
      <c r="C26">
        <f>AVERAGE(M4,M7,M10,M13,M16,M19)</f>
        <v>41.846647464405159</v>
      </c>
      <c r="D26">
        <v>3</v>
      </c>
      <c r="E26">
        <f>$N$7/D26*((A26-$M$21)^2+(B26-$M$21)^2+(C26-$M$21)^2)</f>
        <v>174.73674565798535</v>
      </c>
      <c r="H26">
        <f>AVERAGE(H2:J2,H5:J5,H8:J8,H11:J11,H14:J14,H17:J17)</f>
        <v>2687.1666666666665</v>
      </c>
      <c r="I26">
        <f>AVERAGE(H3:J3,H6:J6,H9:J9,H12:J12,H15:J15,H18:J18)</f>
        <v>3902.5555555555557</v>
      </c>
      <c r="J26">
        <f>AVERAGE(H4:J4,H7:J7,H10:J10,H13:J13,H16:J16,H19:J19)</f>
        <v>4141.5555555555557</v>
      </c>
      <c r="K26">
        <v>3</v>
      </c>
      <c r="L26">
        <f>$O$7/K26*((H26-$J$21)^2+(I26-$J$21)^2+(J26-$J$21)^2)</f>
        <v>21897229.148148157</v>
      </c>
    </row>
    <row r="27" spans="1:25" x14ac:dyDescent="0.25">
      <c r="A27" t="s">
        <v>201</v>
      </c>
      <c r="B27" t="s">
        <v>202</v>
      </c>
      <c r="C27" t="s">
        <v>203</v>
      </c>
      <c r="D27" t="s">
        <v>210</v>
      </c>
      <c r="E27" t="s">
        <v>213</v>
      </c>
      <c r="H27" t="s">
        <v>201</v>
      </c>
      <c r="I27" t="s">
        <v>202</v>
      </c>
      <c r="J27" t="s">
        <v>203</v>
      </c>
      <c r="K27" t="s">
        <v>210</v>
      </c>
      <c r="L27" t="s">
        <v>213</v>
      </c>
    </row>
    <row r="28" spans="1:25" x14ac:dyDescent="0.25">
      <c r="A28">
        <f>AVERAGE(M2,M5,M10,M12,M16,M18)</f>
        <v>39.863096187218495</v>
      </c>
      <c r="B28">
        <f>AVERAGE(M3,M6,M8,M13,M14,M19)</f>
        <v>43.365138473052589</v>
      </c>
      <c r="C28">
        <f>AVERAGE(M4,M7,M9,M11,M15,M17)</f>
        <v>40.921587879872028</v>
      </c>
      <c r="D28">
        <v>3</v>
      </c>
      <c r="E28">
        <f>$N$7/D28*((A28-$M$21)^2+(B28-$M$21)^2+(C28-$M$21)^2)</f>
        <v>38.711288673239395</v>
      </c>
      <c r="H28">
        <f>AVERAGE(H2:J2,H5:J5,H10:J10,H12:J12,H16:J16,H18:J18)</f>
        <v>2958.3888888888887</v>
      </c>
      <c r="I28">
        <f>AVERAGE(H3:J3,H6:J6,H8:J8,H13:J13,H14:J14,H19:J19)</f>
        <v>4027.6666666666665</v>
      </c>
      <c r="J28">
        <f>AVERAGE(H4:J4,H7:J7,H9:J9,H11:J11,H15:J15,H17:J17)</f>
        <v>3745.2222222222222</v>
      </c>
      <c r="K28">
        <v>3</v>
      </c>
      <c r="L28">
        <f>$O$7/K28*((H28-$J$21)^2+(I28-$J$21)^2+(J28-$J$21)^2)</f>
        <v>11053419.148148151</v>
      </c>
    </row>
    <row r="29" spans="1:25" x14ac:dyDescent="0.25">
      <c r="A29" t="s">
        <v>204</v>
      </c>
      <c r="B29" t="s">
        <v>205</v>
      </c>
      <c r="C29" t="s">
        <v>206</v>
      </c>
      <c r="D29" t="s">
        <v>210</v>
      </c>
      <c r="E29" t="s">
        <v>214</v>
      </c>
      <c r="H29" t="s">
        <v>204</v>
      </c>
      <c r="I29" t="s">
        <v>205</v>
      </c>
      <c r="J29" t="s">
        <v>206</v>
      </c>
      <c r="K29" t="s">
        <v>210</v>
      </c>
      <c r="L29" t="s">
        <v>214</v>
      </c>
    </row>
    <row r="30" spans="1:25" x14ac:dyDescent="0.25">
      <c r="A30">
        <f>AVERAGE(M2,M7,M8,M12,M15,M19)</f>
        <v>44.989748280848268</v>
      </c>
      <c r="B30">
        <f>AVERAGE(M3,M5,M9,M13,M16,M17)</f>
        <v>39.512488766976169</v>
      </c>
      <c r="C30">
        <f>AVERAGE(M4,M6,M10,M11,M14,M18)</f>
        <v>39.647585492318676</v>
      </c>
      <c r="D30">
        <v>3</v>
      </c>
      <c r="E30">
        <f>$N$7/D30*((A30-$M$21)^2+(B30-$M$21)^2+(C30-$M$21)^2)</f>
        <v>117.1146523333019</v>
      </c>
      <c r="H30">
        <f>AVERAGE(H2:J2,H7:J7,H8:J8,H12:J12,H15:J15,H19:J19)</f>
        <v>2743.2777777777778</v>
      </c>
      <c r="I30">
        <f>AVERAGE(H3:J3,H5:J5,H9:J9,H13:J13,H16:J16,H17:J17)</f>
        <v>3984.1666666666665</v>
      </c>
      <c r="J30">
        <f>AVERAGE(H4:J4,H10:J10,H11:J11,H14:J14,H18:J18,H6:J6)</f>
        <v>4003.8333333333335</v>
      </c>
      <c r="K30">
        <v>3</v>
      </c>
      <c r="L30">
        <f>$O$7/K30*((H30-$J$21)^2+(I30-$J$21)^2+(J30-$J$21)^2)</f>
        <v>18775153.925925925</v>
      </c>
    </row>
    <row r="31" spans="1:25" x14ac:dyDescent="0.25">
      <c r="A31" t="s">
        <v>32</v>
      </c>
      <c r="B31" t="s">
        <v>100</v>
      </c>
      <c r="C31" t="s">
        <v>101</v>
      </c>
      <c r="D31" t="s">
        <v>210</v>
      </c>
      <c r="E31" t="s">
        <v>215</v>
      </c>
      <c r="H31" t="s">
        <v>32</v>
      </c>
      <c r="I31" t="s">
        <v>100</v>
      </c>
      <c r="J31" t="s">
        <v>101</v>
      </c>
      <c r="K31" t="s">
        <v>210</v>
      </c>
      <c r="L31" t="s">
        <v>215</v>
      </c>
    </row>
    <row r="32" spans="1:25" x14ac:dyDescent="0.25">
      <c r="A32">
        <f>AVERAGE(M2,M7,M9,M13,M14,M18)</f>
        <v>33.428830407695934</v>
      </c>
      <c r="B32">
        <f>AVERAGE(M3,M5,M10,M11,M15,M19)</f>
        <v>45.927799291275988</v>
      </c>
      <c r="C32">
        <f>AVERAGE(M4,M6,M8,M12,M16,M17)</f>
        <v>44.793192841171191</v>
      </c>
      <c r="D32">
        <v>3</v>
      </c>
      <c r="E32">
        <f>$N$7/D32*((A32-$M$21)^2+(B32-$M$21)^2+(C32-$M$21)^2)</f>
        <v>573.32057693741103</v>
      </c>
      <c r="H32">
        <f>AVERAGE(H2:J2,H7:J7,H9:J9,H13:J13,H14:J14,H18:J18)</f>
        <v>3697.6111111111113</v>
      </c>
      <c r="I32">
        <f>AVERAGE(H3:J3,H5:J5,H10:J10,H11:J11,H15:J15,H19:J19)</f>
        <v>3403.7222222222222</v>
      </c>
      <c r="J32">
        <f>AVERAGE(H4:J4,H6:J6,H8:J8,H12:J12,H16:J16,H17:J17)</f>
        <v>3629.9444444444443</v>
      </c>
      <c r="K32">
        <v>3</v>
      </c>
      <c r="L32">
        <f>$O$7/K32*((H32-$J$21)^2+(I32-$J$21)^2+(J32-$J$21)^2)</f>
        <v>852755.70370370476</v>
      </c>
    </row>
    <row r="33" spans="1:12" x14ac:dyDescent="0.25">
      <c r="A33" t="s">
        <v>207</v>
      </c>
      <c r="B33" t="s">
        <v>208</v>
      </c>
      <c r="C33" t="s">
        <v>209</v>
      </c>
      <c r="D33" t="s">
        <v>210</v>
      </c>
      <c r="E33" t="s">
        <v>216</v>
      </c>
      <c r="H33" t="s">
        <v>207</v>
      </c>
      <c r="I33" t="s">
        <v>208</v>
      </c>
      <c r="J33" t="s">
        <v>209</v>
      </c>
      <c r="K33" t="s">
        <v>210</v>
      </c>
      <c r="L33" t="s">
        <v>216</v>
      </c>
    </row>
    <row r="34" spans="1:12" x14ac:dyDescent="0.25">
      <c r="A34">
        <f>AVERAGE(M2,M6,M9,M11,M16,M19)</f>
        <v>40.33536210469682</v>
      </c>
      <c r="B34">
        <f>AVERAGE(M3,M7,M10,M12,M14,M17)</f>
        <v>41.990348650795553</v>
      </c>
      <c r="C34">
        <f>AVERAGE(M4,M5,M8,M13,M15,M18)</f>
        <v>41.824111784650746</v>
      </c>
      <c r="D34">
        <v>3</v>
      </c>
      <c r="E34">
        <f>$N$7/D34*((A34-$M$21)^2+(B34-$M$21)^2+(C34-$M$21)^2)</f>
        <v>9.9659815459927596</v>
      </c>
      <c r="H34">
        <f>AVERAGE(H2:J2,H6:J6,H9:J9,H11:J11,H16:J16,H19:J19)</f>
        <v>3358</v>
      </c>
      <c r="I34">
        <f>AVERAGE(H3:J3,H7:J7,H10:J10,H12:J12,H14:J14,H17:J17)</f>
        <v>3390.5</v>
      </c>
      <c r="J34">
        <f>AVERAGE(H4:J4,H8:J8,H5:J5,H13:J13,H15:J15,H18:J18)</f>
        <v>3982.7777777777778</v>
      </c>
      <c r="K34">
        <v>3</v>
      </c>
      <c r="L34">
        <f>$O$7/K34*((H34-$J$21)^2+(I34-$J$21)^2+(J34-$J$21)^2)</f>
        <v>4453178.9259259272</v>
      </c>
    </row>
  </sheetData>
  <mergeCells count="5">
    <mergeCell ref="H22:L22"/>
    <mergeCell ref="A22:F22"/>
    <mergeCell ref="P1:R1"/>
    <mergeCell ref="P20:R20"/>
    <mergeCell ref="P21:R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F91F-0A1E-4C29-9B45-AC33A2A62027}">
  <dimension ref="A1:Z71"/>
  <sheetViews>
    <sheetView zoomScale="70" zoomScaleNormal="70" workbookViewId="0">
      <selection activeCell="K9" sqref="K9"/>
    </sheetView>
  </sheetViews>
  <sheetFormatPr defaultRowHeight="16.5" x14ac:dyDescent="0.25"/>
  <cols>
    <col min="8" max="8" width="12.75" bestFit="1" customWidth="1"/>
    <col min="9" max="9" width="16.75" bestFit="1" customWidth="1"/>
    <col min="17" max="17" width="12.75" bestFit="1" customWidth="1"/>
    <col min="19" max="19" width="12.75" bestFit="1" customWidth="1"/>
    <col min="26" max="26" width="12.75" bestFit="1" customWidth="1"/>
  </cols>
  <sheetData>
    <row r="1" spans="1:21" ht="17.25" thickBot="1" x14ac:dyDescent="0.3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132</v>
      </c>
    </row>
    <row r="2" spans="1:2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I2" s="106" t="s">
        <v>122</v>
      </c>
      <c r="J2" s="107" t="s">
        <v>119</v>
      </c>
      <c r="K2" s="107" t="s">
        <v>129</v>
      </c>
      <c r="L2" s="107" t="s">
        <v>130</v>
      </c>
      <c r="M2" s="107" t="s">
        <v>132</v>
      </c>
      <c r="N2" s="133" t="s">
        <v>174</v>
      </c>
      <c r="P2" s="135" t="s">
        <v>122</v>
      </c>
      <c r="Q2" s="136" t="s">
        <v>119</v>
      </c>
      <c r="R2" s="136" t="s">
        <v>129</v>
      </c>
      <c r="S2" s="136" t="s">
        <v>130</v>
      </c>
      <c r="T2" s="136" t="s">
        <v>132</v>
      </c>
      <c r="U2" s="137" t="s">
        <v>174</v>
      </c>
    </row>
    <row r="3" spans="1:21" x14ac:dyDescent="0.2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I3" s="110" t="s">
        <v>190</v>
      </c>
      <c r="J3" s="111">
        <f>H42</f>
        <v>81.56784307394885</v>
      </c>
      <c r="K3" s="111">
        <v>2</v>
      </c>
      <c r="L3" s="111">
        <f>J3/K3</f>
        <v>40.783921536974425</v>
      </c>
      <c r="M3" s="111" t="e">
        <f>L3/$L$9</f>
        <v>#DIV/0!</v>
      </c>
      <c r="N3" s="131" t="e">
        <f>_xlfn.F.INV.RT(0.1,K3,$K$9)</f>
        <v>#NUM!</v>
      </c>
      <c r="P3" s="138" t="s">
        <v>190</v>
      </c>
      <c r="Q3" s="140">
        <f>H67</f>
        <v>3834798.1604938204</v>
      </c>
      <c r="R3" s="140">
        <v>2</v>
      </c>
      <c r="S3" s="140">
        <f>Q3/R3</f>
        <v>1917399.0802469102</v>
      </c>
      <c r="T3" s="140" t="e">
        <f>S3/$S$9</f>
        <v>#DIV/0!</v>
      </c>
      <c r="U3" s="141" t="e">
        <f>_xlfn.F.INV.RT(0.1,R3,$R$9)</f>
        <v>#NUM!</v>
      </c>
    </row>
    <row r="4" spans="1:21" x14ac:dyDescent="0.25">
      <c r="A4">
        <v>1</v>
      </c>
      <c r="B4">
        <v>3</v>
      </c>
      <c r="C4">
        <v>3</v>
      </c>
      <c r="D4">
        <v>3</v>
      </c>
      <c r="E4">
        <v>3</v>
      </c>
      <c r="F4">
        <v>3</v>
      </c>
      <c r="I4" s="110" t="s">
        <v>191</v>
      </c>
      <c r="J4" s="111">
        <f>K42</f>
        <v>174.73674565798532</v>
      </c>
      <c r="K4" s="111">
        <v>2</v>
      </c>
      <c r="L4" s="111">
        <f t="shared" ref="L4:L9" si="0">J4/K4</f>
        <v>87.368372828992662</v>
      </c>
      <c r="M4" s="111" t="e">
        <f t="shared" ref="M4:M8" si="1">L4/$L$9</f>
        <v>#DIV/0!</v>
      </c>
      <c r="N4" s="131" t="e">
        <f t="shared" ref="N4:N8" si="2">_xlfn.F.INV.RT(0.1,K4,$K$9)</f>
        <v>#NUM!</v>
      </c>
      <c r="P4" s="138" t="s">
        <v>191</v>
      </c>
      <c r="Q4" s="140">
        <f>K67</f>
        <v>7299076.3827160513</v>
      </c>
      <c r="R4" s="140">
        <v>2</v>
      </c>
      <c r="S4" s="140">
        <f t="shared" ref="S4:S9" si="3">Q4/R4</f>
        <v>3649538.1913580257</v>
      </c>
      <c r="T4" s="140" t="e">
        <f t="shared" ref="T4:T8" si="4">S4/$S$9</f>
        <v>#DIV/0!</v>
      </c>
      <c r="U4" s="141" t="e">
        <f t="shared" ref="U4:U8" si="5">_xlfn.F.INV.RT(0.1,R4,$R$9)</f>
        <v>#NUM!</v>
      </c>
    </row>
    <row r="5" spans="1:21" x14ac:dyDescent="0.25">
      <c r="A5">
        <v>2</v>
      </c>
      <c r="B5">
        <v>1</v>
      </c>
      <c r="C5">
        <v>1</v>
      </c>
      <c r="D5">
        <v>2</v>
      </c>
      <c r="E5">
        <v>2</v>
      </c>
      <c r="F5">
        <v>3</v>
      </c>
      <c r="I5" s="110" t="s">
        <v>192</v>
      </c>
      <c r="J5" s="111">
        <f>N42</f>
        <v>38.711288673239387</v>
      </c>
      <c r="K5" s="111">
        <v>2</v>
      </c>
      <c r="L5" s="111">
        <f t="shared" si="0"/>
        <v>19.355644336619694</v>
      </c>
      <c r="M5" s="111" t="e">
        <f t="shared" si="1"/>
        <v>#DIV/0!</v>
      </c>
      <c r="N5" s="131" t="e">
        <f t="shared" si="2"/>
        <v>#NUM!</v>
      </c>
      <c r="P5" s="138" t="s">
        <v>192</v>
      </c>
      <c r="Q5" s="140">
        <f>N67</f>
        <v>3684473.0493827169</v>
      </c>
      <c r="R5" s="140">
        <v>2</v>
      </c>
      <c r="S5" s="140">
        <f t="shared" si="3"/>
        <v>1842236.5246913584</v>
      </c>
      <c r="T5" s="140" t="e">
        <f t="shared" si="4"/>
        <v>#DIV/0!</v>
      </c>
      <c r="U5" s="141" t="e">
        <f t="shared" si="5"/>
        <v>#NUM!</v>
      </c>
    </row>
    <row r="6" spans="1:21" x14ac:dyDescent="0.25">
      <c r="A6">
        <v>2</v>
      </c>
      <c r="B6">
        <v>2</v>
      </c>
      <c r="C6">
        <v>2</v>
      </c>
      <c r="D6">
        <v>3</v>
      </c>
      <c r="E6">
        <v>3</v>
      </c>
      <c r="F6">
        <v>1</v>
      </c>
      <c r="I6" s="110" t="s">
        <v>193</v>
      </c>
      <c r="J6" s="111">
        <f>Q42</f>
        <v>117.11465233330189</v>
      </c>
      <c r="K6" s="111">
        <v>2</v>
      </c>
      <c r="L6" s="111">
        <f t="shared" si="0"/>
        <v>58.557326166650945</v>
      </c>
      <c r="M6" s="111" t="e">
        <f t="shared" si="1"/>
        <v>#DIV/0!</v>
      </c>
      <c r="N6" s="131" t="e">
        <f t="shared" si="2"/>
        <v>#NUM!</v>
      </c>
      <c r="P6" s="138" t="s">
        <v>193</v>
      </c>
      <c r="Q6" s="140">
        <f>Q67</f>
        <v>6258384.6419753134</v>
      </c>
      <c r="R6" s="140">
        <v>2</v>
      </c>
      <c r="S6" s="140">
        <f t="shared" si="3"/>
        <v>3129192.3209876567</v>
      </c>
      <c r="T6" s="140" t="e">
        <f t="shared" si="4"/>
        <v>#DIV/0!</v>
      </c>
      <c r="U6" s="141" t="e">
        <f t="shared" si="5"/>
        <v>#NUM!</v>
      </c>
    </row>
    <row r="7" spans="1:21" x14ac:dyDescent="0.25">
      <c r="A7">
        <v>2</v>
      </c>
      <c r="B7">
        <v>3</v>
      </c>
      <c r="C7">
        <v>3</v>
      </c>
      <c r="D7">
        <v>1</v>
      </c>
      <c r="E7">
        <v>1</v>
      </c>
      <c r="F7">
        <v>2</v>
      </c>
      <c r="I7" s="110" t="s">
        <v>194</v>
      </c>
      <c r="J7" s="111">
        <f>T42</f>
        <v>573.32057693741103</v>
      </c>
      <c r="K7" s="111">
        <v>2</v>
      </c>
      <c r="L7" s="111">
        <f t="shared" si="0"/>
        <v>286.66028846870552</v>
      </c>
      <c r="M7" s="111" t="e">
        <f t="shared" si="1"/>
        <v>#DIV/0!</v>
      </c>
      <c r="N7" s="131" t="e">
        <f t="shared" si="2"/>
        <v>#NUM!</v>
      </c>
      <c r="P7" s="138" t="s">
        <v>194</v>
      </c>
      <c r="Q7" s="140">
        <f>T67</f>
        <v>284251.9012345688</v>
      </c>
      <c r="R7" s="140">
        <v>2</v>
      </c>
      <c r="S7" s="140">
        <f t="shared" si="3"/>
        <v>142125.9506172844</v>
      </c>
      <c r="T7" s="140" t="e">
        <f t="shared" si="4"/>
        <v>#DIV/0!</v>
      </c>
      <c r="U7" s="141" t="e">
        <f t="shared" si="5"/>
        <v>#NUM!</v>
      </c>
    </row>
    <row r="8" spans="1:21" x14ac:dyDescent="0.25">
      <c r="A8">
        <v>3</v>
      </c>
      <c r="B8">
        <v>1</v>
      </c>
      <c r="C8">
        <v>2</v>
      </c>
      <c r="D8">
        <v>1</v>
      </c>
      <c r="E8">
        <v>3</v>
      </c>
      <c r="F8">
        <v>3</v>
      </c>
      <c r="I8" s="110" t="s">
        <v>132</v>
      </c>
      <c r="J8" s="111">
        <f>W42</f>
        <v>9.9659815459927596</v>
      </c>
      <c r="K8" s="111">
        <v>2</v>
      </c>
      <c r="L8" s="111">
        <f t="shared" si="0"/>
        <v>4.9829907729963798</v>
      </c>
      <c r="M8" s="111" t="e">
        <f t="shared" si="1"/>
        <v>#DIV/0!</v>
      </c>
      <c r="N8" s="131" t="e">
        <f t="shared" si="2"/>
        <v>#NUM!</v>
      </c>
      <c r="P8" s="138" t="s">
        <v>132</v>
      </c>
      <c r="Q8" s="140">
        <f>W67</f>
        <v>1484392.9753086425</v>
      </c>
      <c r="R8" s="140">
        <v>2</v>
      </c>
      <c r="S8" s="140">
        <f t="shared" si="3"/>
        <v>742196.48765432124</v>
      </c>
      <c r="T8" s="140" t="e">
        <f t="shared" si="4"/>
        <v>#DIV/0!</v>
      </c>
      <c r="U8" s="141" t="e">
        <f t="shared" si="5"/>
        <v>#NUM!</v>
      </c>
    </row>
    <row r="9" spans="1:21" x14ac:dyDescent="0.25">
      <c r="A9">
        <v>3</v>
      </c>
      <c r="B9">
        <v>2</v>
      </c>
      <c r="C9">
        <v>3</v>
      </c>
      <c r="D9">
        <v>2</v>
      </c>
      <c r="E9">
        <v>1</v>
      </c>
      <c r="F9">
        <v>1</v>
      </c>
      <c r="I9" s="110" t="s">
        <v>168</v>
      </c>
      <c r="J9" s="111">
        <f>Z43</f>
        <v>6004.4199046699596</v>
      </c>
      <c r="K9" s="111">
        <f>B41*(D41-1)</f>
        <v>0</v>
      </c>
      <c r="L9" s="111" t="e">
        <f t="shared" si="0"/>
        <v>#DIV/0!</v>
      </c>
      <c r="M9" s="111"/>
      <c r="N9" s="131"/>
      <c r="P9" s="138" t="s">
        <v>168</v>
      </c>
      <c r="Q9" s="140">
        <f>Z68</f>
        <v>118656842.62962966</v>
      </c>
      <c r="R9" s="140">
        <f>B41*(D41-1)</f>
        <v>0</v>
      </c>
      <c r="S9" s="140" t="e">
        <f t="shared" si="3"/>
        <v>#DIV/0!</v>
      </c>
      <c r="T9" s="140"/>
      <c r="U9" s="141"/>
    </row>
    <row r="10" spans="1:21" ht="17.25" thickBot="1" x14ac:dyDescent="0.3">
      <c r="A10">
        <v>3</v>
      </c>
      <c r="B10">
        <v>3</v>
      </c>
      <c r="C10">
        <v>1</v>
      </c>
      <c r="D10">
        <v>3</v>
      </c>
      <c r="E10">
        <v>2</v>
      </c>
      <c r="F10">
        <v>2</v>
      </c>
      <c r="I10" s="130" t="s">
        <v>163</v>
      </c>
      <c r="J10" s="115">
        <f>SUM(J3:J9)</f>
        <v>6999.8369928918391</v>
      </c>
      <c r="K10" s="115">
        <f>SUM(K3:K9)</f>
        <v>12</v>
      </c>
      <c r="L10" s="115"/>
      <c r="M10" s="114"/>
      <c r="N10" s="132"/>
      <c r="P10" s="139" t="s">
        <v>163</v>
      </c>
      <c r="Q10" s="143">
        <f>SUM(Q3:Q9)</f>
        <v>141502219.74074078</v>
      </c>
      <c r="R10" s="143">
        <f>SUM(R3:R9)</f>
        <v>12</v>
      </c>
      <c r="S10" s="143"/>
      <c r="T10" s="144"/>
      <c r="U10" s="142"/>
    </row>
    <row r="11" spans="1:21" x14ac:dyDescent="0.25">
      <c r="A11">
        <v>1</v>
      </c>
      <c r="B11">
        <v>1</v>
      </c>
      <c r="C11">
        <v>3</v>
      </c>
      <c r="D11">
        <v>3</v>
      </c>
      <c r="E11">
        <v>2</v>
      </c>
      <c r="F11">
        <v>1</v>
      </c>
    </row>
    <row r="12" spans="1:21" x14ac:dyDescent="0.25">
      <c r="A12">
        <v>1</v>
      </c>
      <c r="B12">
        <v>2</v>
      </c>
      <c r="C12">
        <v>1</v>
      </c>
      <c r="D12">
        <v>1</v>
      </c>
      <c r="E12">
        <v>3</v>
      </c>
      <c r="F12">
        <v>2</v>
      </c>
      <c r="J12" t="s">
        <v>175</v>
      </c>
      <c r="K12" t="s">
        <v>176</v>
      </c>
      <c r="L12" t="s">
        <v>178</v>
      </c>
    </row>
    <row r="13" spans="1:21" x14ac:dyDescent="0.25">
      <c r="A13">
        <v>1</v>
      </c>
      <c r="B13">
        <v>3</v>
      </c>
      <c r="C13">
        <v>2</v>
      </c>
      <c r="D13">
        <v>2</v>
      </c>
      <c r="E13">
        <v>1</v>
      </c>
      <c r="F13">
        <v>3</v>
      </c>
      <c r="J13">
        <f>(J4+J6+J7+J3)/J10</f>
        <v>0.13525169499861753</v>
      </c>
      <c r="K13">
        <f>J13^0.5</f>
        <v>0.36776581542962572</v>
      </c>
      <c r="L13" t="e">
        <f>1-(J9/K9)/(J10/K10)</f>
        <v>#DIV/0!</v>
      </c>
    </row>
    <row r="14" spans="1:21" x14ac:dyDescent="0.25">
      <c r="A14">
        <v>2</v>
      </c>
      <c r="B14">
        <v>1</v>
      </c>
      <c r="C14">
        <v>2</v>
      </c>
      <c r="D14">
        <v>3</v>
      </c>
      <c r="E14">
        <v>1</v>
      </c>
      <c r="F14">
        <v>2</v>
      </c>
    </row>
    <row r="15" spans="1:21" x14ac:dyDescent="0.25">
      <c r="A15">
        <v>2</v>
      </c>
      <c r="B15">
        <v>2</v>
      </c>
      <c r="C15">
        <v>3</v>
      </c>
      <c r="D15">
        <v>1</v>
      </c>
      <c r="E15">
        <v>2</v>
      </c>
      <c r="F15">
        <v>3</v>
      </c>
    </row>
    <row r="16" spans="1:21" x14ac:dyDescent="0.25">
      <c r="A16">
        <v>2</v>
      </c>
      <c r="B16">
        <v>3</v>
      </c>
      <c r="C16">
        <v>1</v>
      </c>
      <c r="D16">
        <v>2</v>
      </c>
      <c r="E16">
        <v>3</v>
      </c>
      <c r="F16">
        <v>1</v>
      </c>
    </row>
    <row r="17" spans="1:26" x14ac:dyDescent="0.25">
      <c r="A17">
        <v>3</v>
      </c>
      <c r="B17">
        <v>1</v>
      </c>
      <c r="C17">
        <v>3</v>
      </c>
      <c r="D17">
        <v>2</v>
      </c>
      <c r="E17">
        <v>3</v>
      </c>
      <c r="F17">
        <v>2</v>
      </c>
    </row>
    <row r="18" spans="1:26" x14ac:dyDescent="0.25">
      <c r="A18">
        <v>3</v>
      </c>
      <c r="B18">
        <v>2</v>
      </c>
      <c r="C18">
        <v>1</v>
      </c>
      <c r="D18">
        <v>3</v>
      </c>
      <c r="E18">
        <v>1</v>
      </c>
      <c r="F18">
        <v>3</v>
      </c>
    </row>
    <row r="19" spans="1:26" x14ac:dyDescent="0.25">
      <c r="A19">
        <v>3</v>
      </c>
      <c r="B19">
        <v>3</v>
      </c>
      <c r="C19">
        <v>2</v>
      </c>
      <c r="D19">
        <v>1</v>
      </c>
      <c r="E19">
        <v>2</v>
      </c>
      <c r="F19">
        <v>1</v>
      </c>
    </row>
    <row r="20" spans="1:26" x14ac:dyDescent="0.25">
      <c r="A20" s="145" t="s">
        <v>221</v>
      </c>
      <c r="B20" s="145"/>
      <c r="C20" s="145"/>
      <c r="D20" s="145"/>
      <c r="E20" s="145"/>
      <c r="F20" s="145"/>
      <c r="G20" s="153"/>
      <c r="H20" s="154" t="s">
        <v>187</v>
      </c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</row>
    <row r="21" spans="1:26" x14ac:dyDescent="0.25">
      <c r="A21" t="s">
        <v>182</v>
      </c>
      <c r="B21" t="s">
        <v>183</v>
      </c>
      <c r="C21" t="s">
        <v>184</v>
      </c>
      <c r="D21" t="s">
        <v>185</v>
      </c>
      <c r="E21" t="s">
        <v>7</v>
      </c>
      <c r="F21" t="s">
        <v>186</v>
      </c>
      <c r="G21" t="s">
        <v>187</v>
      </c>
      <c r="H21" s="37" t="s">
        <v>195</v>
      </c>
      <c r="I21" t="s">
        <v>196</v>
      </c>
      <c r="J21" t="s">
        <v>197</v>
      </c>
      <c r="K21" s="37" t="s">
        <v>198</v>
      </c>
      <c r="L21" t="s">
        <v>222</v>
      </c>
      <c r="M21" t="s">
        <v>223</v>
      </c>
      <c r="N21" s="37" t="s">
        <v>201</v>
      </c>
      <c r="O21" s="26" t="s">
        <v>202</v>
      </c>
      <c r="P21" s="26" t="s">
        <v>203</v>
      </c>
      <c r="Q21" s="125" t="s">
        <v>204</v>
      </c>
      <c r="R21" s="17" t="s">
        <v>205</v>
      </c>
      <c r="S21" s="17" t="s">
        <v>206</v>
      </c>
      <c r="T21" s="37" t="s">
        <v>32</v>
      </c>
      <c r="U21" s="26" t="s">
        <v>100</v>
      </c>
      <c r="V21" s="26" t="s">
        <v>101</v>
      </c>
      <c r="W21" s="37" t="s">
        <v>207</v>
      </c>
      <c r="X21" s="26" t="s">
        <v>208</v>
      </c>
      <c r="Y21" s="26" t="s">
        <v>209</v>
      </c>
      <c r="Z21" s="37"/>
    </row>
    <row r="22" spans="1:26" x14ac:dyDescent="0.25">
      <c r="A22">
        <v>1</v>
      </c>
      <c r="B22">
        <v>2029</v>
      </c>
      <c r="C22">
        <v>1975</v>
      </c>
      <c r="D22">
        <v>1961</v>
      </c>
      <c r="E22">
        <f t="shared" ref="E22:E39" si="6">AVERAGE(B22:D22)</f>
        <v>1988.3333333333333</v>
      </c>
      <c r="F22">
        <f t="shared" ref="F22:F39" si="7">(_xlfn.VAR.S(B22:D22))^0.5</f>
        <v>35.907288025320618</v>
      </c>
      <c r="G22">
        <f>10*LOG10(E22^2/F22^2)</f>
        <v>34.866131758820949</v>
      </c>
      <c r="H22" s="37">
        <f>IF(A2=1,$G22,0)</f>
        <v>34.866131758820949</v>
      </c>
      <c r="I22">
        <f>IF(A2=2,$G22,0)</f>
        <v>0</v>
      </c>
      <c r="J22">
        <f>IF(A2=3,$G22,0)</f>
        <v>0</v>
      </c>
      <c r="K22" s="37">
        <f>IF(B2=1,$G22,0)</f>
        <v>34.866131758820949</v>
      </c>
      <c r="L22">
        <f>IF(B2=2,$G22,0)</f>
        <v>0</v>
      </c>
      <c r="M22">
        <f>IF(B2=3,$G22,0)</f>
        <v>0</v>
      </c>
      <c r="N22" s="37">
        <f>IF(C2=1,$G22,0)</f>
        <v>34.866131758820949</v>
      </c>
      <c r="O22">
        <f>IF(C2=2,$G22,0)</f>
        <v>0</v>
      </c>
      <c r="P22">
        <f>IF(C2=3,$G22,0)</f>
        <v>0</v>
      </c>
      <c r="Q22" s="37">
        <f>IF(D2=1,$G22,0)</f>
        <v>34.866131758820949</v>
      </c>
      <c r="R22">
        <f>IF(D2=2,$G22,0)</f>
        <v>0</v>
      </c>
      <c r="S22">
        <f>IF(D2=3,$G22,0)</f>
        <v>0</v>
      </c>
      <c r="T22" s="37">
        <f>IF(E2=1,$G22,0)</f>
        <v>34.866131758820949</v>
      </c>
      <c r="U22">
        <f>IF(E2=2,$G22,0)</f>
        <v>0</v>
      </c>
      <c r="V22">
        <f>IF(E2=3,$G22,0)</f>
        <v>0</v>
      </c>
      <c r="W22" s="37">
        <f>IF(F2=1,$G22,0)</f>
        <v>34.866131758820949</v>
      </c>
      <c r="X22">
        <f>IF(F2=2,$G22,0)</f>
        <v>0</v>
      </c>
      <c r="Y22">
        <f>IF(F2=3,$G22,0)</f>
        <v>0</v>
      </c>
      <c r="Z22" s="37"/>
    </row>
    <row r="23" spans="1:26" x14ac:dyDescent="0.25">
      <c r="A23">
        <v>2</v>
      </c>
      <c r="B23">
        <v>5375</v>
      </c>
      <c r="C23">
        <v>5191</v>
      </c>
      <c r="D23">
        <v>5242</v>
      </c>
      <c r="E23">
        <f t="shared" si="6"/>
        <v>5269.333333333333</v>
      </c>
      <c r="F23">
        <f t="shared" si="7"/>
        <v>94.99649116327052</v>
      </c>
      <c r="G23">
        <f t="shared" ref="G22:G39" si="8">10*LOG10(E23^2/F23^2)</f>
        <v>34.880962165031875</v>
      </c>
      <c r="H23" s="37">
        <f t="shared" ref="H23:H39" si="9">IF(A3=1,$G23,0)</f>
        <v>34.880962165031875</v>
      </c>
      <c r="I23">
        <f t="shared" ref="I23:I39" si="10">IF(A3=2,$G23,0)</f>
        <v>0</v>
      </c>
      <c r="J23">
        <f t="shared" ref="J23:J39" si="11">IF(A3=3,$G23,0)</f>
        <v>0</v>
      </c>
      <c r="K23" s="37">
        <f t="shared" ref="K23:K39" si="12">IF(B3=1,$G23,0)</f>
        <v>0</v>
      </c>
      <c r="L23">
        <f t="shared" ref="L23:L39" si="13">IF(B3=2,$G23,0)</f>
        <v>34.880962165031875</v>
      </c>
      <c r="M23">
        <f t="shared" ref="M23:M39" si="14">IF(B3=3,$G23,0)</f>
        <v>0</v>
      </c>
      <c r="N23" s="37">
        <f t="shared" ref="N23:N39" si="15">IF(C3=1,$G23,0)</f>
        <v>0</v>
      </c>
      <c r="O23">
        <f t="shared" ref="O23:O39" si="16">IF(C3=2,$G23,0)</f>
        <v>34.880962165031875</v>
      </c>
      <c r="P23">
        <f t="shared" ref="P23:P39" si="17">IF(C3=3,$G23,0)</f>
        <v>0</v>
      </c>
      <c r="Q23" s="37">
        <f t="shared" ref="Q23:Q39" si="18">IF(D3=1,$G23,0)</f>
        <v>0</v>
      </c>
      <c r="R23">
        <f t="shared" ref="R23:R39" si="19">IF(D3=2,$G23,0)</f>
        <v>34.880962165031875</v>
      </c>
      <c r="S23">
        <f t="shared" ref="S23:S39" si="20">IF(D3=3,$G23,0)</f>
        <v>0</v>
      </c>
      <c r="T23" s="37">
        <f t="shared" ref="T23:T39" si="21">IF(E3=1,$G23,0)</f>
        <v>0</v>
      </c>
      <c r="U23">
        <f t="shared" ref="U23:U39" si="22">IF(E3=2,$G23,0)</f>
        <v>34.880962165031875</v>
      </c>
      <c r="V23">
        <f t="shared" ref="V23:V39" si="23">IF(E3=3,$G23,0)</f>
        <v>0</v>
      </c>
      <c r="W23" s="37">
        <f t="shared" ref="W23:W39" si="24">IF(F3=1,$G23,0)</f>
        <v>0</v>
      </c>
      <c r="X23">
        <f t="shared" ref="X23:X39" si="25">IF(F3=2,$G23,0)</f>
        <v>34.880962165031875</v>
      </c>
      <c r="Y23">
        <f t="shared" ref="Y23:Y39" si="26">IF(F3=3,$G23,0)</f>
        <v>0</v>
      </c>
      <c r="Z23" s="37"/>
    </row>
    <row r="24" spans="1:26" x14ac:dyDescent="0.25">
      <c r="A24">
        <v>3</v>
      </c>
      <c r="B24">
        <v>5989</v>
      </c>
      <c r="C24">
        <v>5894</v>
      </c>
      <c r="D24">
        <v>5874</v>
      </c>
      <c r="E24">
        <f t="shared" si="6"/>
        <v>5919</v>
      </c>
      <c r="F24">
        <f t="shared" si="7"/>
        <v>61.441028637222537</v>
      </c>
      <c r="G24">
        <f t="shared" si="8"/>
        <v>39.675797239784998</v>
      </c>
      <c r="H24" s="37">
        <f t="shared" si="9"/>
        <v>39.675797239784998</v>
      </c>
      <c r="I24">
        <f t="shared" si="10"/>
        <v>0</v>
      </c>
      <c r="J24">
        <f t="shared" si="11"/>
        <v>0</v>
      </c>
      <c r="K24" s="37">
        <f t="shared" si="12"/>
        <v>0</v>
      </c>
      <c r="L24">
        <f t="shared" si="13"/>
        <v>0</v>
      </c>
      <c r="M24">
        <f t="shared" si="14"/>
        <v>39.675797239784998</v>
      </c>
      <c r="N24" s="37">
        <f t="shared" si="15"/>
        <v>0</v>
      </c>
      <c r="O24">
        <f t="shared" si="16"/>
        <v>0</v>
      </c>
      <c r="P24">
        <f t="shared" si="17"/>
        <v>39.675797239784998</v>
      </c>
      <c r="Q24" s="37">
        <f t="shared" si="18"/>
        <v>0</v>
      </c>
      <c r="R24">
        <f t="shared" si="19"/>
        <v>0</v>
      </c>
      <c r="S24">
        <f t="shared" si="20"/>
        <v>39.675797239784998</v>
      </c>
      <c r="T24" s="37">
        <f t="shared" si="21"/>
        <v>0</v>
      </c>
      <c r="U24">
        <f t="shared" si="22"/>
        <v>0</v>
      </c>
      <c r="V24">
        <f t="shared" si="23"/>
        <v>39.675797239784998</v>
      </c>
      <c r="W24" s="37">
        <f t="shared" si="24"/>
        <v>0</v>
      </c>
      <c r="X24">
        <f t="shared" si="25"/>
        <v>0</v>
      </c>
      <c r="Y24">
        <f t="shared" si="26"/>
        <v>39.675797239784998</v>
      </c>
      <c r="Z24" s="37"/>
    </row>
    <row r="25" spans="1:26" x14ac:dyDescent="0.25">
      <c r="A25">
        <v>4</v>
      </c>
      <c r="B25">
        <v>2118</v>
      </c>
      <c r="C25">
        <v>2109</v>
      </c>
      <c r="D25">
        <v>2099</v>
      </c>
      <c r="E25">
        <f t="shared" si="6"/>
        <v>2108.6666666666665</v>
      </c>
      <c r="F25">
        <f t="shared" si="7"/>
        <v>9.5043849529221696</v>
      </c>
      <c r="G25">
        <f t="shared" si="8"/>
        <v>46.921678295653393</v>
      </c>
      <c r="H25" s="37">
        <f t="shared" si="9"/>
        <v>0</v>
      </c>
      <c r="I25">
        <f t="shared" si="10"/>
        <v>46.921678295653393</v>
      </c>
      <c r="J25">
        <f t="shared" si="11"/>
        <v>0</v>
      </c>
      <c r="K25" s="37">
        <f t="shared" si="12"/>
        <v>46.921678295653393</v>
      </c>
      <c r="L25">
        <f t="shared" si="13"/>
        <v>0</v>
      </c>
      <c r="M25">
        <f t="shared" si="14"/>
        <v>0</v>
      </c>
      <c r="N25" s="37">
        <f t="shared" si="15"/>
        <v>46.921678295653393</v>
      </c>
      <c r="O25">
        <f t="shared" si="16"/>
        <v>0</v>
      </c>
      <c r="P25">
        <f t="shared" si="17"/>
        <v>0</v>
      </c>
      <c r="Q25" s="37">
        <f t="shared" si="18"/>
        <v>0</v>
      </c>
      <c r="R25">
        <f t="shared" si="19"/>
        <v>46.921678295653393</v>
      </c>
      <c r="S25">
        <f t="shared" si="20"/>
        <v>0</v>
      </c>
      <c r="T25" s="37">
        <f t="shared" si="21"/>
        <v>0</v>
      </c>
      <c r="U25">
        <f t="shared" si="22"/>
        <v>46.921678295653393</v>
      </c>
      <c r="V25">
        <f t="shared" si="23"/>
        <v>0</v>
      </c>
      <c r="W25" s="37">
        <f t="shared" si="24"/>
        <v>0</v>
      </c>
      <c r="X25">
        <f t="shared" si="25"/>
        <v>0</v>
      </c>
      <c r="Y25">
        <f t="shared" si="26"/>
        <v>46.921678295653393</v>
      </c>
      <c r="Z25" s="37"/>
    </row>
    <row r="26" spans="1:26" x14ac:dyDescent="0.25">
      <c r="A26">
        <v>5</v>
      </c>
      <c r="B26">
        <v>4102</v>
      </c>
      <c r="C26">
        <v>4152</v>
      </c>
      <c r="D26">
        <v>4174</v>
      </c>
      <c r="E26">
        <f t="shared" si="6"/>
        <v>4142.666666666667</v>
      </c>
      <c r="F26">
        <f t="shared" si="7"/>
        <v>36.896250938724563</v>
      </c>
      <c r="G26">
        <f t="shared" si="8"/>
        <v>41.005955010313386</v>
      </c>
      <c r="H26" s="37">
        <f t="shared" si="9"/>
        <v>0</v>
      </c>
      <c r="I26">
        <f t="shared" si="10"/>
        <v>41.005955010313386</v>
      </c>
      <c r="J26">
        <f t="shared" si="11"/>
        <v>0</v>
      </c>
      <c r="K26" s="37">
        <f t="shared" si="12"/>
        <v>0</v>
      </c>
      <c r="L26">
        <f t="shared" si="13"/>
        <v>41.005955010313386</v>
      </c>
      <c r="M26">
        <f t="shared" si="14"/>
        <v>0</v>
      </c>
      <c r="N26" s="37">
        <f t="shared" si="15"/>
        <v>0</v>
      </c>
      <c r="O26">
        <f t="shared" si="16"/>
        <v>41.005955010313386</v>
      </c>
      <c r="P26">
        <f t="shared" si="17"/>
        <v>0</v>
      </c>
      <c r="Q26" s="37">
        <f t="shared" si="18"/>
        <v>0</v>
      </c>
      <c r="R26">
        <f t="shared" si="19"/>
        <v>0</v>
      </c>
      <c r="S26">
        <f t="shared" si="20"/>
        <v>41.005955010313386</v>
      </c>
      <c r="T26" s="37">
        <f t="shared" si="21"/>
        <v>0</v>
      </c>
      <c r="U26">
        <f t="shared" si="22"/>
        <v>0</v>
      </c>
      <c r="V26">
        <f t="shared" si="23"/>
        <v>41.005955010313386</v>
      </c>
      <c r="W26" s="37">
        <f t="shared" si="24"/>
        <v>41.005955010313386</v>
      </c>
      <c r="X26">
        <f t="shared" si="25"/>
        <v>0</v>
      </c>
      <c r="Y26">
        <f t="shared" si="26"/>
        <v>0</v>
      </c>
      <c r="Z26" s="37"/>
    </row>
    <row r="27" spans="1:26" x14ac:dyDescent="0.25">
      <c r="A27">
        <v>6</v>
      </c>
      <c r="B27">
        <v>3022</v>
      </c>
      <c r="C27">
        <v>2932</v>
      </c>
      <c r="D27">
        <v>2913</v>
      </c>
      <c r="E27">
        <f t="shared" si="6"/>
        <v>2955.6666666666665</v>
      </c>
      <c r="F27">
        <f t="shared" si="7"/>
        <v>58.226568964119238</v>
      </c>
      <c r="G27">
        <f t="shared" si="8"/>
        <v>34.110685078975358</v>
      </c>
      <c r="H27" s="37">
        <f t="shared" si="9"/>
        <v>0</v>
      </c>
      <c r="I27">
        <f t="shared" si="10"/>
        <v>34.110685078975358</v>
      </c>
      <c r="J27">
        <f t="shared" si="11"/>
        <v>0</v>
      </c>
      <c r="K27" s="37">
        <f t="shared" si="12"/>
        <v>0</v>
      </c>
      <c r="L27">
        <f t="shared" si="13"/>
        <v>0</v>
      </c>
      <c r="M27">
        <f t="shared" si="14"/>
        <v>34.110685078975358</v>
      </c>
      <c r="N27" s="37">
        <f t="shared" si="15"/>
        <v>0</v>
      </c>
      <c r="O27">
        <f t="shared" si="16"/>
        <v>0</v>
      </c>
      <c r="P27">
        <f t="shared" si="17"/>
        <v>34.110685078975358</v>
      </c>
      <c r="Q27" s="37">
        <f t="shared" si="18"/>
        <v>34.110685078975358</v>
      </c>
      <c r="R27">
        <f t="shared" si="19"/>
        <v>0</v>
      </c>
      <c r="S27">
        <f t="shared" si="20"/>
        <v>0</v>
      </c>
      <c r="T27" s="37">
        <f t="shared" si="21"/>
        <v>34.110685078975358</v>
      </c>
      <c r="U27">
        <f t="shared" si="22"/>
        <v>0</v>
      </c>
      <c r="V27">
        <f t="shared" si="23"/>
        <v>0</v>
      </c>
      <c r="W27" s="37">
        <f t="shared" si="24"/>
        <v>0</v>
      </c>
      <c r="X27">
        <f t="shared" si="25"/>
        <v>34.110685078975358</v>
      </c>
      <c r="Y27">
        <f t="shared" si="26"/>
        <v>0</v>
      </c>
      <c r="Z27" s="37"/>
    </row>
    <row r="28" spans="1:26" x14ac:dyDescent="0.25">
      <c r="A28">
        <v>7</v>
      </c>
      <c r="B28">
        <v>3030</v>
      </c>
      <c r="C28">
        <v>3042</v>
      </c>
      <c r="D28">
        <v>3028</v>
      </c>
      <c r="E28">
        <f t="shared" si="6"/>
        <v>3033.3333333333335</v>
      </c>
      <c r="F28">
        <f t="shared" si="7"/>
        <v>7.5718777944003648</v>
      </c>
      <c r="G28">
        <f t="shared" si="8"/>
        <v>52.054330830149752</v>
      </c>
      <c r="H28" s="37">
        <f t="shared" si="9"/>
        <v>0</v>
      </c>
      <c r="I28">
        <f t="shared" si="10"/>
        <v>0</v>
      </c>
      <c r="J28">
        <f t="shared" si="11"/>
        <v>52.054330830149752</v>
      </c>
      <c r="K28" s="37">
        <f t="shared" si="12"/>
        <v>52.054330830149752</v>
      </c>
      <c r="L28">
        <f t="shared" si="13"/>
        <v>0</v>
      </c>
      <c r="M28">
        <f t="shared" si="14"/>
        <v>0</v>
      </c>
      <c r="N28" s="37">
        <f t="shared" si="15"/>
        <v>0</v>
      </c>
      <c r="O28">
        <f t="shared" si="16"/>
        <v>52.054330830149752</v>
      </c>
      <c r="P28">
        <f t="shared" si="17"/>
        <v>0</v>
      </c>
      <c r="Q28" s="37">
        <f t="shared" si="18"/>
        <v>52.054330830149752</v>
      </c>
      <c r="R28">
        <f t="shared" si="19"/>
        <v>0</v>
      </c>
      <c r="S28">
        <f t="shared" si="20"/>
        <v>0</v>
      </c>
      <c r="T28" s="37">
        <f t="shared" si="21"/>
        <v>0</v>
      </c>
      <c r="U28">
        <f t="shared" si="22"/>
        <v>0</v>
      </c>
      <c r="V28">
        <f t="shared" si="23"/>
        <v>52.054330830149752</v>
      </c>
      <c r="W28" s="37">
        <f t="shared" si="24"/>
        <v>0</v>
      </c>
      <c r="X28">
        <f t="shared" si="25"/>
        <v>0</v>
      </c>
      <c r="Y28">
        <f t="shared" si="26"/>
        <v>52.054330830149752</v>
      </c>
      <c r="Z28" s="37"/>
    </row>
    <row r="29" spans="1:26" x14ac:dyDescent="0.25">
      <c r="A29">
        <v>8</v>
      </c>
      <c r="B29">
        <v>4707</v>
      </c>
      <c r="C29">
        <v>4472</v>
      </c>
      <c r="D29">
        <v>4336</v>
      </c>
      <c r="E29">
        <f t="shared" si="6"/>
        <v>4505</v>
      </c>
      <c r="F29">
        <f t="shared" si="7"/>
        <v>187.68857184176133</v>
      </c>
      <c r="G29">
        <f t="shared" si="8"/>
        <v>27.605139312389344</v>
      </c>
      <c r="H29" s="37">
        <f t="shared" si="9"/>
        <v>0</v>
      </c>
      <c r="I29">
        <f t="shared" si="10"/>
        <v>0</v>
      </c>
      <c r="J29">
        <f t="shared" si="11"/>
        <v>27.605139312389344</v>
      </c>
      <c r="K29" s="37">
        <f t="shared" si="12"/>
        <v>0</v>
      </c>
      <c r="L29">
        <f t="shared" si="13"/>
        <v>27.605139312389344</v>
      </c>
      <c r="M29">
        <f t="shared" si="14"/>
        <v>0</v>
      </c>
      <c r="N29" s="37">
        <f t="shared" si="15"/>
        <v>0</v>
      </c>
      <c r="O29">
        <f t="shared" si="16"/>
        <v>0</v>
      </c>
      <c r="P29">
        <f t="shared" si="17"/>
        <v>27.605139312389344</v>
      </c>
      <c r="Q29" s="37">
        <f t="shared" si="18"/>
        <v>0</v>
      </c>
      <c r="R29">
        <f t="shared" si="19"/>
        <v>27.605139312389344</v>
      </c>
      <c r="S29">
        <f t="shared" si="20"/>
        <v>0</v>
      </c>
      <c r="T29" s="37">
        <f t="shared" si="21"/>
        <v>27.605139312389344</v>
      </c>
      <c r="U29">
        <f t="shared" si="22"/>
        <v>0</v>
      </c>
      <c r="V29">
        <f t="shared" si="23"/>
        <v>0</v>
      </c>
      <c r="W29" s="37">
        <f t="shared" si="24"/>
        <v>27.605139312389344</v>
      </c>
      <c r="X29">
        <f t="shared" si="25"/>
        <v>0</v>
      </c>
      <c r="Y29">
        <f t="shared" si="26"/>
        <v>0</v>
      </c>
      <c r="Z29" s="37"/>
    </row>
    <row r="30" spans="1:26" x14ac:dyDescent="0.25">
      <c r="A30">
        <v>9</v>
      </c>
      <c r="B30">
        <v>3859</v>
      </c>
      <c r="C30">
        <v>3822</v>
      </c>
      <c r="D30">
        <v>3850</v>
      </c>
      <c r="E30">
        <f t="shared" si="6"/>
        <v>3843.6666666666665</v>
      </c>
      <c r="F30">
        <f t="shared" si="7"/>
        <v>19.295940851208403</v>
      </c>
      <c r="G30">
        <f t="shared" si="8"/>
        <v>45.985595164418541</v>
      </c>
      <c r="H30" s="37">
        <f t="shared" si="9"/>
        <v>0</v>
      </c>
      <c r="I30">
        <f t="shared" si="10"/>
        <v>0</v>
      </c>
      <c r="J30">
        <f t="shared" si="11"/>
        <v>45.985595164418541</v>
      </c>
      <c r="K30" s="37">
        <f t="shared" si="12"/>
        <v>0</v>
      </c>
      <c r="L30">
        <f t="shared" si="13"/>
        <v>0</v>
      </c>
      <c r="M30">
        <f t="shared" si="14"/>
        <v>45.985595164418541</v>
      </c>
      <c r="N30" s="37">
        <f t="shared" si="15"/>
        <v>45.985595164418541</v>
      </c>
      <c r="O30">
        <f t="shared" si="16"/>
        <v>0</v>
      </c>
      <c r="P30">
        <f t="shared" si="17"/>
        <v>0</v>
      </c>
      <c r="Q30" s="37">
        <f t="shared" si="18"/>
        <v>0</v>
      </c>
      <c r="R30">
        <f t="shared" si="19"/>
        <v>0</v>
      </c>
      <c r="S30">
        <f t="shared" si="20"/>
        <v>45.985595164418541</v>
      </c>
      <c r="T30" s="37">
        <f t="shared" si="21"/>
        <v>0</v>
      </c>
      <c r="U30">
        <f t="shared" si="22"/>
        <v>45.985595164418541</v>
      </c>
      <c r="V30">
        <f t="shared" si="23"/>
        <v>0</v>
      </c>
      <c r="W30" s="37">
        <f t="shared" si="24"/>
        <v>0</v>
      </c>
      <c r="X30">
        <f t="shared" si="25"/>
        <v>45.985595164418541</v>
      </c>
      <c r="Y30">
        <f t="shared" si="26"/>
        <v>0</v>
      </c>
      <c r="Z30" s="37"/>
    </row>
    <row r="31" spans="1:26" x14ac:dyDescent="0.25">
      <c r="A31">
        <v>10</v>
      </c>
      <c r="B31">
        <v>3227</v>
      </c>
      <c r="C31">
        <v>3205</v>
      </c>
      <c r="D31">
        <v>3242</v>
      </c>
      <c r="E31">
        <f t="shared" si="6"/>
        <v>3224.6666666666665</v>
      </c>
      <c r="F31">
        <f t="shared" si="7"/>
        <v>18.610033136277146</v>
      </c>
      <c r="G31">
        <f t="shared" si="8"/>
        <v>44.77475363828033</v>
      </c>
      <c r="H31" s="37">
        <f t="shared" si="9"/>
        <v>44.77475363828033</v>
      </c>
      <c r="I31">
        <f t="shared" si="10"/>
        <v>0</v>
      </c>
      <c r="J31">
        <f t="shared" si="11"/>
        <v>0</v>
      </c>
      <c r="K31" s="37">
        <f t="shared" si="12"/>
        <v>44.77475363828033</v>
      </c>
      <c r="L31">
        <f t="shared" si="13"/>
        <v>0</v>
      </c>
      <c r="M31">
        <f t="shared" si="14"/>
        <v>0</v>
      </c>
      <c r="N31" s="37">
        <f t="shared" si="15"/>
        <v>0</v>
      </c>
      <c r="O31">
        <f t="shared" si="16"/>
        <v>0</v>
      </c>
      <c r="P31">
        <f t="shared" si="17"/>
        <v>44.77475363828033</v>
      </c>
      <c r="Q31" s="37">
        <f t="shared" si="18"/>
        <v>0</v>
      </c>
      <c r="R31">
        <f t="shared" si="19"/>
        <v>0</v>
      </c>
      <c r="S31">
        <f t="shared" si="20"/>
        <v>44.77475363828033</v>
      </c>
      <c r="T31" s="37">
        <f t="shared" si="21"/>
        <v>0</v>
      </c>
      <c r="U31">
        <f t="shared" si="22"/>
        <v>44.77475363828033</v>
      </c>
      <c r="V31">
        <f t="shared" si="23"/>
        <v>0</v>
      </c>
      <c r="W31" s="37">
        <f t="shared" si="24"/>
        <v>44.77475363828033</v>
      </c>
      <c r="X31">
        <f t="shared" si="25"/>
        <v>0</v>
      </c>
      <c r="Y31">
        <f t="shared" si="26"/>
        <v>0</v>
      </c>
      <c r="Z31" s="37"/>
    </row>
    <row r="32" spans="1:26" x14ac:dyDescent="0.25">
      <c r="A32">
        <v>11</v>
      </c>
      <c r="B32">
        <v>2521</v>
      </c>
      <c r="C32">
        <v>2499</v>
      </c>
      <c r="D32">
        <v>2499</v>
      </c>
      <c r="E32">
        <f t="shared" si="6"/>
        <v>2506.3333333333335</v>
      </c>
      <c r="F32">
        <f t="shared" si="7"/>
        <v>12.701705922171765</v>
      </c>
      <c r="G32">
        <f t="shared" si="8"/>
        <v>45.903535532871814</v>
      </c>
      <c r="H32" s="37">
        <f t="shared" si="9"/>
        <v>45.903535532871814</v>
      </c>
      <c r="I32">
        <f t="shared" si="10"/>
        <v>0</v>
      </c>
      <c r="J32">
        <f t="shared" si="11"/>
        <v>0</v>
      </c>
      <c r="K32" s="37">
        <f t="shared" si="12"/>
        <v>0</v>
      </c>
      <c r="L32">
        <f t="shared" si="13"/>
        <v>45.903535532871814</v>
      </c>
      <c r="M32">
        <f t="shared" si="14"/>
        <v>0</v>
      </c>
      <c r="N32" s="37">
        <f t="shared" si="15"/>
        <v>45.903535532871814</v>
      </c>
      <c r="O32">
        <f t="shared" si="16"/>
        <v>0</v>
      </c>
      <c r="P32">
        <f t="shared" si="17"/>
        <v>0</v>
      </c>
      <c r="Q32" s="37">
        <f t="shared" si="18"/>
        <v>45.903535532871814</v>
      </c>
      <c r="R32">
        <f t="shared" si="19"/>
        <v>0</v>
      </c>
      <c r="S32">
        <f t="shared" si="20"/>
        <v>0</v>
      </c>
      <c r="T32" s="37">
        <f t="shared" si="21"/>
        <v>0</v>
      </c>
      <c r="U32">
        <f t="shared" si="22"/>
        <v>0</v>
      </c>
      <c r="V32">
        <f t="shared" si="23"/>
        <v>45.903535532871814</v>
      </c>
      <c r="W32" s="37">
        <f t="shared" si="24"/>
        <v>0</v>
      </c>
      <c r="X32">
        <f t="shared" si="25"/>
        <v>45.903535532871814</v>
      </c>
      <c r="Y32">
        <f t="shared" si="26"/>
        <v>0</v>
      </c>
      <c r="Z32" s="37"/>
    </row>
    <row r="33" spans="1:26" x14ac:dyDescent="0.25">
      <c r="A33">
        <v>12</v>
      </c>
      <c r="B33">
        <v>5921</v>
      </c>
      <c r="C33">
        <v>5766</v>
      </c>
      <c r="D33">
        <v>5844</v>
      </c>
      <c r="E33">
        <f t="shared" si="6"/>
        <v>5843.666666666667</v>
      </c>
      <c r="F33">
        <f t="shared" si="7"/>
        <v>77.500537632543782</v>
      </c>
      <c r="G33">
        <f t="shared" si="8"/>
        <v>37.547614394875183</v>
      </c>
      <c r="H33" s="37">
        <f t="shared" si="9"/>
        <v>37.547614394875183</v>
      </c>
      <c r="I33">
        <f t="shared" si="10"/>
        <v>0</v>
      </c>
      <c r="J33">
        <f t="shared" si="11"/>
        <v>0</v>
      </c>
      <c r="K33" s="37">
        <f t="shared" si="12"/>
        <v>0</v>
      </c>
      <c r="L33">
        <f t="shared" si="13"/>
        <v>0</v>
      </c>
      <c r="M33">
        <f t="shared" si="14"/>
        <v>37.547614394875183</v>
      </c>
      <c r="N33" s="37">
        <f t="shared" si="15"/>
        <v>0</v>
      </c>
      <c r="O33">
        <f t="shared" si="16"/>
        <v>37.547614394875183</v>
      </c>
      <c r="P33">
        <f t="shared" si="17"/>
        <v>0</v>
      </c>
      <c r="Q33" s="37">
        <f t="shared" si="18"/>
        <v>0</v>
      </c>
      <c r="R33">
        <f t="shared" si="19"/>
        <v>37.547614394875183</v>
      </c>
      <c r="S33">
        <f t="shared" si="20"/>
        <v>0</v>
      </c>
      <c r="T33" s="37">
        <f t="shared" si="21"/>
        <v>37.547614394875183</v>
      </c>
      <c r="U33">
        <f t="shared" si="22"/>
        <v>0</v>
      </c>
      <c r="V33">
        <f t="shared" si="23"/>
        <v>0</v>
      </c>
      <c r="W33" s="37">
        <f t="shared" si="24"/>
        <v>0</v>
      </c>
      <c r="X33">
        <f t="shared" si="25"/>
        <v>0</v>
      </c>
      <c r="Y33">
        <f t="shared" si="26"/>
        <v>37.547614394875183</v>
      </c>
      <c r="Z33" s="37"/>
    </row>
    <row r="34" spans="1:26" x14ac:dyDescent="0.25">
      <c r="A34">
        <v>13</v>
      </c>
      <c r="B34">
        <v>2792</v>
      </c>
      <c r="C34">
        <v>2752</v>
      </c>
      <c r="D34">
        <v>2716</v>
      </c>
      <c r="E34">
        <f t="shared" si="6"/>
        <v>2753.3333333333335</v>
      </c>
      <c r="F34">
        <f t="shared" si="7"/>
        <v>38.017539811688678</v>
      </c>
      <c r="G34">
        <f t="shared" si="8"/>
        <v>37.197495663907716</v>
      </c>
      <c r="H34" s="37">
        <f t="shared" si="9"/>
        <v>0</v>
      </c>
      <c r="I34">
        <f t="shared" si="10"/>
        <v>37.197495663907716</v>
      </c>
      <c r="J34">
        <f t="shared" si="11"/>
        <v>0</v>
      </c>
      <c r="K34" s="37">
        <f t="shared" si="12"/>
        <v>37.197495663907716</v>
      </c>
      <c r="L34">
        <f t="shared" si="13"/>
        <v>0</v>
      </c>
      <c r="M34">
        <f t="shared" si="14"/>
        <v>0</v>
      </c>
      <c r="N34" s="37">
        <f t="shared" si="15"/>
        <v>0</v>
      </c>
      <c r="O34">
        <f t="shared" si="16"/>
        <v>37.197495663907716</v>
      </c>
      <c r="P34">
        <f t="shared" si="17"/>
        <v>0</v>
      </c>
      <c r="Q34" s="37">
        <f t="shared" si="18"/>
        <v>0</v>
      </c>
      <c r="R34">
        <f t="shared" si="19"/>
        <v>0</v>
      </c>
      <c r="S34">
        <f t="shared" si="20"/>
        <v>37.197495663907716</v>
      </c>
      <c r="T34" s="37">
        <f t="shared" si="21"/>
        <v>37.197495663907716</v>
      </c>
      <c r="U34">
        <f t="shared" si="22"/>
        <v>0</v>
      </c>
      <c r="V34">
        <f t="shared" si="23"/>
        <v>0</v>
      </c>
      <c r="W34" s="37">
        <f t="shared" si="24"/>
        <v>0</v>
      </c>
      <c r="X34">
        <f t="shared" si="25"/>
        <v>37.197495663907716</v>
      </c>
      <c r="Y34">
        <f t="shared" si="26"/>
        <v>0</v>
      </c>
      <c r="Z34" s="37"/>
    </row>
    <row r="35" spans="1:26" x14ac:dyDescent="0.25">
      <c r="A35">
        <v>14</v>
      </c>
      <c r="B35">
        <v>2863</v>
      </c>
      <c r="C35">
        <v>2835</v>
      </c>
      <c r="D35">
        <v>2859</v>
      </c>
      <c r="E35">
        <f t="shared" si="6"/>
        <v>2852.3333333333335</v>
      </c>
      <c r="F35">
        <f t="shared" si="7"/>
        <v>15.14375558880073</v>
      </c>
      <c r="G35">
        <f t="shared" si="8"/>
        <v>45.499333710234126</v>
      </c>
      <c r="H35" s="37">
        <f t="shared" si="9"/>
        <v>0</v>
      </c>
      <c r="I35">
        <f t="shared" si="10"/>
        <v>45.499333710234126</v>
      </c>
      <c r="J35">
        <f t="shared" si="11"/>
        <v>0</v>
      </c>
      <c r="K35" s="37">
        <f t="shared" si="12"/>
        <v>0</v>
      </c>
      <c r="L35">
        <f t="shared" si="13"/>
        <v>45.499333710234126</v>
      </c>
      <c r="M35">
        <f t="shared" si="14"/>
        <v>0</v>
      </c>
      <c r="N35" s="37">
        <f t="shared" si="15"/>
        <v>0</v>
      </c>
      <c r="O35">
        <f t="shared" si="16"/>
        <v>0</v>
      </c>
      <c r="P35">
        <f t="shared" si="17"/>
        <v>45.499333710234126</v>
      </c>
      <c r="Q35" s="37">
        <f t="shared" si="18"/>
        <v>45.499333710234126</v>
      </c>
      <c r="R35">
        <f t="shared" si="19"/>
        <v>0</v>
      </c>
      <c r="S35">
        <f t="shared" si="20"/>
        <v>0</v>
      </c>
      <c r="T35" s="37">
        <f t="shared" si="21"/>
        <v>0</v>
      </c>
      <c r="U35">
        <f t="shared" si="22"/>
        <v>45.499333710234126</v>
      </c>
      <c r="V35">
        <f t="shared" si="23"/>
        <v>0</v>
      </c>
      <c r="W35" s="37">
        <f t="shared" si="24"/>
        <v>0</v>
      </c>
      <c r="X35">
        <f t="shared" si="25"/>
        <v>0</v>
      </c>
      <c r="Y35">
        <f t="shared" si="26"/>
        <v>45.499333710234126</v>
      </c>
      <c r="Z35" s="37"/>
    </row>
    <row r="36" spans="1:26" x14ac:dyDescent="0.25">
      <c r="A36">
        <v>15</v>
      </c>
      <c r="B36">
        <v>3218</v>
      </c>
      <c r="C36">
        <v>3149</v>
      </c>
      <c r="D36">
        <v>3124</v>
      </c>
      <c r="E36">
        <f t="shared" si="6"/>
        <v>3163.6666666666665</v>
      </c>
      <c r="F36">
        <f t="shared" si="7"/>
        <v>48.686069191641806</v>
      </c>
      <c r="G36">
        <f t="shared" si="8"/>
        <v>36.255720134339221</v>
      </c>
      <c r="H36" s="37">
        <f t="shared" si="9"/>
        <v>0</v>
      </c>
      <c r="I36">
        <f t="shared" si="10"/>
        <v>36.255720134339221</v>
      </c>
      <c r="J36">
        <f t="shared" si="11"/>
        <v>0</v>
      </c>
      <c r="K36" s="37">
        <f t="shared" si="12"/>
        <v>0</v>
      </c>
      <c r="L36">
        <f t="shared" si="13"/>
        <v>0</v>
      </c>
      <c r="M36">
        <f t="shared" si="14"/>
        <v>36.255720134339221</v>
      </c>
      <c r="N36" s="37">
        <f t="shared" si="15"/>
        <v>36.255720134339221</v>
      </c>
      <c r="O36">
        <f t="shared" si="16"/>
        <v>0</v>
      </c>
      <c r="P36">
        <f t="shared" si="17"/>
        <v>0</v>
      </c>
      <c r="Q36" s="37">
        <f t="shared" si="18"/>
        <v>0</v>
      </c>
      <c r="R36">
        <f t="shared" si="19"/>
        <v>36.255720134339221</v>
      </c>
      <c r="S36">
        <f t="shared" si="20"/>
        <v>0</v>
      </c>
      <c r="T36" s="37">
        <f t="shared" si="21"/>
        <v>0</v>
      </c>
      <c r="U36">
        <f t="shared" si="22"/>
        <v>0</v>
      </c>
      <c r="V36">
        <f t="shared" si="23"/>
        <v>36.255720134339221</v>
      </c>
      <c r="W36" s="37">
        <f t="shared" si="24"/>
        <v>36.255720134339221</v>
      </c>
      <c r="X36">
        <f t="shared" si="25"/>
        <v>0</v>
      </c>
      <c r="Y36">
        <f t="shared" si="26"/>
        <v>0</v>
      </c>
      <c r="Z36" s="37"/>
    </row>
    <row r="37" spans="1:26" x14ac:dyDescent="0.25">
      <c r="A37">
        <v>16</v>
      </c>
      <c r="B37">
        <v>3020</v>
      </c>
      <c r="C37">
        <v>3008</v>
      </c>
      <c r="D37">
        <v>3016</v>
      </c>
      <c r="E37">
        <f t="shared" si="6"/>
        <v>3014.6666666666665</v>
      </c>
      <c r="F37">
        <f t="shared" si="7"/>
        <v>6.110100926607787</v>
      </c>
      <c r="G37">
        <f t="shared" si="8"/>
        <v>53.863818299568003</v>
      </c>
      <c r="H37" s="37">
        <f t="shared" si="9"/>
        <v>0</v>
      </c>
      <c r="I37">
        <f t="shared" si="10"/>
        <v>0</v>
      </c>
      <c r="J37">
        <f t="shared" si="11"/>
        <v>53.863818299568003</v>
      </c>
      <c r="K37" s="37">
        <f t="shared" si="12"/>
        <v>53.863818299568003</v>
      </c>
      <c r="L37">
        <f t="shared" si="13"/>
        <v>0</v>
      </c>
      <c r="M37">
        <f t="shared" si="14"/>
        <v>0</v>
      </c>
      <c r="N37" s="37">
        <f t="shared" si="15"/>
        <v>0</v>
      </c>
      <c r="O37">
        <f t="shared" si="16"/>
        <v>0</v>
      </c>
      <c r="P37">
        <f t="shared" si="17"/>
        <v>53.863818299568003</v>
      </c>
      <c r="Q37" s="37">
        <f t="shared" si="18"/>
        <v>0</v>
      </c>
      <c r="R37">
        <f t="shared" si="19"/>
        <v>53.863818299568003</v>
      </c>
      <c r="S37">
        <f t="shared" si="20"/>
        <v>0</v>
      </c>
      <c r="T37" s="37">
        <f t="shared" si="21"/>
        <v>0</v>
      </c>
      <c r="U37">
        <f t="shared" si="22"/>
        <v>0</v>
      </c>
      <c r="V37">
        <f t="shared" si="23"/>
        <v>53.863818299568003</v>
      </c>
      <c r="W37" s="37">
        <f t="shared" si="24"/>
        <v>0</v>
      </c>
      <c r="X37">
        <f t="shared" si="25"/>
        <v>53.863818299568003</v>
      </c>
      <c r="Y37">
        <f t="shared" si="26"/>
        <v>0</v>
      </c>
      <c r="Z37" s="37"/>
    </row>
    <row r="38" spans="1:26" x14ac:dyDescent="0.25">
      <c r="A38">
        <v>17</v>
      </c>
      <c r="B38">
        <v>4277</v>
      </c>
      <c r="C38">
        <v>4150</v>
      </c>
      <c r="D38">
        <v>3992</v>
      </c>
      <c r="E38">
        <f t="shared" si="6"/>
        <v>4139.666666666667</v>
      </c>
      <c r="F38">
        <f t="shared" si="7"/>
        <v>142.78071765239636</v>
      </c>
      <c r="G38">
        <f t="shared" si="8"/>
        <v>29.245916237207055</v>
      </c>
      <c r="H38" s="37">
        <f t="shared" si="9"/>
        <v>0</v>
      </c>
      <c r="I38">
        <f t="shared" si="10"/>
        <v>0</v>
      </c>
      <c r="J38">
        <f t="shared" si="11"/>
        <v>29.245916237207055</v>
      </c>
      <c r="K38" s="37">
        <f t="shared" si="12"/>
        <v>0</v>
      </c>
      <c r="L38">
        <f t="shared" si="13"/>
        <v>29.245916237207055</v>
      </c>
      <c r="M38">
        <f t="shared" si="14"/>
        <v>0</v>
      </c>
      <c r="N38" s="37">
        <f t="shared" si="15"/>
        <v>29.245916237207055</v>
      </c>
      <c r="O38">
        <f t="shared" si="16"/>
        <v>0</v>
      </c>
      <c r="P38">
        <f t="shared" si="17"/>
        <v>0</v>
      </c>
      <c r="Q38" s="37">
        <f t="shared" si="18"/>
        <v>0</v>
      </c>
      <c r="R38">
        <f t="shared" si="19"/>
        <v>0</v>
      </c>
      <c r="S38">
        <f t="shared" si="20"/>
        <v>29.245916237207055</v>
      </c>
      <c r="T38" s="37">
        <f t="shared" si="21"/>
        <v>29.245916237207055</v>
      </c>
      <c r="U38">
        <f t="shared" si="22"/>
        <v>0</v>
      </c>
      <c r="V38">
        <f t="shared" si="23"/>
        <v>0</v>
      </c>
      <c r="W38" s="37">
        <f t="shared" si="24"/>
        <v>0</v>
      </c>
      <c r="X38">
        <f t="shared" si="25"/>
        <v>0</v>
      </c>
      <c r="Y38">
        <f t="shared" si="26"/>
        <v>29.245916237207055</v>
      </c>
      <c r="Z38" s="37"/>
    </row>
    <row r="39" spans="1:26" x14ac:dyDescent="0.25">
      <c r="A39">
        <v>18</v>
      </c>
      <c r="B39">
        <v>3125</v>
      </c>
      <c r="C39">
        <v>3119</v>
      </c>
      <c r="D39">
        <v>3127</v>
      </c>
      <c r="E39">
        <f t="shared" si="6"/>
        <v>3123.6666666666665</v>
      </c>
      <c r="F39">
        <f t="shared" si="7"/>
        <v>4.1633319989322661</v>
      </c>
      <c r="G39">
        <f t="shared" si="8"/>
        <v>57.504472774037666</v>
      </c>
      <c r="H39" s="37">
        <f t="shared" si="9"/>
        <v>0</v>
      </c>
      <c r="I39">
        <f t="shared" si="10"/>
        <v>0</v>
      </c>
      <c r="J39">
        <f t="shared" si="11"/>
        <v>57.504472774037666</v>
      </c>
      <c r="K39" s="37">
        <f t="shared" si="12"/>
        <v>0</v>
      </c>
      <c r="L39">
        <f t="shared" si="13"/>
        <v>0</v>
      </c>
      <c r="M39">
        <f t="shared" si="14"/>
        <v>57.504472774037666</v>
      </c>
      <c r="N39" s="37">
        <f t="shared" si="15"/>
        <v>0</v>
      </c>
      <c r="O39">
        <f t="shared" si="16"/>
        <v>57.504472774037666</v>
      </c>
      <c r="P39">
        <f t="shared" si="17"/>
        <v>0</v>
      </c>
      <c r="Q39" s="37">
        <f t="shared" si="18"/>
        <v>57.504472774037666</v>
      </c>
      <c r="R39">
        <f t="shared" si="19"/>
        <v>0</v>
      </c>
      <c r="S39">
        <f t="shared" si="20"/>
        <v>0</v>
      </c>
      <c r="T39" s="37">
        <f t="shared" si="21"/>
        <v>0</v>
      </c>
      <c r="U39">
        <f t="shared" si="22"/>
        <v>57.504472774037666</v>
      </c>
      <c r="V39">
        <f t="shared" si="23"/>
        <v>0</v>
      </c>
      <c r="W39" s="37">
        <f t="shared" si="24"/>
        <v>57.504472774037666</v>
      </c>
      <c r="X39">
        <f t="shared" si="25"/>
        <v>0</v>
      </c>
      <c r="Y39">
        <f t="shared" si="26"/>
        <v>0</v>
      </c>
      <c r="Z39" s="37" t="s">
        <v>7</v>
      </c>
    </row>
    <row r="40" spans="1:26" x14ac:dyDescent="0.25">
      <c r="G40" s="126" t="s">
        <v>187</v>
      </c>
      <c r="H40" s="126">
        <f>SUM(H22:H39)/6</f>
        <v>39.60813245494419</v>
      </c>
      <c r="I40" s="126">
        <f t="shared" ref="I40:Y40" si="27">SUM(I22:I39)/6</f>
        <v>40.165144648903869</v>
      </c>
      <c r="J40" s="126">
        <f t="shared" si="27"/>
        <v>44.376545436295061</v>
      </c>
      <c r="K40" s="126">
        <f t="shared" si="27"/>
        <v>44.946368081063355</v>
      </c>
      <c r="L40" s="126">
        <f t="shared" si="27"/>
        <v>37.356806994674599</v>
      </c>
      <c r="M40" s="126">
        <f t="shared" si="27"/>
        <v>41.846647464405159</v>
      </c>
      <c r="N40" s="126">
        <f t="shared" si="27"/>
        <v>39.863096187218495</v>
      </c>
      <c r="O40" s="126">
        <f t="shared" si="27"/>
        <v>43.365138473052589</v>
      </c>
      <c r="P40" s="126">
        <f t="shared" si="27"/>
        <v>40.921587879872028</v>
      </c>
      <c r="Q40" s="126">
        <f t="shared" si="27"/>
        <v>44.989748280848268</v>
      </c>
      <c r="R40" s="126">
        <f t="shared" si="27"/>
        <v>39.512488766976169</v>
      </c>
      <c r="S40" s="126">
        <f t="shared" si="27"/>
        <v>39.647585492318676</v>
      </c>
      <c r="T40" s="126">
        <f t="shared" si="27"/>
        <v>33.428830407695934</v>
      </c>
      <c r="U40" s="126">
        <f t="shared" si="27"/>
        <v>45.927799291275988</v>
      </c>
      <c r="V40" s="126">
        <f t="shared" si="27"/>
        <v>44.793192841171191</v>
      </c>
      <c r="W40" s="126">
        <f t="shared" si="27"/>
        <v>40.33536210469682</v>
      </c>
      <c r="X40" s="126">
        <f t="shared" si="27"/>
        <v>41.990348650795553</v>
      </c>
      <c r="Y40" s="126">
        <f t="shared" si="27"/>
        <v>41.824111784650746</v>
      </c>
      <c r="Z40" s="129">
        <f>AVERAGE(H40:Y40)</f>
        <v>41.383274180047707</v>
      </c>
    </row>
    <row r="41" spans="1:26" x14ac:dyDescent="0.25">
      <c r="A41" s="126" t="s">
        <v>9</v>
      </c>
      <c r="B41" s="127">
        <v>18</v>
      </c>
      <c r="C41" s="127" t="s">
        <v>11</v>
      </c>
      <c r="D41" s="127">
        <v>1</v>
      </c>
      <c r="E41" s="127" t="s">
        <v>105</v>
      </c>
      <c r="F41" s="128">
        <v>18</v>
      </c>
      <c r="G41" s="17"/>
      <c r="H41" s="148" t="s">
        <v>224</v>
      </c>
      <c r="I41" s="148"/>
      <c r="J41" s="148"/>
      <c r="K41" s="152" t="s">
        <v>225</v>
      </c>
      <c r="L41" s="148"/>
      <c r="M41" s="148"/>
      <c r="N41" s="152" t="s">
        <v>226</v>
      </c>
      <c r="O41" s="148"/>
      <c r="P41" s="148"/>
      <c r="Q41" s="152" t="s">
        <v>227</v>
      </c>
      <c r="R41" s="148"/>
      <c r="S41" s="148"/>
      <c r="T41" s="152" t="s">
        <v>228</v>
      </c>
      <c r="U41" s="148"/>
      <c r="V41" s="148"/>
      <c r="W41" s="152" t="s">
        <v>229</v>
      </c>
      <c r="X41" s="148"/>
      <c r="Y41" s="148"/>
    </row>
    <row r="42" spans="1:26" x14ac:dyDescent="0.25">
      <c r="H42" s="151">
        <f>((H40-$Z$40)^2+(I40-$Z$40)^2+(J40-$Z$40)^2)*$F$41/3</f>
        <v>81.56784307394885</v>
      </c>
      <c r="I42" s="151"/>
      <c r="J42" s="151"/>
      <c r="K42" s="151">
        <f t="shared" ref="K42" si="28">((K40-$Z$40)^2+(L40-$Z$40)^2+(M40-$Z$40)^2)*$F$41/3</f>
        <v>174.73674565798532</v>
      </c>
      <c r="L42" s="151"/>
      <c r="M42" s="151"/>
      <c r="N42" s="151">
        <f t="shared" ref="N42" si="29">((N40-$Z$40)^2+(O40-$Z$40)^2+(P40-$Z$40)^2)*$F$41/3</f>
        <v>38.711288673239387</v>
      </c>
      <c r="O42" s="151"/>
      <c r="P42" s="151"/>
      <c r="Q42" s="151">
        <f t="shared" ref="Q42" si="30">((Q40-$Z$40)^2+(R40-$Z$40)^2+(S40-$Z$40)^2)*$F$41/3</f>
        <v>117.11465233330189</v>
      </c>
      <c r="R42" s="151"/>
      <c r="S42" s="151"/>
      <c r="T42" s="151">
        <f t="shared" ref="T42" si="31">((T40-$Z$40)^2+(U40-$Z$40)^2+(V40-$Z$40)^2)*$F$41/3</f>
        <v>573.32057693741103</v>
      </c>
      <c r="U42" s="151"/>
      <c r="V42" s="151"/>
      <c r="W42" s="151">
        <f t="shared" ref="W42" si="32">((W40-$Z$40)^2+(X40-$Z$40)^2+(Y40-$Z$40)^2)*$F$41/3</f>
        <v>9.9659815459927596</v>
      </c>
      <c r="X42" s="151"/>
      <c r="Y42" s="151"/>
      <c r="Z42" s="37" t="s">
        <v>230</v>
      </c>
    </row>
    <row r="43" spans="1:26" x14ac:dyDescent="0.25">
      <c r="H43" cm="1">
        <f t="array" ref="H43">SUMPRODUCT((H22:H39&gt;0)*((H22:H39)-H40)^2)</f>
        <v>115.40909711651943</v>
      </c>
      <c r="I43" cm="1">
        <f t="array" ref="I43">SUMPRODUCT((I22:I39&gt;0)*((I22:I39)-I40)^2)</f>
        <v>135.55830314265407</v>
      </c>
      <c r="J43" cm="1">
        <f t="array" ref="J43">SUMPRODUCT((J22:J39&gt;0)*((J22:J39)-J40)^2)</f>
        <v>834.10425548218427</v>
      </c>
      <c r="K43" cm="1">
        <f t="array" ref="K43">SUMPRODUCT((K22:K39&gt;0)*((K22:K39)-K40)^2)</f>
        <v>295.63154285235453</v>
      </c>
      <c r="L43" cm="1">
        <f t="array" ref="L43">SUMPRODUCT((L22:L39&gt;0)*((L22:L39)-L40)^2)</f>
        <v>319.6749703450435</v>
      </c>
      <c r="M43" cm="1">
        <f t="array" ref="M43">SUMPRODUCT((M22:M39&gt;0)*((M22:M39)-M40)^2)</f>
        <v>376.59623995992308</v>
      </c>
      <c r="N43" cm="1">
        <f t="array" ref="N43">SUMPRODUCT((N22:N39&gt;0)*((N22:N39)-N40)^2)</f>
        <v>274.50280817233175</v>
      </c>
      <c r="O43" cm="1">
        <f t="array" ref="O43">SUMPRODUCT((O22:O39&gt;0)*((O22:O39)-O40)^2)</f>
        <v>424.8532367514614</v>
      </c>
      <c r="P43" cm="1">
        <f t="array" ref="P43">SUMPRODUCT((P22:P39&gt;0)*((P22:P39)-P40)^2)</f>
        <v>428.57216521827377</v>
      </c>
      <c r="Q43" cm="1">
        <f t="array" ref="Q43">SUMPRODUCT((Q22:Q39&gt;0)*((Q22:Q39)-Q40)^2)</f>
        <v>428.4629678235425</v>
      </c>
      <c r="R43" cm="1">
        <f t="array" ref="R43">SUMPRODUCT((R22:R39&gt;0)*((R22:R39)-R40)^2)</f>
        <v>438.56003174773679</v>
      </c>
      <c r="S43" cm="1">
        <f t="array" ref="S43">SUMPRODUCT((S22:S39&gt;0)*((S22:S39)-S40)^2)</f>
        <v>182.50184691072477</v>
      </c>
      <c r="T43" cm="1">
        <f t="array" ref="T43">SUMPRODUCT((T22:T39&gt;0)*((T22:T39)-T40)^2)</f>
        <v>85.110129244343312</v>
      </c>
      <c r="U43" cm="1">
        <f t="array" ref="U43">SUMPRODUCT((U22:U39&gt;0)*((U22:U39)-U40)^2)</f>
        <v>258.55621229056698</v>
      </c>
      <c r="V43" cm="1">
        <f t="array" ref="V43">SUMPRODUCT((V22:V39&gt;0)*((V22:V39)-V40)^2)</f>
        <v>249.65258034298506</v>
      </c>
      <c r="W43" cm="1">
        <f t="array" ref="W43">SUMPRODUCT((W22:W39&gt;0)*((W22:W39)-W40)^2)</f>
        <v>523.55078473392734</v>
      </c>
      <c r="X43" cm="1">
        <f t="array" ref="X43">SUMPRODUCT((X22:X39&gt;0)*((X22:X39)-X40)^2)</f>
        <v>307.85822174194004</v>
      </c>
      <c r="Y43" cm="1">
        <f t="array" ref="Y43">SUMPRODUCT((Y22:Y39&gt;0)*((Y22:Y39)-Y40)^2)</f>
        <v>325.26451079344633</v>
      </c>
      <c r="Z43" s="134">
        <f>SUM(H43:Y43)</f>
        <v>6004.4199046699596</v>
      </c>
    </row>
    <row r="45" spans="1:26" x14ac:dyDescent="0.25">
      <c r="H45" s="145" t="s">
        <v>231</v>
      </c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</row>
    <row r="46" spans="1:26" x14ac:dyDescent="0.25">
      <c r="H46" s="37" t="s">
        <v>195</v>
      </c>
      <c r="I46" t="s">
        <v>196</v>
      </c>
      <c r="J46" t="s">
        <v>197</v>
      </c>
      <c r="K46" s="37" t="s">
        <v>198</v>
      </c>
      <c r="L46" t="s">
        <v>222</v>
      </c>
      <c r="M46" t="s">
        <v>223</v>
      </c>
      <c r="N46" s="37" t="s">
        <v>201</v>
      </c>
      <c r="O46" s="26" t="s">
        <v>202</v>
      </c>
      <c r="P46" s="26" t="s">
        <v>203</v>
      </c>
      <c r="Q46" s="125" t="s">
        <v>204</v>
      </c>
      <c r="R46" s="17" t="s">
        <v>205</v>
      </c>
      <c r="S46" s="17" t="s">
        <v>206</v>
      </c>
      <c r="T46" s="37" t="s">
        <v>32</v>
      </c>
      <c r="U46" s="26" t="s">
        <v>100</v>
      </c>
      <c r="V46" s="26" t="s">
        <v>101</v>
      </c>
      <c r="W46" s="37" t="s">
        <v>207</v>
      </c>
      <c r="X46" s="26" t="s">
        <v>208</v>
      </c>
      <c r="Y46" s="26" t="s">
        <v>209</v>
      </c>
    </row>
    <row r="47" spans="1:26" x14ac:dyDescent="0.25">
      <c r="G47">
        <v>1</v>
      </c>
      <c r="H47" s="37">
        <f>IF(A2=1,$E22,0)</f>
        <v>1988.3333333333333</v>
      </c>
      <c r="I47">
        <f>IF(A2=2,$E22,0)</f>
        <v>0</v>
      </c>
      <c r="J47">
        <f>IF(A2=3,$E22,0)</f>
        <v>0</v>
      </c>
      <c r="K47" s="37">
        <f>IF($B2=1,$E22,0)</f>
        <v>1988.3333333333333</v>
      </c>
      <c r="L47">
        <f>IF($B2=2,$E22,0)</f>
        <v>0</v>
      </c>
      <c r="M47">
        <f>IF($B2=3,$E22,0)</f>
        <v>0</v>
      </c>
      <c r="N47" s="37">
        <f>IF($C2=1,$E22,0)</f>
        <v>1988.3333333333333</v>
      </c>
      <c r="O47">
        <f>IF($C2=2,$E22,0)</f>
        <v>0</v>
      </c>
      <c r="P47">
        <f>IF($C2=3,$E22,0)</f>
        <v>0</v>
      </c>
      <c r="Q47" s="37">
        <f>IF($D2=2,$E22,0)</f>
        <v>0</v>
      </c>
      <c r="R47">
        <f t="shared" ref="R47" si="33">IF($D2=1,$E22,0)</f>
        <v>1988.3333333333333</v>
      </c>
      <c r="S47">
        <f>IF($D2=3,$E22,0)</f>
        <v>0</v>
      </c>
      <c r="T47" s="37">
        <f>IF($E2=1,$E22,0)</f>
        <v>1988.3333333333333</v>
      </c>
      <c r="U47">
        <f>IF($E2=2,$E22,0)</f>
        <v>0</v>
      </c>
      <c r="V47">
        <f>IF($E2=3,$E22,0)</f>
        <v>0</v>
      </c>
      <c r="W47" s="37">
        <f>IF($F2=1,$E22,0)</f>
        <v>1988.3333333333333</v>
      </c>
      <c r="X47">
        <f>IF($F2=2,$E22,0)</f>
        <v>0</v>
      </c>
      <c r="Y47">
        <f>IF($F2=3,$E22,0)</f>
        <v>0</v>
      </c>
    </row>
    <row r="48" spans="1:26" x14ac:dyDescent="0.25">
      <c r="G48">
        <v>2</v>
      </c>
      <c r="H48" s="37">
        <f t="shared" ref="H48:H64" si="34">IF(A3=1,E23,0)</f>
        <v>5269.333333333333</v>
      </c>
      <c r="I48">
        <f t="shared" ref="I48:I64" si="35">IF(A3=2,$E23,0)</f>
        <v>0</v>
      </c>
      <c r="J48">
        <f t="shared" ref="J48:J64" si="36">IF(A3=3,$E23,0)</f>
        <v>0</v>
      </c>
      <c r="K48" s="37">
        <f t="shared" ref="K48:K64" si="37">IF($B3=1,$E23,0)</f>
        <v>0</v>
      </c>
      <c r="L48">
        <f t="shared" ref="L48:L64" si="38">IF($B3=2,$E23,0)</f>
        <v>5269.333333333333</v>
      </c>
      <c r="M48">
        <f t="shared" ref="M48:M64" si="39">IF($B3=3,$E23,0)</f>
        <v>0</v>
      </c>
      <c r="N48" s="37">
        <f t="shared" ref="N48:N64" si="40">IF($C3=1,$E23,0)</f>
        <v>0</v>
      </c>
      <c r="O48">
        <f t="shared" ref="O48:O64" si="41">IF($C3=2,$E23,0)</f>
        <v>5269.333333333333</v>
      </c>
      <c r="P48">
        <f t="shared" ref="P48:P64" si="42">IF($C3=3,$E23,0)</f>
        <v>0</v>
      </c>
      <c r="Q48" s="37">
        <f t="shared" ref="Q48:Q64" si="43">IF($D3=2,$E23,0)</f>
        <v>5269.333333333333</v>
      </c>
      <c r="R48">
        <f t="shared" ref="R48" si="44">IF($D3=1,$E23,0)</f>
        <v>0</v>
      </c>
      <c r="S48">
        <f t="shared" ref="S48:S64" si="45">IF($D3=3,$E23,0)</f>
        <v>0</v>
      </c>
      <c r="T48" s="37">
        <f t="shared" ref="T48:T64" si="46">IF($E3=1,$E23,0)</f>
        <v>0</v>
      </c>
      <c r="U48">
        <f t="shared" ref="U48:U64" si="47">IF($E3=2,$E23,0)</f>
        <v>5269.333333333333</v>
      </c>
      <c r="V48">
        <f t="shared" ref="V48:V64" si="48">IF($E3=3,$E23,0)</f>
        <v>0</v>
      </c>
      <c r="W48" s="37">
        <f t="shared" ref="W48:W64" si="49">IF($F3=1,$E23,0)</f>
        <v>0</v>
      </c>
      <c r="X48">
        <f t="shared" ref="X48:X64" si="50">IF($F3=2,$E23,0)</f>
        <v>5269.333333333333</v>
      </c>
      <c r="Y48">
        <f t="shared" ref="Y48:Y64" si="51">IF($F3=3,$E23,0)</f>
        <v>0</v>
      </c>
    </row>
    <row r="49" spans="7:26" x14ac:dyDescent="0.25">
      <c r="G49">
        <v>3</v>
      </c>
      <c r="H49" s="37">
        <f t="shared" si="34"/>
        <v>5919</v>
      </c>
      <c r="I49">
        <f t="shared" si="35"/>
        <v>0</v>
      </c>
      <c r="J49">
        <f t="shared" si="36"/>
        <v>0</v>
      </c>
      <c r="K49" s="37">
        <f t="shared" si="37"/>
        <v>0</v>
      </c>
      <c r="L49">
        <f t="shared" si="38"/>
        <v>0</v>
      </c>
      <c r="M49">
        <f t="shared" si="39"/>
        <v>5919</v>
      </c>
      <c r="N49" s="37">
        <f t="shared" si="40"/>
        <v>0</v>
      </c>
      <c r="O49">
        <f t="shared" si="41"/>
        <v>0</v>
      </c>
      <c r="P49">
        <f t="shared" si="42"/>
        <v>5919</v>
      </c>
      <c r="Q49" s="37">
        <f t="shared" si="43"/>
        <v>0</v>
      </c>
      <c r="R49">
        <f t="shared" ref="R49" si="52">IF($D4=1,$E24,0)</f>
        <v>0</v>
      </c>
      <c r="S49">
        <f t="shared" si="45"/>
        <v>5919</v>
      </c>
      <c r="T49" s="37">
        <f t="shared" si="46"/>
        <v>0</v>
      </c>
      <c r="U49">
        <f t="shared" si="47"/>
        <v>0</v>
      </c>
      <c r="V49">
        <f t="shared" si="48"/>
        <v>5919</v>
      </c>
      <c r="W49" s="37">
        <f t="shared" si="49"/>
        <v>0</v>
      </c>
      <c r="X49">
        <f t="shared" si="50"/>
        <v>0</v>
      </c>
      <c r="Y49">
        <f t="shared" si="51"/>
        <v>5919</v>
      </c>
    </row>
    <row r="50" spans="7:26" x14ac:dyDescent="0.25">
      <c r="G50">
        <v>4</v>
      </c>
      <c r="H50" s="37">
        <f t="shared" si="34"/>
        <v>0</v>
      </c>
      <c r="I50">
        <f t="shared" si="35"/>
        <v>2108.6666666666665</v>
      </c>
      <c r="J50">
        <f t="shared" si="36"/>
        <v>0</v>
      </c>
      <c r="K50" s="37">
        <f t="shared" si="37"/>
        <v>2108.6666666666665</v>
      </c>
      <c r="L50">
        <f t="shared" si="38"/>
        <v>0</v>
      </c>
      <c r="M50">
        <f t="shared" si="39"/>
        <v>0</v>
      </c>
      <c r="N50" s="37">
        <f t="shared" si="40"/>
        <v>2108.6666666666665</v>
      </c>
      <c r="O50">
        <f t="shared" si="41"/>
        <v>0</v>
      </c>
      <c r="P50">
        <f t="shared" si="42"/>
        <v>0</v>
      </c>
      <c r="Q50" s="37">
        <f t="shared" si="43"/>
        <v>2108.6666666666665</v>
      </c>
      <c r="R50">
        <f t="shared" ref="R50" si="53">IF($D5=1,$E25,0)</f>
        <v>0</v>
      </c>
      <c r="S50">
        <f t="shared" si="45"/>
        <v>0</v>
      </c>
      <c r="T50" s="37">
        <f t="shared" si="46"/>
        <v>0</v>
      </c>
      <c r="U50">
        <f t="shared" si="47"/>
        <v>2108.6666666666665</v>
      </c>
      <c r="V50">
        <f t="shared" si="48"/>
        <v>0</v>
      </c>
      <c r="W50" s="37">
        <f t="shared" si="49"/>
        <v>0</v>
      </c>
      <c r="X50">
        <f t="shared" si="50"/>
        <v>0</v>
      </c>
      <c r="Y50">
        <f t="shared" si="51"/>
        <v>2108.6666666666665</v>
      </c>
    </row>
    <row r="51" spans="7:26" x14ac:dyDescent="0.25">
      <c r="G51">
        <v>5</v>
      </c>
      <c r="H51" s="37">
        <f t="shared" si="34"/>
        <v>0</v>
      </c>
      <c r="I51">
        <f t="shared" si="35"/>
        <v>4142.666666666667</v>
      </c>
      <c r="J51">
        <f t="shared" si="36"/>
        <v>0</v>
      </c>
      <c r="K51" s="37">
        <f t="shared" si="37"/>
        <v>0</v>
      </c>
      <c r="L51">
        <f t="shared" si="38"/>
        <v>4142.666666666667</v>
      </c>
      <c r="M51">
        <f t="shared" si="39"/>
        <v>0</v>
      </c>
      <c r="N51" s="37">
        <f t="shared" si="40"/>
        <v>0</v>
      </c>
      <c r="O51">
        <f t="shared" si="41"/>
        <v>4142.666666666667</v>
      </c>
      <c r="P51">
        <f t="shared" si="42"/>
        <v>0</v>
      </c>
      <c r="Q51" s="37">
        <f t="shared" si="43"/>
        <v>0</v>
      </c>
      <c r="R51">
        <f t="shared" ref="R51" si="54">IF($D6=1,$E26,0)</f>
        <v>0</v>
      </c>
      <c r="S51">
        <f t="shared" si="45"/>
        <v>4142.666666666667</v>
      </c>
      <c r="T51" s="37">
        <f t="shared" si="46"/>
        <v>0</v>
      </c>
      <c r="U51">
        <f t="shared" si="47"/>
        <v>0</v>
      </c>
      <c r="V51">
        <f t="shared" si="48"/>
        <v>4142.666666666667</v>
      </c>
      <c r="W51" s="37">
        <f t="shared" si="49"/>
        <v>4142.666666666667</v>
      </c>
      <c r="X51">
        <f t="shared" si="50"/>
        <v>0</v>
      </c>
      <c r="Y51">
        <f t="shared" si="51"/>
        <v>0</v>
      </c>
    </row>
    <row r="52" spans="7:26" x14ac:dyDescent="0.25">
      <c r="G52">
        <v>6</v>
      </c>
      <c r="H52" s="37">
        <f t="shared" si="34"/>
        <v>0</v>
      </c>
      <c r="I52">
        <f t="shared" si="35"/>
        <v>2955.6666666666665</v>
      </c>
      <c r="J52">
        <f t="shared" si="36"/>
        <v>0</v>
      </c>
      <c r="K52" s="37">
        <f t="shared" si="37"/>
        <v>0</v>
      </c>
      <c r="L52">
        <f t="shared" si="38"/>
        <v>0</v>
      </c>
      <c r="M52">
        <f t="shared" si="39"/>
        <v>2955.6666666666665</v>
      </c>
      <c r="N52" s="37">
        <f t="shared" si="40"/>
        <v>0</v>
      </c>
      <c r="O52">
        <f t="shared" si="41"/>
        <v>0</v>
      </c>
      <c r="P52">
        <f t="shared" si="42"/>
        <v>2955.6666666666665</v>
      </c>
      <c r="Q52" s="37">
        <f t="shared" si="43"/>
        <v>0</v>
      </c>
      <c r="R52">
        <f t="shared" ref="R52" si="55">IF($D7=1,$E27,0)</f>
        <v>2955.6666666666665</v>
      </c>
      <c r="S52">
        <f t="shared" si="45"/>
        <v>0</v>
      </c>
      <c r="T52" s="37">
        <f t="shared" si="46"/>
        <v>2955.6666666666665</v>
      </c>
      <c r="U52">
        <f t="shared" si="47"/>
        <v>0</v>
      </c>
      <c r="V52">
        <f t="shared" si="48"/>
        <v>0</v>
      </c>
      <c r="W52" s="37">
        <f t="shared" si="49"/>
        <v>0</v>
      </c>
      <c r="X52">
        <f t="shared" si="50"/>
        <v>2955.6666666666665</v>
      </c>
      <c r="Y52">
        <f t="shared" si="51"/>
        <v>0</v>
      </c>
    </row>
    <row r="53" spans="7:26" x14ac:dyDescent="0.25">
      <c r="G53">
        <v>7</v>
      </c>
      <c r="H53" s="37">
        <f t="shared" si="34"/>
        <v>0</v>
      </c>
      <c r="I53">
        <f t="shared" si="35"/>
        <v>0</v>
      </c>
      <c r="J53">
        <f t="shared" si="36"/>
        <v>3033.3333333333335</v>
      </c>
      <c r="K53" s="37">
        <f t="shared" si="37"/>
        <v>3033.3333333333335</v>
      </c>
      <c r="L53">
        <f t="shared" si="38"/>
        <v>0</v>
      </c>
      <c r="M53">
        <f t="shared" si="39"/>
        <v>0</v>
      </c>
      <c r="N53" s="37">
        <f t="shared" si="40"/>
        <v>0</v>
      </c>
      <c r="O53">
        <f t="shared" si="41"/>
        <v>3033.3333333333335</v>
      </c>
      <c r="P53">
        <f t="shared" si="42"/>
        <v>0</v>
      </c>
      <c r="Q53" s="37">
        <f t="shared" si="43"/>
        <v>0</v>
      </c>
      <c r="R53">
        <f t="shared" ref="R53" si="56">IF($D8=1,$E28,0)</f>
        <v>3033.3333333333335</v>
      </c>
      <c r="S53">
        <f t="shared" si="45"/>
        <v>0</v>
      </c>
      <c r="T53" s="37">
        <f t="shared" si="46"/>
        <v>0</v>
      </c>
      <c r="U53">
        <f t="shared" si="47"/>
        <v>0</v>
      </c>
      <c r="V53">
        <f t="shared" si="48"/>
        <v>3033.3333333333335</v>
      </c>
      <c r="W53" s="37">
        <f t="shared" si="49"/>
        <v>0</v>
      </c>
      <c r="X53">
        <f t="shared" si="50"/>
        <v>0</v>
      </c>
      <c r="Y53">
        <f t="shared" si="51"/>
        <v>3033.3333333333335</v>
      </c>
    </row>
    <row r="54" spans="7:26" x14ac:dyDescent="0.25">
      <c r="G54">
        <v>8</v>
      </c>
      <c r="H54" s="37">
        <f t="shared" si="34"/>
        <v>0</v>
      </c>
      <c r="I54">
        <f t="shared" si="35"/>
        <v>0</v>
      </c>
      <c r="J54">
        <f t="shared" si="36"/>
        <v>4505</v>
      </c>
      <c r="K54" s="37">
        <f t="shared" si="37"/>
        <v>0</v>
      </c>
      <c r="L54">
        <f t="shared" si="38"/>
        <v>4505</v>
      </c>
      <c r="M54">
        <f t="shared" si="39"/>
        <v>0</v>
      </c>
      <c r="N54" s="37">
        <f t="shared" si="40"/>
        <v>0</v>
      </c>
      <c r="O54">
        <f t="shared" si="41"/>
        <v>0</v>
      </c>
      <c r="P54">
        <f t="shared" si="42"/>
        <v>4505</v>
      </c>
      <c r="Q54" s="37">
        <f t="shared" si="43"/>
        <v>4505</v>
      </c>
      <c r="R54">
        <f t="shared" ref="R54" si="57">IF($D9=1,$E29,0)</f>
        <v>0</v>
      </c>
      <c r="S54">
        <f t="shared" si="45"/>
        <v>0</v>
      </c>
      <c r="T54" s="37">
        <f t="shared" si="46"/>
        <v>4505</v>
      </c>
      <c r="U54">
        <f t="shared" si="47"/>
        <v>0</v>
      </c>
      <c r="V54">
        <f t="shared" si="48"/>
        <v>0</v>
      </c>
      <c r="W54" s="37">
        <f t="shared" si="49"/>
        <v>4505</v>
      </c>
      <c r="X54">
        <f t="shared" si="50"/>
        <v>0</v>
      </c>
      <c r="Y54">
        <f t="shared" si="51"/>
        <v>0</v>
      </c>
    </row>
    <row r="55" spans="7:26" x14ac:dyDescent="0.25">
      <c r="G55">
        <v>9</v>
      </c>
      <c r="H55" s="37">
        <f t="shared" si="34"/>
        <v>0</v>
      </c>
      <c r="I55">
        <f t="shared" si="35"/>
        <v>0</v>
      </c>
      <c r="J55">
        <f t="shared" si="36"/>
        <v>3843.6666666666665</v>
      </c>
      <c r="K55" s="37">
        <f t="shared" si="37"/>
        <v>0</v>
      </c>
      <c r="L55">
        <f t="shared" si="38"/>
        <v>0</v>
      </c>
      <c r="M55">
        <f t="shared" si="39"/>
        <v>3843.6666666666665</v>
      </c>
      <c r="N55" s="37">
        <f t="shared" si="40"/>
        <v>3843.6666666666665</v>
      </c>
      <c r="O55">
        <f t="shared" si="41"/>
        <v>0</v>
      </c>
      <c r="P55">
        <f t="shared" si="42"/>
        <v>0</v>
      </c>
      <c r="Q55" s="37">
        <f t="shared" si="43"/>
        <v>0</v>
      </c>
      <c r="R55">
        <f t="shared" ref="R55" si="58">IF($D10=1,$E30,0)</f>
        <v>0</v>
      </c>
      <c r="S55">
        <f t="shared" si="45"/>
        <v>3843.6666666666665</v>
      </c>
      <c r="T55" s="37">
        <f t="shared" si="46"/>
        <v>0</v>
      </c>
      <c r="U55">
        <f t="shared" si="47"/>
        <v>3843.6666666666665</v>
      </c>
      <c r="V55">
        <f t="shared" si="48"/>
        <v>0</v>
      </c>
      <c r="W55" s="37">
        <f t="shared" si="49"/>
        <v>0</v>
      </c>
      <c r="X55">
        <f t="shared" si="50"/>
        <v>3843.6666666666665</v>
      </c>
      <c r="Y55">
        <f t="shared" si="51"/>
        <v>0</v>
      </c>
    </row>
    <row r="56" spans="7:26" x14ac:dyDescent="0.25">
      <c r="G56">
        <v>10</v>
      </c>
      <c r="H56" s="37">
        <f t="shared" si="34"/>
        <v>3224.6666666666665</v>
      </c>
      <c r="I56">
        <f t="shared" si="35"/>
        <v>0</v>
      </c>
      <c r="J56">
        <f t="shared" si="36"/>
        <v>0</v>
      </c>
      <c r="K56" s="37">
        <f t="shared" si="37"/>
        <v>3224.6666666666665</v>
      </c>
      <c r="L56">
        <f t="shared" si="38"/>
        <v>0</v>
      </c>
      <c r="M56">
        <f t="shared" si="39"/>
        <v>0</v>
      </c>
      <c r="N56" s="37">
        <f t="shared" si="40"/>
        <v>0</v>
      </c>
      <c r="O56">
        <f t="shared" si="41"/>
        <v>0</v>
      </c>
      <c r="P56">
        <f t="shared" si="42"/>
        <v>3224.6666666666665</v>
      </c>
      <c r="Q56" s="37">
        <f t="shared" si="43"/>
        <v>0</v>
      </c>
      <c r="R56">
        <f t="shared" ref="R56" si="59">IF($D11=1,$E31,0)</f>
        <v>0</v>
      </c>
      <c r="S56">
        <f t="shared" si="45"/>
        <v>3224.6666666666665</v>
      </c>
      <c r="T56" s="37">
        <f t="shared" si="46"/>
        <v>0</v>
      </c>
      <c r="U56">
        <f t="shared" si="47"/>
        <v>3224.6666666666665</v>
      </c>
      <c r="V56">
        <f t="shared" si="48"/>
        <v>0</v>
      </c>
      <c r="W56" s="37">
        <f t="shared" si="49"/>
        <v>3224.6666666666665</v>
      </c>
      <c r="X56">
        <f t="shared" si="50"/>
        <v>0</v>
      </c>
      <c r="Y56">
        <f t="shared" si="51"/>
        <v>0</v>
      </c>
    </row>
    <row r="57" spans="7:26" x14ac:dyDescent="0.25">
      <c r="G57">
        <v>11</v>
      </c>
      <c r="H57" s="37">
        <f t="shared" si="34"/>
        <v>2506.3333333333335</v>
      </c>
      <c r="I57">
        <f t="shared" si="35"/>
        <v>0</v>
      </c>
      <c r="J57">
        <f t="shared" si="36"/>
        <v>0</v>
      </c>
      <c r="K57" s="37">
        <f t="shared" si="37"/>
        <v>0</v>
      </c>
      <c r="L57">
        <f t="shared" si="38"/>
        <v>2506.3333333333335</v>
      </c>
      <c r="M57">
        <f t="shared" si="39"/>
        <v>0</v>
      </c>
      <c r="N57" s="37">
        <f t="shared" si="40"/>
        <v>2506.3333333333335</v>
      </c>
      <c r="O57">
        <f t="shared" si="41"/>
        <v>0</v>
      </c>
      <c r="P57">
        <f t="shared" si="42"/>
        <v>0</v>
      </c>
      <c r="Q57" s="37">
        <f t="shared" si="43"/>
        <v>0</v>
      </c>
      <c r="R57">
        <f t="shared" ref="R57" si="60">IF($D12=1,$E32,0)</f>
        <v>2506.3333333333335</v>
      </c>
      <c r="S57">
        <f t="shared" si="45"/>
        <v>0</v>
      </c>
      <c r="T57" s="37">
        <f t="shared" si="46"/>
        <v>0</v>
      </c>
      <c r="U57">
        <f t="shared" si="47"/>
        <v>0</v>
      </c>
      <c r="V57">
        <f t="shared" si="48"/>
        <v>2506.3333333333335</v>
      </c>
      <c r="W57" s="37">
        <f t="shared" si="49"/>
        <v>0</v>
      </c>
      <c r="X57">
        <f t="shared" si="50"/>
        <v>2506.3333333333335</v>
      </c>
      <c r="Y57">
        <f t="shared" si="51"/>
        <v>0</v>
      </c>
    </row>
    <row r="58" spans="7:26" x14ac:dyDescent="0.25">
      <c r="G58">
        <v>12</v>
      </c>
      <c r="H58" s="37">
        <f t="shared" si="34"/>
        <v>5843.666666666667</v>
      </c>
      <c r="I58">
        <f t="shared" si="35"/>
        <v>0</v>
      </c>
      <c r="J58">
        <f t="shared" si="36"/>
        <v>0</v>
      </c>
      <c r="K58" s="37">
        <f t="shared" si="37"/>
        <v>0</v>
      </c>
      <c r="L58">
        <f t="shared" si="38"/>
        <v>0</v>
      </c>
      <c r="M58">
        <f t="shared" si="39"/>
        <v>5843.666666666667</v>
      </c>
      <c r="N58" s="37">
        <f t="shared" si="40"/>
        <v>0</v>
      </c>
      <c r="O58">
        <f t="shared" si="41"/>
        <v>5843.666666666667</v>
      </c>
      <c r="P58">
        <f t="shared" si="42"/>
        <v>0</v>
      </c>
      <c r="Q58" s="37">
        <f t="shared" si="43"/>
        <v>5843.666666666667</v>
      </c>
      <c r="R58">
        <f t="shared" ref="R58" si="61">IF($D13=1,$E33,0)</f>
        <v>0</v>
      </c>
      <c r="S58">
        <f t="shared" si="45"/>
        <v>0</v>
      </c>
      <c r="T58" s="37">
        <f t="shared" si="46"/>
        <v>5843.666666666667</v>
      </c>
      <c r="U58">
        <f t="shared" si="47"/>
        <v>0</v>
      </c>
      <c r="V58">
        <f t="shared" si="48"/>
        <v>0</v>
      </c>
      <c r="W58" s="37">
        <f t="shared" si="49"/>
        <v>0</v>
      </c>
      <c r="X58">
        <f t="shared" si="50"/>
        <v>0</v>
      </c>
      <c r="Y58">
        <f t="shared" si="51"/>
        <v>5843.666666666667</v>
      </c>
    </row>
    <row r="59" spans="7:26" x14ac:dyDescent="0.25">
      <c r="G59">
        <v>13</v>
      </c>
      <c r="H59" s="37">
        <f t="shared" si="34"/>
        <v>0</v>
      </c>
      <c r="I59">
        <f t="shared" si="35"/>
        <v>2753.3333333333335</v>
      </c>
      <c r="J59">
        <f t="shared" si="36"/>
        <v>0</v>
      </c>
      <c r="K59" s="37">
        <f t="shared" si="37"/>
        <v>2753.3333333333335</v>
      </c>
      <c r="L59">
        <f t="shared" si="38"/>
        <v>0</v>
      </c>
      <c r="M59">
        <f t="shared" si="39"/>
        <v>0</v>
      </c>
      <c r="N59" s="37">
        <f t="shared" si="40"/>
        <v>0</v>
      </c>
      <c r="O59">
        <f t="shared" si="41"/>
        <v>2753.3333333333335</v>
      </c>
      <c r="P59">
        <f t="shared" si="42"/>
        <v>0</v>
      </c>
      <c r="Q59" s="37">
        <f t="shared" si="43"/>
        <v>0</v>
      </c>
      <c r="R59">
        <f t="shared" ref="R59" si="62">IF($D14=1,$E34,0)</f>
        <v>0</v>
      </c>
      <c r="S59">
        <f t="shared" si="45"/>
        <v>2753.3333333333335</v>
      </c>
      <c r="T59" s="37">
        <f t="shared" si="46"/>
        <v>2753.3333333333335</v>
      </c>
      <c r="U59">
        <f t="shared" si="47"/>
        <v>0</v>
      </c>
      <c r="V59">
        <f t="shared" si="48"/>
        <v>0</v>
      </c>
      <c r="W59" s="37">
        <f t="shared" si="49"/>
        <v>0</v>
      </c>
      <c r="X59">
        <f t="shared" si="50"/>
        <v>2753.3333333333335</v>
      </c>
      <c r="Y59">
        <f t="shared" si="51"/>
        <v>0</v>
      </c>
    </row>
    <row r="60" spans="7:26" x14ac:dyDescent="0.25">
      <c r="G60">
        <v>14</v>
      </c>
      <c r="H60" s="37">
        <f t="shared" si="34"/>
        <v>0</v>
      </c>
      <c r="I60">
        <f t="shared" si="35"/>
        <v>2852.3333333333335</v>
      </c>
      <c r="J60">
        <f t="shared" si="36"/>
        <v>0</v>
      </c>
      <c r="K60" s="37">
        <f t="shared" si="37"/>
        <v>0</v>
      </c>
      <c r="L60">
        <f t="shared" si="38"/>
        <v>2852.3333333333335</v>
      </c>
      <c r="M60">
        <f t="shared" si="39"/>
        <v>0</v>
      </c>
      <c r="N60" s="37">
        <f t="shared" si="40"/>
        <v>0</v>
      </c>
      <c r="O60">
        <f t="shared" si="41"/>
        <v>0</v>
      </c>
      <c r="P60">
        <f t="shared" si="42"/>
        <v>2852.3333333333335</v>
      </c>
      <c r="Q60" s="37">
        <f t="shared" si="43"/>
        <v>0</v>
      </c>
      <c r="R60">
        <f t="shared" ref="R60" si="63">IF($D15=1,$E35,0)</f>
        <v>2852.3333333333335</v>
      </c>
      <c r="S60">
        <f t="shared" si="45"/>
        <v>0</v>
      </c>
      <c r="T60" s="37">
        <f t="shared" si="46"/>
        <v>0</v>
      </c>
      <c r="U60">
        <f t="shared" si="47"/>
        <v>2852.3333333333335</v>
      </c>
      <c r="V60">
        <f t="shared" si="48"/>
        <v>0</v>
      </c>
      <c r="W60" s="37">
        <f t="shared" si="49"/>
        <v>0</v>
      </c>
      <c r="X60">
        <f t="shared" si="50"/>
        <v>0</v>
      </c>
      <c r="Y60">
        <f t="shared" si="51"/>
        <v>2852.3333333333335</v>
      </c>
    </row>
    <row r="61" spans="7:26" x14ac:dyDescent="0.25">
      <c r="G61">
        <v>15</v>
      </c>
      <c r="H61" s="37">
        <f t="shared" si="34"/>
        <v>0</v>
      </c>
      <c r="I61">
        <f t="shared" si="35"/>
        <v>3163.6666666666665</v>
      </c>
      <c r="J61">
        <f t="shared" si="36"/>
        <v>0</v>
      </c>
      <c r="K61" s="37">
        <f t="shared" si="37"/>
        <v>0</v>
      </c>
      <c r="L61">
        <f t="shared" si="38"/>
        <v>0</v>
      </c>
      <c r="M61">
        <f t="shared" si="39"/>
        <v>3163.6666666666665</v>
      </c>
      <c r="N61" s="37">
        <f t="shared" si="40"/>
        <v>3163.6666666666665</v>
      </c>
      <c r="O61">
        <f t="shared" si="41"/>
        <v>0</v>
      </c>
      <c r="P61">
        <f t="shared" si="42"/>
        <v>0</v>
      </c>
      <c r="Q61" s="37">
        <f t="shared" si="43"/>
        <v>3163.6666666666665</v>
      </c>
      <c r="R61">
        <f t="shared" ref="R61" si="64">IF($D16=1,$E36,0)</f>
        <v>0</v>
      </c>
      <c r="S61">
        <f t="shared" si="45"/>
        <v>0</v>
      </c>
      <c r="T61" s="37">
        <f t="shared" si="46"/>
        <v>0</v>
      </c>
      <c r="U61">
        <f t="shared" si="47"/>
        <v>0</v>
      </c>
      <c r="V61">
        <f t="shared" si="48"/>
        <v>3163.6666666666665</v>
      </c>
      <c r="W61" s="37">
        <f t="shared" si="49"/>
        <v>3163.6666666666665</v>
      </c>
      <c r="X61">
        <f t="shared" si="50"/>
        <v>0</v>
      </c>
      <c r="Y61">
        <f t="shared" si="51"/>
        <v>0</v>
      </c>
    </row>
    <row r="62" spans="7:26" x14ac:dyDescent="0.25">
      <c r="G62">
        <v>16</v>
      </c>
      <c r="H62" s="37">
        <f t="shared" si="34"/>
        <v>0</v>
      </c>
      <c r="I62">
        <f t="shared" si="35"/>
        <v>0</v>
      </c>
      <c r="J62">
        <f t="shared" si="36"/>
        <v>3014.6666666666665</v>
      </c>
      <c r="K62" s="37">
        <f t="shared" si="37"/>
        <v>3014.6666666666665</v>
      </c>
      <c r="L62">
        <f t="shared" si="38"/>
        <v>0</v>
      </c>
      <c r="M62">
        <f t="shared" si="39"/>
        <v>0</v>
      </c>
      <c r="N62" s="37">
        <f t="shared" si="40"/>
        <v>0</v>
      </c>
      <c r="O62">
        <f t="shared" si="41"/>
        <v>0</v>
      </c>
      <c r="P62">
        <f t="shared" si="42"/>
        <v>3014.6666666666665</v>
      </c>
      <c r="Q62" s="37">
        <f t="shared" si="43"/>
        <v>3014.6666666666665</v>
      </c>
      <c r="R62">
        <f t="shared" ref="R62" si="65">IF($D17=1,$E37,0)</f>
        <v>0</v>
      </c>
      <c r="S62">
        <f t="shared" si="45"/>
        <v>0</v>
      </c>
      <c r="T62" s="37">
        <f t="shared" si="46"/>
        <v>0</v>
      </c>
      <c r="U62">
        <f t="shared" si="47"/>
        <v>0</v>
      </c>
      <c r="V62">
        <f t="shared" si="48"/>
        <v>3014.6666666666665</v>
      </c>
      <c r="W62" s="37">
        <f t="shared" si="49"/>
        <v>0</v>
      </c>
      <c r="X62">
        <f t="shared" si="50"/>
        <v>3014.6666666666665</v>
      </c>
      <c r="Y62">
        <f t="shared" si="51"/>
        <v>0</v>
      </c>
    </row>
    <row r="63" spans="7:26" x14ac:dyDescent="0.25">
      <c r="G63">
        <v>17</v>
      </c>
      <c r="H63" s="37">
        <f t="shared" si="34"/>
        <v>0</v>
      </c>
      <c r="I63">
        <f t="shared" si="35"/>
        <v>0</v>
      </c>
      <c r="J63">
        <f t="shared" si="36"/>
        <v>4139.666666666667</v>
      </c>
      <c r="K63" s="37">
        <f t="shared" si="37"/>
        <v>0</v>
      </c>
      <c r="L63">
        <f t="shared" si="38"/>
        <v>4139.666666666667</v>
      </c>
      <c r="M63">
        <f t="shared" si="39"/>
        <v>0</v>
      </c>
      <c r="N63" s="37">
        <f t="shared" si="40"/>
        <v>4139.666666666667</v>
      </c>
      <c r="O63">
        <f t="shared" si="41"/>
        <v>0</v>
      </c>
      <c r="P63">
        <f t="shared" si="42"/>
        <v>0</v>
      </c>
      <c r="Q63" s="37">
        <f t="shared" si="43"/>
        <v>0</v>
      </c>
      <c r="R63">
        <f t="shared" ref="R63" si="66">IF($D18=1,$E38,0)</f>
        <v>0</v>
      </c>
      <c r="S63">
        <f t="shared" si="45"/>
        <v>4139.666666666667</v>
      </c>
      <c r="T63" s="37">
        <f t="shared" si="46"/>
        <v>4139.666666666667</v>
      </c>
      <c r="U63">
        <f t="shared" si="47"/>
        <v>0</v>
      </c>
      <c r="V63">
        <f t="shared" si="48"/>
        <v>0</v>
      </c>
      <c r="W63" s="37">
        <f t="shared" si="49"/>
        <v>0</v>
      </c>
      <c r="X63">
        <f t="shared" si="50"/>
        <v>0</v>
      </c>
      <c r="Y63">
        <f t="shared" si="51"/>
        <v>4139.666666666667</v>
      </c>
    </row>
    <row r="64" spans="7:26" x14ac:dyDescent="0.25">
      <c r="G64">
        <v>18</v>
      </c>
      <c r="H64" s="37">
        <f t="shared" si="34"/>
        <v>0</v>
      </c>
      <c r="I64">
        <f t="shared" si="35"/>
        <v>0</v>
      </c>
      <c r="J64">
        <f t="shared" si="36"/>
        <v>3123.6666666666665</v>
      </c>
      <c r="K64" s="37">
        <f t="shared" si="37"/>
        <v>0</v>
      </c>
      <c r="L64">
        <f t="shared" si="38"/>
        <v>0</v>
      </c>
      <c r="M64">
        <f t="shared" si="39"/>
        <v>3123.6666666666665</v>
      </c>
      <c r="N64" s="37">
        <f t="shared" si="40"/>
        <v>0</v>
      </c>
      <c r="O64">
        <f t="shared" si="41"/>
        <v>3123.6666666666665</v>
      </c>
      <c r="P64">
        <f t="shared" si="42"/>
        <v>0</v>
      </c>
      <c r="Q64" s="37">
        <f t="shared" si="43"/>
        <v>0</v>
      </c>
      <c r="R64">
        <f t="shared" ref="R64" si="67">IF($D19=1,$E39,0)</f>
        <v>3123.6666666666665</v>
      </c>
      <c r="S64">
        <f t="shared" si="45"/>
        <v>0</v>
      </c>
      <c r="T64" s="37">
        <f t="shared" si="46"/>
        <v>0</v>
      </c>
      <c r="U64">
        <f t="shared" si="47"/>
        <v>3123.6666666666665</v>
      </c>
      <c r="V64">
        <f t="shared" si="48"/>
        <v>0</v>
      </c>
      <c r="W64" s="37">
        <f t="shared" si="49"/>
        <v>3123.6666666666665</v>
      </c>
      <c r="X64">
        <f t="shared" si="50"/>
        <v>0</v>
      </c>
      <c r="Y64">
        <f t="shared" si="51"/>
        <v>0</v>
      </c>
      <c r="Z64" s="37" t="s">
        <v>7</v>
      </c>
    </row>
    <row r="65" spans="7:26" x14ac:dyDescent="0.25">
      <c r="G65" t="s">
        <v>7</v>
      </c>
      <c r="H65" s="37">
        <f>SUM(H47:H64)/6</f>
        <v>4125.2222222222217</v>
      </c>
      <c r="I65" s="37">
        <f t="shared" ref="I65:Y65" si="68">SUM(I47:I64)/6</f>
        <v>2996.0555555555561</v>
      </c>
      <c r="J65" s="37">
        <f t="shared" si="68"/>
        <v>3610</v>
      </c>
      <c r="K65" s="37">
        <f t="shared" si="68"/>
        <v>2687.1666666666665</v>
      </c>
      <c r="L65" s="37">
        <f t="shared" si="68"/>
        <v>3902.5555555555552</v>
      </c>
      <c r="M65" s="37">
        <f t="shared" si="68"/>
        <v>4141.5555555555557</v>
      </c>
      <c r="N65" s="37">
        <f t="shared" si="68"/>
        <v>2958.3888888888887</v>
      </c>
      <c r="O65" s="37">
        <f t="shared" si="68"/>
        <v>4027.6666666666665</v>
      </c>
      <c r="P65" s="37">
        <f t="shared" si="68"/>
        <v>3745.2222222222222</v>
      </c>
      <c r="Q65" s="37">
        <f t="shared" si="68"/>
        <v>3984.1666666666674</v>
      </c>
      <c r="R65" s="37">
        <f t="shared" si="68"/>
        <v>2743.2777777777778</v>
      </c>
      <c r="S65" s="37">
        <f t="shared" si="68"/>
        <v>4003.8333333333335</v>
      </c>
      <c r="T65" s="37">
        <f t="shared" si="68"/>
        <v>3697.6111111111113</v>
      </c>
      <c r="U65" s="37">
        <f t="shared" si="68"/>
        <v>3403.7222222222222</v>
      </c>
      <c r="V65" s="37">
        <f t="shared" si="68"/>
        <v>3629.9444444444453</v>
      </c>
      <c r="W65" s="37">
        <f t="shared" si="68"/>
        <v>3358</v>
      </c>
      <c r="X65" s="37">
        <f t="shared" si="68"/>
        <v>3390.5</v>
      </c>
      <c r="Y65" s="37">
        <f t="shared" si="68"/>
        <v>3982.7777777777778</v>
      </c>
      <c r="Z65" s="37">
        <f>AVERAGE(H65:Y65)</f>
        <v>3577.0925925925931</v>
      </c>
    </row>
    <row r="66" spans="7:26" x14ac:dyDescent="0.25">
      <c r="H66" s="148" t="s">
        <v>224</v>
      </c>
      <c r="I66" s="148"/>
      <c r="J66" s="148"/>
      <c r="K66" s="152" t="s">
        <v>225</v>
      </c>
      <c r="L66" s="148"/>
      <c r="M66" s="148"/>
      <c r="N66" s="152" t="s">
        <v>226</v>
      </c>
      <c r="O66" s="148"/>
      <c r="P66" s="148"/>
      <c r="Q66" s="152" t="s">
        <v>227</v>
      </c>
      <c r="R66" s="148"/>
      <c r="S66" s="148"/>
      <c r="T66" s="152" t="s">
        <v>228</v>
      </c>
      <c r="U66" s="148"/>
      <c r="V66" s="148"/>
      <c r="W66" s="152" t="s">
        <v>229</v>
      </c>
      <c r="X66" s="148"/>
      <c r="Y66" s="148"/>
    </row>
    <row r="67" spans="7:26" x14ac:dyDescent="0.25">
      <c r="H67" s="155">
        <f>((H65-$Z$65)^2+(I65-$Z$65)^2+(J65-$Z$65)^2)*$F$41/3</f>
        <v>3834798.1604938204</v>
      </c>
      <c r="I67" s="156"/>
      <c r="J67" s="157"/>
      <c r="K67" s="155">
        <f t="shared" ref="K67" si="69">((K65-$Z$65)^2+(L65-$Z$65)^2+(M65-$Z$65)^2)*$F$41/3</f>
        <v>7299076.3827160513</v>
      </c>
      <c r="L67" s="156"/>
      <c r="M67" s="157"/>
      <c r="N67" s="155">
        <f t="shared" ref="N67" si="70">((N65-$Z$65)^2+(O65-$Z$65)^2+(P65-$Z$65)^2)*$F$41/3</f>
        <v>3684473.0493827169</v>
      </c>
      <c r="O67" s="156"/>
      <c r="P67" s="157"/>
      <c r="Q67" s="155">
        <f t="shared" ref="Q67" si="71">((Q65-$Z$65)^2+(R65-$Z$65)^2+(S65-$Z$65)^2)*$F$41/3</f>
        <v>6258384.6419753134</v>
      </c>
      <c r="R67" s="156"/>
      <c r="S67" s="157"/>
      <c r="T67" s="155">
        <f t="shared" ref="T67" si="72">((T65-$Z$65)^2+(U65-$Z$65)^2+(V65-$Z$65)^2)*$F$41/3</f>
        <v>284251.9012345688</v>
      </c>
      <c r="U67" s="156"/>
      <c r="V67" s="157"/>
      <c r="W67" s="155">
        <f t="shared" ref="W67" si="73">((W65-$Z$65)^2+(X65-$Z$65)^2+(Y65-$Z$65)^2)*$F$41/3</f>
        <v>1484392.9753086425</v>
      </c>
      <c r="X67" s="156"/>
      <c r="Y67" s="157"/>
      <c r="Z67" t="s">
        <v>230</v>
      </c>
    </row>
    <row r="68" spans="7:26" x14ac:dyDescent="0.25">
      <c r="H68" cm="1">
        <f t="array" ref="H68">SUMPRODUCT((H47:H64&gt;0)*((H47:H64)-H65)^2)</f>
        <v>15477775.925925925</v>
      </c>
      <c r="I68" cm="1">
        <f t="array" ref="I68">SUMPRODUCT((I47:I64&gt;0)*((I47:I64)-I65)^2)</f>
        <v>2211470.9814814823</v>
      </c>
      <c r="J68" cm="1">
        <f t="array" ref="J68">SUMPRODUCT((J47:J64&gt;0)*((J47:J64)-J65)^2)</f>
        <v>2059658.2222222227</v>
      </c>
      <c r="K68" cm="1">
        <f t="array" ref="K68">SUMPRODUCT((K47:K64&gt;0)*((K47:K64)-K65)^2)</f>
        <v>1343402.1666666667</v>
      </c>
      <c r="L68" cm="1">
        <f t="array" ref="L68">SUMPRODUCT((L47:L64&gt;0)*((L47:L64)-L65)^2)</f>
        <v>5397299.0370370355</v>
      </c>
      <c r="M68" cm="1">
        <f t="array" ref="M68">SUMPRODUCT((M47:M64&gt;0)*((M47:M64)-M65)^2)</f>
        <v>9543925.7037037052</v>
      </c>
      <c r="N68" cm="1">
        <f t="array" ref="N68">SUMPRODUCT((N47:N64&gt;0)*((N47:N64)-N65)^2)</f>
        <v>4088662.7592592603</v>
      </c>
      <c r="O68" cm="1">
        <f t="array" ref="O68">SUMPRODUCT((O47:O64&gt;0)*((O47:O64)-O65)^2)</f>
        <v>8282657.333333334</v>
      </c>
      <c r="P68" cm="1">
        <f t="array" ref="P68">SUMPRODUCT((P47:P64&gt;0)*((P47:P64)-P65)^2)</f>
        <v>7527910.1481481483</v>
      </c>
      <c r="Q68" cm="1">
        <f t="array" ref="Q68">SUMPRODUCT((Q47:Q64&gt;0)*((Q47:Q64)-Q65)^2)</f>
        <v>10511311.722222224</v>
      </c>
      <c r="R68" cm="1">
        <f t="array" ref="R68">SUMPRODUCT((R47:R64&gt;0)*((R47:R64)-R65)^2)</f>
        <v>911913.87037037034</v>
      </c>
      <c r="S68" cm="1">
        <f t="array" ref="S68">SUMPRODUCT((S47:S64&gt;0)*((S47:S64)-S65)^2)</f>
        <v>5902093.055555555</v>
      </c>
      <c r="T68" cm="1">
        <f t="array" ref="T68">SUMPRODUCT((T47:T64&gt;0)*((T47:T64)-T65)^2)</f>
        <v>9816616.9814814851</v>
      </c>
      <c r="U68" cm="1">
        <f t="array" ref="U68">SUMPRODUCT((U47:U64&gt;0)*((U47:U64)-U65)^2)</f>
        <v>5765746.5370370364</v>
      </c>
      <c r="V68" cm="1">
        <f t="array" ref="V68">SUMPRODUCT((V47:V64&gt;0)*((V47:V64)-V65)^2)</f>
        <v>7717087.8703703694</v>
      </c>
      <c r="W68" cm="1">
        <f t="array" ref="W68">SUMPRODUCT((W47:W64&gt;0)*((W47:W64)-W65)^2)</f>
        <v>3917752.8888888895</v>
      </c>
      <c r="X68" cm="1">
        <f t="array" ref="X68">SUMPRODUCT((X47:X64&gt;0)*((X47:X64)-X65)^2)</f>
        <v>5253437.4999999991</v>
      </c>
      <c r="Y68" cm="1">
        <f t="array" ref="Y68">SUMPRODUCT((Y47:Y64&gt;0)*((Y47:Y64)-Y65)^2)</f>
        <v>12928119.925925927</v>
      </c>
      <c r="Z68" s="58">
        <f>SUM(H68:Y68)</f>
        <v>118656842.62962966</v>
      </c>
    </row>
    <row r="69" spans="7:26" x14ac:dyDescent="0.25">
      <c r="H69" s="37"/>
      <c r="K69" s="37"/>
      <c r="N69" s="37"/>
      <c r="Q69" s="37"/>
      <c r="T69" s="37"/>
      <c r="W69" s="37"/>
    </row>
    <row r="70" spans="7:26" x14ac:dyDescent="0.25">
      <c r="H70" s="37"/>
      <c r="K70" s="37"/>
      <c r="N70" s="37"/>
      <c r="Q70" s="37"/>
      <c r="T70" s="37"/>
      <c r="W70" s="37"/>
    </row>
    <row r="71" spans="7:26" x14ac:dyDescent="0.25">
      <c r="H71" s="37"/>
      <c r="K71" s="37"/>
      <c r="N71" s="37"/>
      <c r="Q71" s="37"/>
      <c r="T71" s="37"/>
      <c r="W71" s="37"/>
    </row>
  </sheetData>
  <mergeCells count="27">
    <mergeCell ref="W67:Y67"/>
    <mergeCell ref="H67:J67"/>
    <mergeCell ref="K67:M67"/>
    <mergeCell ref="N67:P67"/>
    <mergeCell ref="Q67:S67"/>
    <mergeCell ref="T67:V67"/>
    <mergeCell ref="H45:Y45"/>
    <mergeCell ref="H66:J66"/>
    <mergeCell ref="K66:M66"/>
    <mergeCell ref="N66:P66"/>
    <mergeCell ref="Q66:S66"/>
    <mergeCell ref="T66:V66"/>
    <mergeCell ref="W66:Y66"/>
    <mergeCell ref="A20:G20"/>
    <mergeCell ref="H41:J41"/>
    <mergeCell ref="K41:M41"/>
    <mergeCell ref="N41:P41"/>
    <mergeCell ref="Q41:S41"/>
    <mergeCell ref="H20:Y20"/>
    <mergeCell ref="W41:Y41"/>
    <mergeCell ref="W42:Y42"/>
    <mergeCell ref="T41:V41"/>
    <mergeCell ref="H42:J42"/>
    <mergeCell ref="K42:M42"/>
    <mergeCell ref="N42:P42"/>
    <mergeCell ref="Q42:S42"/>
    <mergeCell ref="T42:V42"/>
  </mergeCells>
  <phoneticPr fontId="1" type="noConversion"/>
  <conditionalFormatting sqref="M3:M8">
    <cfRule type="cellIs" dxfId="1" priority="2" operator="greaterThan">
      <formula>$N$3</formula>
    </cfRule>
  </conditionalFormatting>
  <conditionalFormatting sqref="T3:T8">
    <cfRule type="cellIs" dxfId="0" priority="1" operator="greaterThan">
      <formula>$U$3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793D-0401-43D8-8F7C-86CB9932ECDE}">
  <dimension ref="A1:Z82"/>
  <sheetViews>
    <sheetView topLeftCell="A46" zoomScale="70" zoomScaleNormal="70" workbookViewId="0">
      <selection activeCell="B75" sqref="B75:D75"/>
    </sheetView>
  </sheetViews>
  <sheetFormatPr defaultRowHeight="16.5" x14ac:dyDescent="0.25"/>
  <sheetData>
    <row r="1" spans="1:6" x14ac:dyDescent="0.25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132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5">
      <c r="A4">
        <v>1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25">
      <c r="A5">
        <v>2</v>
      </c>
      <c r="B5">
        <v>1</v>
      </c>
      <c r="C5">
        <v>1</v>
      </c>
      <c r="D5">
        <v>2</v>
      </c>
      <c r="E5">
        <v>2</v>
      </c>
      <c r="F5">
        <v>3</v>
      </c>
    </row>
    <row r="6" spans="1:6" x14ac:dyDescent="0.25">
      <c r="A6">
        <v>2</v>
      </c>
      <c r="B6">
        <v>2</v>
      </c>
      <c r="C6">
        <v>2</v>
      </c>
      <c r="D6">
        <v>3</v>
      </c>
      <c r="E6">
        <v>3</v>
      </c>
      <c r="F6">
        <v>1</v>
      </c>
    </row>
    <row r="7" spans="1:6" x14ac:dyDescent="0.25">
      <c r="A7">
        <v>2</v>
      </c>
      <c r="B7">
        <v>3</v>
      </c>
      <c r="C7">
        <v>3</v>
      </c>
      <c r="D7">
        <v>1</v>
      </c>
      <c r="E7">
        <v>1</v>
      </c>
      <c r="F7">
        <v>2</v>
      </c>
    </row>
    <row r="8" spans="1:6" x14ac:dyDescent="0.25">
      <c r="A8">
        <v>3</v>
      </c>
      <c r="B8">
        <v>1</v>
      </c>
      <c r="C8">
        <v>2</v>
      </c>
      <c r="D8">
        <v>1</v>
      </c>
      <c r="E8">
        <v>3</v>
      </c>
      <c r="F8">
        <v>3</v>
      </c>
    </row>
    <row r="9" spans="1:6" x14ac:dyDescent="0.25">
      <c r="A9">
        <v>3</v>
      </c>
      <c r="B9">
        <v>2</v>
      </c>
      <c r="C9">
        <v>3</v>
      </c>
      <c r="D9">
        <v>2</v>
      </c>
      <c r="E9">
        <v>1</v>
      </c>
      <c r="F9">
        <v>1</v>
      </c>
    </row>
    <row r="10" spans="1:6" x14ac:dyDescent="0.25">
      <c r="A10">
        <v>3</v>
      </c>
      <c r="B10">
        <v>3</v>
      </c>
      <c r="C10">
        <v>1</v>
      </c>
      <c r="D10">
        <v>3</v>
      </c>
      <c r="E10">
        <v>2</v>
      </c>
      <c r="F10">
        <v>2</v>
      </c>
    </row>
    <row r="11" spans="1:6" x14ac:dyDescent="0.25">
      <c r="A11">
        <v>1</v>
      </c>
      <c r="B11">
        <v>1</v>
      </c>
      <c r="C11">
        <v>3</v>
      </c>
      <c r="D11">
        <v>3</v>
      </c>
      <c r="E11">
        <v>2</v>
      </c>
      <c r="F11">
        <v>1</v>
      </c>
    </row>
    <row r="12" spans="1:6" x14ac:dyDescent="0.25">
      <c r="A12">
        <v>1</v>
      </c>
      <c r="B12">
        <v>2</v>
      </c>
      <c r="C12">
        <v>1</v>
      </c>
      <c r="D12">
        <v>1</v>
      </c>
      <c r="E12">
        <v>3</v>
      </c>
      <c r="F12">
        <v>2</v>
      </c>
    </row>
    <row r="13" spans="1:6" x14ac:dyDescent="0.25">
      <c r="A13">
        <v>1</v>
      </c>
      <c r="B13">
        <v>3</v>
      </c>
      <c r="C13">
        <v>2</v>
      </c>
      <c r="D13">
        <v>2</v>
      </c>
      <c r="E13">
        <v>1</v>
      </c>
      <c r="F13">
        <v>3</v>
      </c>
    </row>
    <row r="14" spans="1:6" x14ac:dyDescent="0.25">
      <c r="A14">
        <v>2</v>
      </c>
      <c r="B14">
        <v>1</v>
      </c>
      <c r="C14">
        <v>2</v>
      </c>
      <c r="D14">
        <v>3</v>
      </c>
      <c r="E14">
        <v>1</v>
      </c>
      <c r="F14">
        <v>2</v>
      </c>
    </row>
    <row r="15" spans="1:6" x14ac:dyDescent="0.25">
      <c r="A15">
        <v>2</v>
      </c>
      <c r="B15">
        <v>2</v>
      </c>
      <c r="C15">
        <v>3</v>
      </c>
      <c r="D15">
        <v>1</v>
      </c>
      <c r="E15">
        <v>2</v>
      </c>
      <c r="F15">
        <v>3</v>
      </c>
    </row>
    <row r="16" spans="1:6" x14ac:dyDescent="0.25">
      <c r="A16">
        <v>2</v>
      </c>
      <c r="B16">
        <v>3</v>
      </c>
      <c r="C16">
        <v>1</v>
      </c>
      <c r="D16">
        <v>2</v>
      </c>
      <c r="E16">
        <v>3</v>
      </c>
      <c r="F16">
        <v>1</v>
      </c>
    </row>
    <row r="17" spans="1:25" x14ac:dyDescent="0.25">
      <c r="A17">
        <v>3</v>
      </c>
      <c r="B17">
        <v>1</v>
      </c>
      <c r="C17">
        <v>3</v>
      </c>
      <c r="D17">
        <v>2</v>
      </c>
      <c r="E17">
        <v>3</v>
      </c>
      <c r="F17">
        <v>2</v>
      </c>
    </row>
    <row r="18" spans="1:25" x14ac:dyDescent="0.25">
      <c r="A18">
        <v>3</v>
      </c>
      <c r="B18">
        <v>2</v>
      </c>
      <c r="C18">
        <v>1</v>
      </c>
      <c r="D18">
        <v>3</v>
      </c>
      <c r="E18">
        <v>1</v>
      </c>
      <c r="F18">
        <v>3</v>
      </c>
    </row>
    <row r="19" spans="1:25" x14ac:dyDescent="0.25">
      <c r="A19">
        <v>3</v>
      </c>
      <c r="B19">
        <v>3</v>
      </c>
      <c r="C19">
        <v>2</v>
      </c>
      <c r="D19">
        <v>1</v>
      </c>
      <c r="E19">
        <v>2</v>
      </c>
      <c r="F19">
        <v>1</v>
      </c>
      <c r="H19">
        <v>1</v>
      </c>
      <c r="I19">
        <v>2</v>
      </c>
      <c r="J19">
        <v>3</v>
      </c>
      <c r="K19">
        <v>1</v>
      </c>
      <c r="L19">
        <v>2</v>
      </c>
      <c r="M19">
        <v>3</v>
      </c>
      <c r="N19">
        <v>1</v>
      </c>
      <c r="O19">
        <v>2</v>
      </c>
      <c r="P19">
        <v>3</v>
      </c>
      <c r="Q19">
        <v>1</v>
      </c>
      <c r="R19">
        <v>2</v>
      </c>
      <c r="S19">
        <v>3</v>
      </c>
      <c r="T19">
        <v>1</v>
      </c>
      <c r="U19">
        <v>2</v>
      </c>
      <c r="V19">
        <v>3</v>
      </c>
      <c r="W19">
        <v>1</v>
      </c>
      <c r="X19">
        <v>2</v>
      </c>
      <c r="Y19">
        <v>3</v>
      </c>
    </row>
    <row r="20" spans="1:25" x14ac:dyDescent="0.25">
      <c r="A20" s="145" t="s">
        <v>233</v>
      </c>
      <c r="B20" s="145"/>
      <c r="C20" s="145"/>
      <c r="D20" s="145"/>
      <c r="E20" s="145"/>
      <c r="F20" s="145"/>
      <c r="G20" s="153"/>
      <c r="H20" s="154" t="s">
        <v>187</v>
      </c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</row>
    <row r="21" spans="1:25" x14ac:dyDescent="0.25">
      <c r="A21" t="s">
        <v>182</v>
      </c>
      <c r="B21" t="s">
        <v>183</v>
      </c>
      <c r="C21" t="s">
        <v>184</v>
      </c>
      <c r="D21" t="s">
        <v>185</v>
      </c>
      <c r="E21" t="s">
        <v>7</v>
      </c>
      <c r="F21" t="s">
        <v>186</v>
      </c>
      <c r="G21" t="s">
        <v>187</v>
      </c>
      <c r="H21" s="37" t="s">
        <v>195</v>
      </c>
      <c r="I21" t="s">
        <v>196</v>
      </c>
      <c r="J21" t="s">
        <v>197</v>
      </c>
      <c r="K21" s="37" t="s">
        <v>198</v>
      </c>
      <c r="L21" t="s">
        <v>222</v>
      </c>
      <c r="M21" t="s">
        <v>223</v>
      </c>
      <c r="N21" s="37" t="s">
        <v>201</v>
      </c>
      <c r="O21" s="26" t="s">
        <v>202</v>
      </c>
      <c r="P21" s="26" t="s">
        <v>203</v>
      </c>
      <c r="Q21" s="125" t="s">
        <v>204</v>
      </c>
      <c r="R21" s="17" t="s">
        <v>205</v>
      </c>
      <c r="S21" s="17" t="s">
        <v>206</v>
      </c>
      <c r="T21" s="37" t="s">
        <v>32</v>
      </c>
      <c r="U21" s="26" t="s">
        <v>100</v>
      </c>
      <c r="V21" s="26" t="s">
        <v>101</v>
      </c>
      <c r="W21" s="37" t="s">
        <v>207</v>
      </c>
      <c r="X21" s="26" t="s">
        <v>208</v>
      </c>
      <c r="Y21" s="26" t="s">
        <v>209</v>
      </c>
    </row>
    <row r="22" spans="1:25" x14ac:dyDescent="0.25">
      <c r="A22">
        <v>1</v>
      </c>
      <c r="B22">
        <v>2029</v>
      </c>
      <c r="C22">
        <v>1975</v>
      </c>
      <c r="D22">
        <v>1961</v>
      </c>
      <c r="E22">
        <f t="shared" ref="E22:E39" si="0">AVERAGE(B22:D22)</f>
        <v>1988.3333333333333</v>
      </c>
      <c r="F22">
        <f t="shared" ref="F22:F39" si="1">(_xlfn.VAR.S(B22:D22))^0.5</f>
        <v>35.907288025320618</v>
      </c>
      <c r="G22">
        <f>10*LOG10(E22^2/F22^2)</f>
        <v>34.866131758820949</v>
      </c>
      <c r="H22" s="37">
        <f>IF(A2=1,$G22,0)</f>
        <v>34.866131758820949</v>
      </c>
      <c r="I22">
        <f>IF(A2=2,$G22,0)</f>
        <v>0</v>
      </c>
      <c r="J22">
        <f>IF(A2=3,$G22,0)</f>
        <v>0</v>
      </c>
      <c r="K22" s="37">
        <f>IF(B2=1,$G22,0)</f>
        <v>34.866131758820949</v>
      </c>
      <c r="L22">
        <f>IF(B2=2,$G22,0)</f>
        <v>0</v>
      </c>
      <c r="M22">
        <f>IF(B2=3,$G22,0)</f>
        <v>0</v>
      </c>
      <c r="N22" s="37">
        <f>IF(C2=1,$G22,0)</f>
        <v>34.866131758820949</v>
      </c>
      <c r="O22">
        <f>IF(C2=2,$G22,0)</f>
        <v>0</v>
      </c>
      <c r="P22">
        <f>IF(C2=3,$G22,0)</f>
        <v>0</v>
      </c>
      <c r="Q22" s="37">
        <f>IF(D2=1,$G22,0)</f>
        <v>34.866131758820949</v>
      </c>
      <c r="R22">
        <f>IF(D2=2,$G22,0)</f>
        <v>0</v>
      </c>
      <c r="S22">
        <f>IF(D2=3,$G22,0)</f>
        <v>0</v>
      </c>
      <c r="T22" s="37">
        <f>IF(E2=1,$G22,0)</f>
        <v>34.866131758820949</v>
      </c>
      <c r="U22">
        <f>IF(E2=2,$G22,0)</f>
        <v>0</v>
      </c>
      <c r="V22">
        <f>IF(E2=3,$G22,0)</f>
        <v>0</v>
      </c>
      <c r="W22" s="37">
        <f>IF(F2=1,$G22,0)</f>
        <v>34.866131758820949</v>
      </c>
      <c r="X22">
        <f>IF(F2=2,$G22,0)</f>
        <v>0</v>
      </c>
      <c r="Y22">
        <f>IF(F2=3,$G22,0)</f>
        <v>0</v>
      </c>
    </row>
    <row r="23" spans="1:25" x14ac:dyDescent="0.25">
      <c r="A23">
        <v>2</v>
      </c>
      <c r="B23">
        <v>5375</v>
      </c>
      <c r="C23">
        <v>5191</v>
      </c>
      <c r="D23">
        <v>5242</v>
      </c>
      <c r="E23">
        <f t="shared" si="0"/>
        <v>5269.333333333333</v>
      </c>
      <c r="F23">
        <f t="shared" si="1"/>
        <v>94.99649116327052</v>
      </c>
      <c r="G23">
        <f t="shared" ref="G23:G40" si="2">10*LOG10(E23^2/F23^2)</f>
        <v>34.880962165031875</v>
      </c>
      <c r="H23" s="37">
        <f t="shared" ref="H23:H39" si="3">IF(A3=1,$G23,0)</f>
        <v>34.880962165031875</v>
      </c>
      <c r="I23">
        <f t="shared" ref="I23:I39" si="4">IF(A3=2,$G23,0)</f>
        <v>0</v>
      </c>
      <c r="J23">
        <f t="shared" ref="J23:J39" si="5">IF(A3=3,$G23,0)</f>
        <v>0</v>
      </c>
      <c r="K23" s="37">
        <f t="shared" ref="K23:K39" si="6">IF(B3=1,$G23,0)</f>
        <v>0</v>
      </c>
      <c r="L23">
        <f t="shared" ref="L23:L39" si="7">IF(B3=2,$G23,0)</f>
        <v>34.880962165031875</v>
      </c>
      <c r="M23">
        <f t="shared" ref="M23:M39" si="8">IF(B3=3,$G23,0)</f>
        <v>0</v>
      </c>
      <c r="N23" s="37">
        <f t="shared" ref="N23:N39" si="9">IF(C3=1,$G23,0)</f>
        <v>0</v>
      </c>
      <c r="O23">
        <f t="shared" ref="O23:O39" si="10">IF(C3=2,$G23,0)</f>
        <v>34.880962165031875</v>
      </c>
      <c r="P23">
        <f t="shared" ref="P23:P39" si="11">IF(C3=3,$G23,0)</f>
        <v>0</v>
      </c>
      <c r="Q23" s="37">
        <f t="shared" ref="Q23:Q39" si="12">IF(D3=1,$G23,0)</f>
        <v>0</v>
      </c>
      <c r="R23">
        <f t="shared" ref="R23:R39" si="13">IF(D3=2,$G23,0)</f>
        <v>34.880962165031875</v>
      </c>
      <c r="S23">
        <f t="shared" ref="S23:S39" si="14">IF(D3=3,$G23,0)</f>
        <v>0</v>
      </c>
      <c r="T23" s="37">
        <f t="shared" ref="T23:T39" si="15">IF(E3=1,$G23,0)</f>
        <v>0</v>
      </c>
      <c r="U23">
        <f t="shared" ref="U23:U39" si="16">IF(E3=2,$G23,0)</f>
        <v>34.880962165031875</v>
      </c>
      <c r="V23">
        <f t="shared" ref="V23:V39" si="17">IF(E3=3,$G23,0)</f>
        <v>0</v>
      </c>
      <c r="W23" s="37">
        <f t="shared" ref="W23:W39" si="18">IF(F3=1,$G23,0)</f>
        <v>0</v>
      </c>
      <c r="X23">
        <f t="shared" ref="X23:X39" si="19">IF(F3=2,$G23,0)</f>
        <v>34.880962165031875</v>
      </c>
      <c r="Y23">
        <f t="shared" ref="Y23:Y39" si="20">IF(F3=3,$G23,0)</f>
        <v>0</v>
      </c>
    </row>
    <row r="24" spans="1:25" x14ac:dyDescent="0.25">
      <c r="A24">
        <v>3</v>
      </c>
      <c r="B24">
        <v>5989</v>
      </c>
      <c r="C24">
        <v>5894</v>
      </c>
      <c r="D24">
        <v>5874</v>
      </c>
      <c r="E24">
        <f t="shared" si="0"/>
        <v>5919</v>
      </c>
      <c r="F24">
        <f t="shared" si="1"/>
        <v>61.441028637222537</v>
      </c>
      <c r="G24">
        <f t="shared" si="2"/>
        <v>39.675797239784998</v>
      </c>
      <c r="H24" s="37">
        <f t="shared" si="3"/>
        <v>39.675797239784998</v>
      </c>
      <c r="I24">
        <f t="shared" si="4"/>
        <v>0</v>
      </c>
      <c r="J24">
        <f t="shared" si="5"/>
        <v>0</v>
      </c>
      <c r="K24" s="37">
        <f t="shared" si="6"/>
        <v>0</v>
      </c>
      <c r="L24">
        <f t="shared" si="7"/>
        <v>0</v>
      </c>
      <c r="M24">
        <f t="shared" si="8"/>
        <v>39.675797239784998</v>
      </c>
      <c r="N24" s="37">
        <f t="shared" si="9"/>
        <v>0</v>
      </c>
      <c r="O24">
        <f t="shared" si="10"/>
        <v>0</v>
      </c>
      <c r="P24">
        <f t="shared" si="11"/>
        <v>39.675797239784998</v>
      </c>
      <c r="Q24" s="37">
        <f t="shared" si="12"/>
        <v>0</v>
      </c>
      <c r="R24">
        <f t="shared" si="13"/>
        <v>0</v>
      </c>
      <c r="S24">
        <f t="shared" si="14"/>
        <v>39.675797239784998</v>
      </c>
      <c r="T24" s="37">
        <f t="shared" si="15"/>
        <v>0</v>
      </c>
      <c r="U24">
        <f t="shared" si="16"/>
        <v>0</v>
      </c>
      <c r="V24">
        <f t="shared" si="17"/>
        <v>39.675797239784998</v>
      </c>
      <c r="W24" s="37">
        <f t="shared" si="18"/>
        <v>0</v>
      </c>
      <c r="X24">
        <f t="shared" si="19"/>
        <v>0</v>
      </c>
      <c r="Y24">
        <f t="shared" si="20"/>
        <v>39.675797239784998</v>
      </c>
    </row>
    <row r="25" spans="1:25" x14ac:dyDescent="0.25">
      <c r="A25">
        <v>4</v>
      </c>
      <c r="B25">
        <v>2118</v>
      </c>
      <c r="C25">
        <v>2109</v>
      </c>
      <c r="D25">
        <v>2099</v>
      </c>
      <c r="E25">
        <f t="shared" si="0"/>
        <v>2108.6666666666665</v>
      </c>
      <c r="F25">
        <f t="shared" si="1"/>
        <v>9.5043849529221696</v>
      </c>
      <c r="G25">
        <f t="shared" si="2"/>
        <v>46.921678295653393</v>
      </c>
      <c r="H25" s="37">
        <f t="shared" si="3"/>
        <v>0</v>
      </c>
      <c r="I25">
        <f t="shared" si="4"/>
        <v>46.921678295653393</v>
      </c>
      <c r="J25">
        <f t="shared" si="5"/>
        <v>0</v>
      </c>
      <c r="K25" s="37">
        <f t="shared" si="6"/>
        <v>46.921678295653393</v>
      </c>
      <c r="L25">
        <f t="shared" si="7"/>
        <v>0</v>
      </c>
      <c r="M25">
        <f t="shared" si="8"/>
        <v>0</v>
      </c>
      <c r="N25" s="37">
        <f t="shared" si="9"/>
        <v>46.921678295653393</v>
      </c>
      <c r="O25">
        <f t="shared" si="10"/>
        <v>0</v>
      </c>
      <c r="P25">
        <f t="shared" si="11"/>
        <v>0</v>
      </c>
      <c r="Q25" s="37">
        <f t="shared" si="12"/>
        <v>0</v>
      </c>
      <c r="R25">
        <f t="shared" si="13"/>
        <v>46.921678295653393</v>
      </c>
      <c r="S25">
        <f t="shared" si="14"/>
        <v>0</v>
      </c>
      <c r="T25" s="37">
        <f t="shared" si="15"/>
        <v>0</v>
      </c>
      <c r="U25">
        <f t="shared" si="16"/>
        <v>46.921678295653393</v>
      </c>
      <c r="V25">
        <f t="shared" si="17"/>
        <v>0</v>
      </c>
      <c r="W25" s="37">
        <f t="shared" si="18"/>
        <v>0</v>
      </c>
      <c r="X25">
        <f t="shared" si="19"/>
        <v>0</v>
      </c>
      <c r="Y25">
        <f t="shared" si="20"/>
        <v>46.921678295653393</v>
      </c>
    </row>
    <row r="26" spans="1:25" x14ac:dyDescent="0.25">
      <c r="A26">
        <v>5</v>
      </c>
      <c r="B26">
        <v>4102</v>
      </c>
      <c r="C26">
        <v>4152</v>
      </c>
      <c r="D26">
        <v>4174</v>
      </c>
      <c r="E26">
        <f t="shared" si="0"/>
        <v>4142.666666666667</v>
      </c>
      <c r="F26">
        <f t="shared" si="1"/>
        <v>36.896250938724563</v>
      </c>
      <c r="G26">
        <f t="shared" si="2"/>
        <v>41.005955010313386</v>
      </c>
      <c r="H26" s="37">
        <f t="shared" si="3"/>
        <v>0</v>
      </c>
      <c r="I26">
        <f t="shared" si="4"/>
        <v>41.005955010313386</v>
      </c>
      <c r="J26">
        <f t="shared" si="5"/>
        <v>0</v>
      </c>
      <c r="K26" s="37">
        <f t="shared" si="6"/>
        <v>0</v>
      </c>
      <c r="L26">
        <f t="shared" si="7"/>
        <v>41.005955010313386</v>
      </c>
      <c r="M26">
        <f t="shared" si="8"/>
        <v>0</v>
      </c>
      <c r="N26" s="37">
        <f t="shared" si="9"/>
        <v>0</v>
      </c>
      <c r="O26">
        <f t="shared" si="10"/>
        <v>41.005955010313386</v>
      </c>
      <c r="P26">
        <f t="shared" si="11"/>
        <v>0</v>
      </c>
      <c r="Q26" s="37">
        <f t="shared" si="12"/>
        <v>0</v>
      </c>
      <c r="R26">
        <f t="shared" si="13"/>
        <v>0</v>
      </c>
      <c r="S26">
        <f t="shared" si="14"/>
        <v>41.005955010313386</v>
      </c>
      <c r="T26" s="37">
        <f t="shared" si="15"/>
        <v>0</v>
      </c>
      <c r="U26">
        <f t="shared" si="16"/>
        <v>0</v>
      </c>
      <c r="V26">
        <f t="shared" si="17"/>
        <v>41.005955010313386</v>
      </c>
      <c r="W26" s="37">
        <f t="shared" si="18"/>
        <v>41.005955010313386</v>
      </c>
      <c r="X26">
        <f t="shared" si="19"/>
        <v>0</v>
      </c>
      <c r="Y26">
        <f t="shared" si="20"/>
        <v>0</v>
      </c>
    </row>
    <row r="27" spans="1:25" x14ac:dyDescent="0.25">
      <c r="A27">
        <v>6</v>
      </c>
      <c r="B27">
        <v>3022</v>
      </c>
      <c r="C27">
        <v>2932</v>
      </c>
      <c r="D27">
        <v>2913</v>
      </c>
      <c r="E27">
        <f t="shared" si="0"/>
        <v>2955.6666666666665</v>
      </c>
      <c r="F27">
        <f t="shared" si="1"/>
        <v>58.226568964119238</v>
      </c>
      <c r="G27">
        <f t="shared" si="2"/>
        <v>34.110685078975358</v>
      </c>
      <c r="H27" s="37">
        <f t="shared" si="3"/>
        <v>0</v>
      </c>
      <c r="I27">
        <f t="shared" si="4"/>
        <v>34.110685078975358</v>
      </c>
      <c r="J27">
        <f t="shared" si="5"/>
        <v>0</v>
      </c>
      <c r="K27" s="37">
        <f t="shared" si="6"/>
        <v>0</v>
      </c>
      <c r="L27">
        <f t="shared" si="7"/>
        <v>0</v>
      </c>
      <c r="M27">
        <f t="shared" si="8"/>
        <v>34.110685078975358</v>
      </c>
      <c r="N27" s="37">
        <f t="shared" si="9"/>
        <v>0</v>
      </c>
      <c r="O27">
        <f t="shared" si="10"/>
        <v>0</v>
      </c>
      <c r="P27">
        <f t="shared" si="11"/>
        <v>34.110685078975358</v>
      </c>
      <c r="Q27" s="37">
        <f t="shared" si="12"/>
        <v>34.110685078975358</v>
      </c>
      <c r="R27">
        <f t="shared" si="13"/>
        <v>0</v>
      </c>
      <c r="S27">
        <f t="shared" si="14"/>
        <v>0</v>
      </c>
      <c r="T27" s="37">
        <f t="shared" si="15"/>
        <v>34.110685078975358</v>
      </c>
      <c r="U27">
        <f t="shared" si="16"/>
        <v>0</v>
      </c>
      <c r="V27">
        <f t="shared" si="17"/>
        <v>0</v>
      </c>
      <c r="W27" s="37">
        <f t="shared" si="18"/>
        <v>0</v>
      </c>
      <c r="X27">
        <f t="shared" si="19"/>
        <v>34.110685078975358</v>
      </c>
      <c r="Y27">
        <f t="shared" si="20"/>
        <v>0</v>
      </c>
    </row>
    <row r="28" spans="1:25" x14ac:dyDescent="0.25">
      <c r="A28">
        <v>7</v>
      </c>
      <c r="B28">
        <v>3030</v>
      </c>
      <c r="C28">
        <v>3042</v>
      </c>
      <c r="D28">
        <v>3028</v>
      </c>
      <c r="E28">
        <f t="shared" si="0"/>
        <v>3033.3333333333335</v>
      </c>
      <c r="F28">
        <f t="shared" si="1"/>
        <v>7.5718777944003648</v>
      </c>
      <c r="G28">
        <f t="shared" si="2"/>
        <v>52.054330830149752</v>
      </c>
      <c r="H28" s="37">
        <f t="shared" si="3"/>
        <v>0</v>
      </c>
      <c r="I28">
        <f t="shared" si="4"/>
        <v>0</v>
      </c>
      <c r="J28">
        <f t="shared" si="5"/>
        <v>52.054330830149752</v>
      </c>
      <c r="K28" s="37">
        <f t="shared" si="6"/>
        <v>52.054330830149752</v>
      </c>
      <c r="L28">
        <f t="shared" si="7"/>
        <v>0</v>
      </c>
      <c r="M28">
        <f t="shared" si="8"/>
        <v>0</v>
      </c>
      <c r="N28" s="37">
        <f t="shared" si="9"/>
        <v>0</v>
      </c>
      <c r="O28">
        <f t="shared" si="10"/>
        <v>52.054330830149752</v>
      </c>
      <c r="P28">
        <f t="shared" si="11"/>
        <v>0</v>
      </c>
      <c r="Q28" s="37">
        <f t="shared" si="12"/>
        <v>52.054330830149752</v>
      </c>
      <c r="R28">
        <f t="shared" si="13"/>
        <v>0</v>
      </c>
      <c r="S28">
        <f t="shared" si="14"/>
        <v>0</v>
      </c>
      <c r="T28" s="37">
        <f t="shared" si="15"/>
        <v>0</v>
      </c>
      <c r="U28">
        <f t="shared" si="16"/>
        <v>0</v>
      </c>
      <c r="V28">
        <f t="shared" si="17"/>
        <v>52.054330830149752</v>
      </c>
      <c r="W28" s="37">
        <f t="shared" si="18"/>
        <v>0</v>
      </c>
      <c r="X28">
        <f t="shared" si="19"/>
        <v>0</v>
      </c>
      <c r="Y28">
        <f t="shared" si="20"/>
        <v>52.054330830149752</v>
      </c>
    </row>
    <row r="29" spans="1:25" x14ac:dyDescent="0.25">
      <c r="A29">
        <v>8</v>
      </c>
      <c r="B29">
        <v>4707</v>
      </c>
      <c r="C29">
        <v>4472</v>
      </c>
      <c r="D29">
        <v>4336</v>
      </c>
      <c r="E29">
        <f t="shared" si="0"/>
        <v>4505</v>
      </c>
      <c r="F29">
        <f t="shared" si="1"/>
        <v>187.68857184176133</v>
      </c>
      <c r="G29">
        <f t="shared" si="2"/>
        <v>27.605139312389344</v>
      </c>
      <c r="H29" s="37">
        <f t="shared" si="3"/>
        <v>0</v>
      </c>
      <c r="I29">
        <f t="shared" si="4"/>
        <v>0</v>
      </c>
      <c r="J29">
        <f t="shared" si="5"/>
        <v>27.605139312389344</v>
      </c>
      <c r="K29" s="37">
        <f t="shared" si="6"/>
        <v>0</v>
      </c>
      <c r="L29">
        <f t="shared" si="7"/>
        <v>27.605139312389344</v>
      </c>
      <c r="M29">
        <f t="shared" si="8"/>
        <v>0</v>
      </c>
      <c r="N29" s="37">
        <f t="shared" si="9"/>
        <v>0</v>
      </c>
      <c r="O29">
        <f t="shared" si="10"/>
        <v>0</v>
      </c>
      <c r="P29">
        <f t="shared" si="11"/>
        <v>27.605139312389344</v>
      </c>
      <c r="Q29" s="37">
        <f t="shared" si="12"/>
        <v>0</v>
      </c>
      <c r="R29">
        <f t="shared" si="13"/>
        <v>27.605139312389344</v>
      </c>
      <c r="S29">
        <f t="shared" si="14"/>
        <v>0</v>
      </c>
      <c r="T29" s="37">
        <f t="shared" si="15"/>
        <v>27.605139312389344</v>
      </c>
      <c r="U29">
        <f t="shared" si="16"/>
        <v>0</v>
      </c>
      <c r="V29">
        <f t="shared" si="17"/>
        <v>0</v>
      </c>
      <c r="W29" s="37">
        <f t="shared" si="18"/>
        <v>27.605139312389344</v>
      </c>
      <c r="X29">
        <f t="shared" si="19"/>
        <v>0</v>
      </c>
      <c r="Y29">
        <f t="shared" si="20"/>
        <v>0</v>
      </c>
    </row>
    <row r="30" spans="1:25" x14ac:dyDescent="0.25">
      <c r="A30">
        <v>9</v>
      </c>
      <c r="B30">
        <v>3859</v>
      </c>
      <c r="C30">
        <v>3822</v>
      </c>
      <c r="D30">
        <v>3850</v>
      </c>
      <c r="E30">
        <f t="shared" si="0"/>
        <v>3843.6666666666665</v>
      </c>
      <c r="F30">
        <f t="shared" si="1"/>
        <v>19.295940851208403</v>
      </c>
      <c r="G30">
        <f t="shared" si="2"/>
        <v>45.985595164418541</v>
      </c>
      <c r="H30" s="37">
        <f t="shared" si="3"/>
        <v>0</v>
      </c>
      <c r="I30">
        <f t="shared" si="4"/>
        <v>0</v>
      </c>
      <c r="J30">
        <f t="shared" si="5"/>
        <v>45.985595164418541</v>
      </c>
      <c r="K30" s="37">
        <f t="shared" si="6"/>
        <v>0</v>
      </c>
      <c r="L30">
        <f t="shared" si="7"/>
        <v>0</v>
      </c>
      <c r="M30">
        <f t="shared" si="8"/>
        <v>45.985595164418541</v>
      </c>
      <c r="N30" s="37">
        <f t="shared" si="9"/>
        <v>45.985595164418541</v>
      </c>
      <c r="O30">
        <f t="shared" si="10"/>
        <v>0</v>
      </c>
      <c r="P30">
        <f t="shared" si="11"/>
        <v>0</v>
      </c>
      <c r="Q30" s="37">
        <f t="shared" si="12"/>
        <v>0</v>
      </c>
      <c r="R30">
        <f t="shared" si="13"/>
        <v>0</v>
      </c>
      <c r="S30">
        <f t="shared" si="14"/>
        <v>45.985595164418541</v>
      </c>
      <c r="T30" s="37">
        <f t="shared" si="15"/>
        <v>0</v>
      </c>
      <c r="U30">
        <f t="shared" si="16"/>
        <v>45.985595164418541</v>
      </c>
      <c r="V30">
        <f t="shared" si="17"/>
        <v>0</v>
      </c>
      <c r="W30" s="37">
        <f t="shared" si="18"/>
        <v>0</v>
      </c>
      <c r="X30">
        <f t="shared" si="19"/>
        <v>45.985595164418541</v>
      </c>
      <c r="Y30">
        <f t="shared" si="20"/>
        <v>0</v>
      </c>
    </row>
    <row r="31" spans="1:25" x14ac:dyDescent="0.25">
      <c r="A31">
        <v>10</v>
      </c>
      <c r="B31">
        <v>3227</v>
      </c>
      <c r="C31">
        <v>3205</v>
      </c>
      <c r="D31">
        <v>3242</v>
      </c>
      <c r="E31">
        <f t="shared" si="0"/>
        <v>3224.6666666666665</v>
      </c>
      <c r="F31">
        <f t="shared" si="1"/>
        <v>18.610033136277146</v>
      </c>
      <c r="G31">
        <f t="shared" si="2"/>
        <v>44.77475363828033</v>
      </c>
      <c r="H31" s="37">
        <f t="shared" si="3"/>
        <v>44.77475363828033</v>
      </c>
      <c r="I31">
        <f t="shared" si="4"/>
        <v>0</v>
      </c>
      <c r="J31">
        <f t="shared" si="5"/>
        <v>0</v>
      </c>
      <c r="K31" s="37">
        <f t="shared" si="6"/>
        <v>44.77475363828033</v>
      </c>
      <c r="L31">
        <f t="shared" si="7"/>
        <v>0</v>
      </c>
      <c r="M31">
        <f t="shared" si="8"/>
        <v>0</v>
      </c>
      <c r="N31" s="37">
        <f t="shared" si="9"/>
        <v>0</v>
      </c>
      <c r="O31">
        <f t="shared" si="10"/>
        <v>0</v>
      </c>
      <c r="P31">
        <f t="shared" si="11"/>
        <v>44.77475363828033</v>
      </c>
      <c r="Q31" s="37">
        <f t="shared" si="12"/>
        <v>0</v>
      </c>
      <c r="R31">
        <f t="shared" si="13"/>
        <v>0</v>
      </c>
      <c r="S31">
        <f t="shared" si="14"/>
        <v>44.77475363828033</v>
      </c>
      <c r="T31" s="37">
        <f t="shared" si="15"/>
        <v>0</v>
      </c>
      <c r="U31">
        <f t="shared" si="16"/>
        <v>44.77475363828033</v>
      </c>
      <c r="V31">
        <f t="shared" si="17"/>
        <v>0</v>
      </c>
      <c r="W31" s="37">
        <f t="shared" si="18"/>
        <v>44.77475363828033</v>
      </c>
      <c r="X31">
        <f t="shared" si="19"/>
        <v>0</v>
      </c>
      <c r="Y31">
        <f t="shared" si="20"/>
        <v>0</v>
      </c>
    </row>
    <row r="32" spans="1:25" x14ac:dyDescent="0.25">
      <c r="A32">
        <v>11</v>
      </c>
      <c r="B32">
        <v>2521</v>
      </c>
      <c r="C32">
        <v>2499</v>
      </c>
      <c r="D32">
        <v>2499</v>
      </c>
      <c r="E32">
        <f t="shared" si="0"/>
        <v>2506.3333333333335</v>
      </c>
      <c r="F32">
        <f t="shared" si="1"/>
        <v>12.701705922171765</v>
      </c>
      <c r="G32">
        <f t="shared" si="2"/>
        <v>45.903535532871814</v>
      </c>
      <c r="H32" s="37">
        <f t="shared" si="3"/>
        <v>45.903535532871814</v>
      </c>
      <c r="I32">
        <f t="shared" si="4"/>
        <v>0</v>
      </c>
      <c r="J32">
        <f t="shared" si="5"/>
        <v>0</v>
      </c>
      <c r="K32" s="37">
        <f t="shared" si="6"/>
        <v>0</v>
      </c>
      <c r="L32">
        <f t="shared" si="7"/>
        <v>45.903535532871814</v>
      </c>
      <c r="M32">
        <f t="shared" si="8"/>
        <v>0</v>
      </c>
      <c r="N32" s="37">
        <f t="shared" si="9"/>
        <v>45.903535532871814</v>
      </c>
      <c r="O32">
        <f t="shared" si="10"/>
        <v>0</v>
      </c>
      <c r="P32">
        <f t="shared" si="11"/>
        <v>0</v>
      </c>
      <c r="Q32" s="37">
        <f t="shared" si="12"/>
        <v>45.903535532871814</v>
      </c>
      <c r="R32">
        <f t="shared" si="13"/>
        <v>0</v>
      </c>
      <c r="S32">
        <f t="shared" si="14"/>
        <v>0</v>
      </c>
      <c r="T32" s="37">
        <f t="shared" si="15"/>
        <v>0</v>
      </c>
      <c r="U32">
        <f t="shared" si="16"/>
        <v>0</v>
      </c>
      <c r="V32">
        <f t="shared" si="17"/>
        <v>45.903535532871814</v>
      </c>
      <c r="W32" s="37">
        <f t="shared" si="18"/>
        <v>0</v>
      </c>
      <c r="X32">
        <f t="shared" si="19"/>
        <v>45.903535532871814</v>
      </c>
      <c r="Y32">
        <f t="shared" si="20"/>
        <v>0</v>
      </c>
    </row>
    <row r="33" spans="1:26" x14ac:dyDescent="0.25">
      <c r="A33">
        <v>12</v>
      </c>
      <c r="B33">
        <v>5921</v>
      </c>
      <c r="C33">
        <v>5766</v>
      </c>
      <c r="D33">
        <v>5844</v>
      </c>
      <c r="E33">
        <f t="shared" si="0"/>
        <v>5843.666666666667</v>
      </c>
      <c r="F33">
        <f t="shared" si="1"/>
        <v>77.500537632543782</v>
      </c>
      <c r="G33">
        <f t="shared" si="2"/>
        <v>37.547614394875183</v>
      </c>
      <c r="H33" s="37">
        <f t="shared" si="3"/>
        <v>37.547614394875183</v>
      </c>
      <c r="I33">
        <f t="shared" si="4"/>
        <v>0</v>
      </c>
      <c r="J33">
        <f t="shared" si="5"/>
        <v>0</v>
      </c>
      <c r="K33" s="37">
        <f t="shared" si="6"/>
        <v>0</v>
      </c>
      <c r="L33">
        <f t="shared" si="7"/>
        <v>0</v>
      </c>
      <c r="M33">
        <f t="shared" si="8"/>
        <v>37.547614394875183</v>
      </c>
      <c r="N33" s="37">
        <f t="shared" si="9"/>
        <v>0</v>
      </c>
      <c r="O33">
        <f t="shared" si="10"/>
        <v>37.547614394875183</v>
      </c>
      <c r="P33">
        <f t="shared" si="11"/>
        <v>0</v>
      </c>
      <c r="Q33" s="37">
        <f t="shared" si="12"/>
        <v>0</v>
      </c>
      <c r="R33">
        <f t="shared" si="13"/>
        <v>37.547614394875183</v>
      </c>
      <c r="S33">
        <f t="shared" si="14"/>
        <v>0</v>
      </c>
      <c r="T33" s="37">
        <f t="shared" si="15"/>
        <v>37.547614394875183</v>
      </c>
      <c r="U33">
        <f t="shared" si="16"/>
        <v>0</v>
      </c>
      <c r="V33">
        <f t="shared" si="17"/>
        <v>0</v>
      </c>
      <c r="W33" s="37">
        <f t="shared" si="18"/>
        <v>0</v>
      </c>
      <c r="X33">
        <f t="shared" si="19"/>
        <v>0</v>
      </c>
      <c r="Y33">
        <f t="shared" si="20"/>
        <v>37.547614394875183</v>
      </c>
    </row>
    <row r="34" spans="1:26" x14ac:dyDescent="0.25">
      <c r="A34">
        <v>13</v>
      </c>
      <c r="B34">
        <v>2792</v>
      </c>
      <c r="C34">
        <v>2752</v>
      </c>
      <c r="D34">
        <v>2716</v>
      </c>
      <c r="E34">
        <f t="shared" si="0"/>
        <v>2753.3333333333335</v>
      </c>
      <c r="F34">
        <f t="shared" si="1"/>
        <v>38.017539811688678</v>
      </c>
      <c r="G34">
        <f t="shared" si="2"/>
        <v>37.197495663907716</v>
      </c>
      <c r="H34" s="37">
        <f t="shared" si="3"/>
        <v>0</v>
      </c>
      <c r="I34">
        <f t="shared" si="4"/>
        <v>37.197495663907716</v>
      </c>
      <c r="J34">
        <f t="shared" si="5"/>
        <v>0</v>
      </c>
      <c r="K34" s="37">
        <f t="shared" si="6"/>
        <v>37.197495663907716</v>
      </c>
      <c r="L34">
        <f t="shared" si="7"/>
        <v>0</v>
      </c>
      <c r="M34">
        <f t="shared" si="8"/>
        <v>0</v>
      </c>
      <c r="N34" s="37">
        <f t="shared" si="9"/>
        <v>0</v>
      </c>
      <c r="O34">
        <f t="shared" si="10"/>
        <v>37.197495663907716</v>
      </c>
      <c r="P34">
        <f t="shared" si="11"/>
        <v>0</v>
      </c>
      <c r="Q34" s="37">
        <f t="shared" si="12"/>
        <v>0</v>
      </c>
      <c r="R34">
        <f t="shared" si="13"/>
        <v>0</v>
      </c>
      <c r="S34">
        <f t="shared" si="14"/>
        <v>37.197495663907716</v>
      </c>
      <c r="T34" s="37">
        <f t="shared" si="15"/>
        <v>37.197495663907716</v>
      </c>
      <c r="U34">
        <f t="shared" si="16"/>
        <v>0</v>
      </c>
      <c r="V34">
        <f t="shared" si="17"/>
        <v>0</v>
      </c>
      <c r="W34" s="37">
        <f t="shared" si="18"/>
        <v>0</v>
      </c>
      <c r="X34">
        <f t="shared" si="19"/>
        <v>37.197495663907716</v>
      </c>
      <c r="Y34">
        <f t="shared" si="20"/>
        <v>0</v>
      </c>
    </row>
    <row r="35" spans="1:26" x14ac:dyDescent="0.25">
      <c r="A35">
        <v>14</v>
      </c>
      <c r="B35">
        <v>2863</v>
      </c>
      <c r="C35">
        <v>2835</v>
      </c>
      <c r="D35">
        <v>2859</v>
      </c>
      <c r="E35">
        <f t="shared" si="0"/>
        <v>2852.3333333333335</v>
      </c>
      <c r="F35">
        <f t="shared" si="1"/>
        <v>15.14375558880073</v>
      </c>
      <c r="G35">
        <f t="shared" si="2"/>
        <v>45.499333710234126</v>
      </c>
      <c r="H35" s="37">
        <f t="shared" si="3"/>
        <v>0</v>
      </c>
      <c r="I35">
        <f t="shared" si="4"/>
        <v>45.499333710234126</v>
      </c>
      <c r="J35">
        <f t="shared" si="5"/>
        <v>0</v>
      </c>
      <c r="K35" s="37">
        <f t="shared" si="6"/>
        <v>0</v>
      </c>
      <c r="L35">
        <f t="shared" si="7"/>
        <v>45.499333710234126</v>
      </c>
      <c r="M35">
        <f t="shared" si="8"/>
        <v>0</v>
      </c>
      <c r="N35" s="37">
        <f t="shared" si="9"/>
        <v>0</v>
      </c>
      <c r="O35">
        <f t="shared" si="10"/>
        <v>0</v>
      </c>
      <c r="P35">
        <f t="shared" si="11"/>
        <v>45.499333710234126</v>
      </c>
      <c r="Q35" s="37">
        <f t="shared" si="12"/>
        <v>45.499333710234126</v>
      </c>
      <c r="R35">
        <f t="shared" si="13"/>
        <v>0</v>
      </c>
      <c r="S35">
        <f t="shared" si="14"/>
        <v>0</v>
      </c>
      <c r="T35" s="37">
        <f t="shared" si="15"/>
        <v>0</v>
      </c>
      <c r="U35">
        <f t="shared" si="16"/>
        <v>45.499333710234126</v>
      </c>
      <c r="V35">
        <f t="shared" si="17"/>
        <v>0</v>
      </c>
      <c r="W35" s="37">
        <f t="shared" si="18"/>
        <v>0</v>
      </c>
      <c r="X35">
        <f t="shared" si="19"/>
        <v>0</v>
      </c>
      <c r="Y35">
        <f t="shared" si="20"/>
        <v>45.499333710234126</v>
      </c>
    </row>
    <row r="36" spans="1:26" x14ac:dyDescent="0.25">
      <c r="A36">
        <v>15</v>
      </c>
      <c r="B36">
        <v>3218</v>
      </c>
      <c r="C36">
        <v>3149</v>
      </c>
      <c r="D36">
        <v>3124</v>
      </c>
      <c r="E36">
        <f t="shared" si="0"/>
        <v>3163.6666666666665</v>
      </c>
      <c r="F36">
        <f t="shared" si="1"/>
        <v>48.686069191641806</v>
      </c>
      <c r="G36">
        <f t="shared" si="2"/>
        <v>36.255720134339221</v>
      </c>
      <c r="H36" s="37">
        <f t="shared" si="3"/>
        <v>0</v>
      </c>
      <c r="I36">
        <f t="shared" si="4"/>
        <v>36.255720134339221</v>
      </c>
      <c r="J36">
        <f t="shared" si="5"/>
        <v>0</v>
      </c>
      <c r="K36" s="37">
        <f t="shared" si="6"/>
        <v>0</v>
      </c>
      <c r="L36">
        <f t="shared" si="7"/>
        <v>0</v>
      </c>
      <c r="M36">
        <f t="shared" si="8"/>
        <v>36.255720134339221</v>
      </c>
      <c r="N36" s="37">
        <f t="shared" si="9"/>
        <v>36.255720134339221</v>
      </c>
      <c r="O36">
        <f t="shared" si="10"/>
        <v>0</v>
      </c>
      <c r="P36">
        <f t="shared" si="11"/>
        <v>0</v>
      </c>
      <c r="Q36" s="37">
        <f t="shared" si="12"/>
        <v>0</v>
      </c>
      <c r="R36">
        <f t="shared" si="13"/>
        <v>36.255720134339221</v>
      </c>
      <c r="S36">
        <f t="shared" si="14"/>
        <v>0</v>
      </c>
      <c r="T36" s="37">
        <f t="shared" si="15"/>
        <v>0</v>
      </c>
      <c r="U36">
        <f t="shared" si="16"/>
        <v>0</v>
      </c>
      <c r="V36">
        <f t="shared" si="17"/>
        <v>36.255720134339221</v>
      </c>
      <c r="W36" s="37">
        <f t="shared" si="18"/>
        <v>36.255720134339221</v>
      </c>
      <c r="X36">
        <f t="shared" si="19"/>
        <v>0</v>
      </c>
      <c r="Y36">
        <f t="shared" si="20"/>
        <v>0</v>
      </c>
    </row>
    <row r="37" spans="1:26" x14ac:dyDescent="0.25">
      <c r="A37">
        <v>16</v>
      </c>
      <c r="B37">
        <v>3020</v>
      </c>
      <c r="C37">
        <v>3008</v>
      </c>
      <c r="D37">
        <v>3016</v>
      </c>
      <c r="E37">
        <f t="shared" si="0"/>
        <v>3014.6666666666665</v>
      </c>
      <c r="F37">
        <f t="shared" si="1"/>
        <v>6.110100926607787</v>
      </c>
      <c r="G37">
        <f t="shared" si="2"/>
        <v>53.863818299568003</v>
      </c>
      <c r="H37" s="37">
        <f t="shared" si="3"/>
        <v>0</v>
      </c>
      <c r="I37">
        <f t="shared" si="4"/>
        <v>0</v>
      </c>
      <c r="J37">
        <f t="shared" si="5"/>
        <v>53.863818299568003</v>
      </c>
      <c r="K37" s="37">
        <f t="shared" si="6"/>
        <v>53.863818299568003</v>
      </c>
      <c r="L37">
        <f t="shared" si="7"/>
        <v>0</v>
      </c>
      <c r="M37">
        <f t="shared" si="8"/>
        <v>0</v>
      </c>
      <c r="N37" s="37">
        <f t="shared" si="9"/>
        <v>0</v>
      </c>
      <c r="O37">
        <f t="shared" si="10"/>
        <v>0</v>
      </c>
      <c r="P37">
        <f t="shared" si="11"/>
        <v>53.863818299568003</v>
      </c>
      <c r="Q37" s="37">
        <f t="shared" si="12"/>
        <v>0</v>
      </c>
      <c r="R37">
        <f t="shared" si="13"/>
        <v>53.863818299568003</v>
      </c>
      <c r="S37">
        <f t="shared" si="14"/>
        <v>0</v>
      </c>
      <c r="T37" s="37">
        <f t="shared" si="15"/>
        <v>0</v>
      </c>
      <c r="U37">
        <f t="shared" si="16"/>
        <v>0</v>
      </c>
      <c r="V37">
        <f t="shared" si="17"/>
        <v>53.863818299568003</v>
      </c>
      <c r="W37" s="37">
        <f t="shared" si="18"/>
        <v>0</v>
      </c>
      <c r="X37">
        <f t="shared" si="19"/>
        <v>53.863818299568003</v>
      </c>
      <c r="Y37">
        <f t="shared" si="20"/>
        <v>0</v>
      </c>
    </row>
    <row r="38" spans="1:26" x14ac:dyDescent="0.25">
      <c r="A38">
        <v>17</v>
      </c>
      <c r="B38">
        <v>4277</v>
      </c>
      <c r="C38">
        <v>4150</v>
      </c>
      <c r="D38">
        <v>3992</v>
      </c>
      <c r="E38">
        <f t="shared" si="0"/>
        <v>4139.666666666667</v>
      </c>
      <c r="F38">
        <f t="shared" si="1"/>
        <v>142.78071765239636</v>
      </c>
      <c r="G38">
        <f t="shared" si="2"/>
        <v>29.245916237207055</v>
      </c>
      <c r="H38" s="37">
        <f t="shared" si="3"/>
        <v>0</v>
      </c>
      <c r="I38">
        <f t="shared" si="4"/>
        <v>0</v>
      </c>
      <c r="J38">
        <f t="shared" si="5"/>
        <v>29.245916237207055</v>
      </c>
      <c r="K38" s="37">
        <f t="shared" si="6"/>
        <v>0</v>
      </c>
      <c r="L38">
        <f t="shared" si="7"/>
        <v>29.245916237207055</v>
      </c>
      <c r="M38">
        <f t="shared" si="8"/>
        <v>0</v>
      </c>
      <c r="N38" s="37">
        <f t="shared" si="9"/>
        <v>29.245916237207055</v>
      </c>
      <c r="O38">
        <f t="shared" si="10"/>
        <v>0</v>
      </c>
      <c r="P38">
        <f t="shared" si="11"/>
        <v>0</v>
      </c>
      <c r="Q38" s="37">
        <f t="shared" si="12"/>
        <v>0</v>
      </c>
      <c r="R38">
        <f t="shared" si="13"/>
        <v>0</v>
      </c>
      <c r="S38">
        <f t="shared" si="14"/>
        <v>29.245916237207055</v>
      </c>
      <c r="T38" s="37">
        <f t="shared" si="15"/>
        <v>29.245916237207055</v>
      </c>
      <c r="U38">
        <f t="shared" si="16"/>
        <v>0</v>
      </c>
      <c r="V38">
        <f t="shared" si="17"/>
        <v>0</v>
      </c>
      <c r="W38" s="37">
        <f t="shared" si="18"/>
        <v>0</v>
      </c>
      <c r="X38">
        <f t="shared" si="19"/>
        <v>0</v>
      </c>
      <c r="Y38">
        <f t="shared" si="20"/>
        <v>29.245916237207055</v>
      </c>
    </row>
    <row r="39" spans="1:26" x14ac:dyDescent="0.25">
      <c r="A39">
        <v>18</v>
      </c>
      <c r="B39">
        <v>3125</v>
      </c>
      <c r="C39">
        <v>3119</v>
      </c>
      <c r="D39">
        <v>3127</v>
      </c>
      <c r="E39">
        <f t="shared" si="0"/>
        <v>3123.6666666666665</v>
      </c>
      <c r="F39">
        <f t="shared" si="1"/>
        <v>4.1633319989322661</v>
      </c>
      <c r="G39">
        <f t="shared" si="2"/>
        <v>57.504472774037666</v>
      </c>
      <c r="H39" s="37">
        <f t="shared" si="3"/>
        <v>0</v>
      </c>
      <c r="I39">
        <f t="shared" si="4"/>
        <v>0</v>
      </c>
      <c r="J39">
        <f t="shared" si="5"/>
        <v>57.504472774037666</v>
      </c>
      <c r="K39" s="37">
        <f t="shared" si="6"/>
        <v>0</v>
      </c>
      <c r="L39">
        <f t="shared" si="7"/>
        <v>0</v>
      </c>
      <c r="M39">
        <f t="shared" si="8"/>
        <v>57.504472774037666</v>
      </c>
      <c r="N39" s="37">
        <f t="shared" si="9"/>
        <v>0</v>
      </c>
      <c r="O39">
        <f t="shared" si="10"/>
        <v>57.504472774037666</v>
      </c>
      <c r="P39">
        <f t="shared" si="11"/>
        <v>0</v>
      </c>
      <c r="Q39" s="37">
        <f t="shared" si="12"/>
        <v>57.504472774037666</v>
      </c>
      <c r="R39">
        <f t="shared" si="13"/>
        <v>0</v>
      </c>
      <c r="S39">
        <f t="shared" si="14"/>
        <v>0</v>
      </c>
      <c r="T39" s="37">
        <f t="shared" si="15"/>
        <v>0</v>
      </c>
      <c r="U39">
        <f t="shared" si="16"/>
        <v>57.504472774037666</v>
      </c>
      <c r="V39">
        <f t="shared" si="17"/>
        <v>0</v>
      </c>
      <c r="W39" s="37">
        <f t="shared" si="18"/>
        <v>57.504472774037666</v>
      </c>
      <c r="X39">
        <f t="shared" si="19"/>
        <v>0</v>
      </c>
      <c r="Y39">
        <f t="shared" si="20"/>
        <v>0</v>
      </c>
    </row>
    <row r="40" spans="1:26" x14ac:dyDescent="0.25">
      <c r="A40" s="145" t="s">
        <v>234</v>
      </c>
      <c r="B40" s="145"/>
      <c r="C40" s="145"/>
      <c r="D40" s="145"/>
      <c r="E40" s="145"/>
      <c r="F40" s="145"/>
      <c r="G40" s="153"/>
      <c r="H40" s="154" t="s">
        <v>187</v>
      </c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26"/>
    </row>
    <row r="41" spans="1:26" x14ac:dyDescent="0.25">
      <c r="A41" t="s">
        <v>182</v>
      </c>
      <c r="B41" t="s">
        <v>183</v>
      </c>
      <c r="C41" t="s">
        <v>184</v>
      </c>
      <c r="D41" t="s">
        <v>185</v>
      </c>
      <c r="E41" t="s">
        <v>7</v>
      </c>
      <c r="F41" t="s">
        <v>186</v>
      </c>
      <c r="G41" t="s">
        <v>187</v>
      </c>
      <c r="H41" s="37" t="s">
        <v>195</v>
      </c>
      <c r="I41" t="s">
        <v>196</v>
      </c>
      <c r="J41" t="s">
        <v>197</v>
      </c>
      <c r="K41" s="37" t="s">
        <v>198</v>
      </c>
      <c r="L41" t="s">
        <v>222</v>
      </c>
      <c r="M41" t="s">
        <v>223</v>
      </c>
      <c r="N41" s="37" t="s">
        <v>201</v>
      </c>
      <c r="O41" s="26" t="s">
        <v>202</v>
      </c>
      <c r="P41" s="26" t="s">
        <v>203</v>
      </c>
      <c r="Q41" s="125" t="s">
        <v>204</v>
      </c>
      <c r="R41" s="17" t="s">
        <v>205</v>
      </c>
      <c r="S41" s="17" t="s">
        <v>206</v>
      </c>
      <c r="T41" s="37" t="s">
        <v>32</v>
      </c>
      <c r="U41" s="26" t="s">
        <v>100</v>
      </c>
      <c r="V41" s="26" t="s">
        <v>101</v>
      </c>
      <c r="W41" s="37" t="s">
        <v>207</v>
      </c>
      <c r="X41" s="26" t="s">
        <v>208</v>
      </c>
      <c r="Y41" s="26" t="s">
        <v>209</v>
      </c>
      <c r="Z41" s="26"/>
    </row>
    <row r="42" spans="1:26" x14ac:dyDescent="0.25">
      <c r="A42">
        <v>1</v>
      </c>
      <c r="B42">
        <v>1975</v>
      </c>
      <c r="C42">
        <v>1934</v>
      </c>
      <c r="D42">
        <v>1907</v>
      </c>
      <c r="E42">
        <f>AVERAGE(B42:D42)</f>
        <v>1938.6666666666667</v>
      </c>
      <c r="F42">
        <f>_xlfn.STDEV.S(B42:D42)</f>
        <v>34.239353576452544</v>
      </c>
      <c r="G42">
        <f>10*LOG10(E42^2/F42^2)</f>
        <v>35.059551726653581</v>
      </c>
      <c r="H42" s="37">
        <f>IF($A2=H$19,$G42,0)</f>
        <v>35.059551726653581</v>
      </c>
      <c r="I42">
        <f t="shared" ref="I42:J42" si="21">IF($A2=I$19,$G42,0)</f>
        <v>0</v>
      </c>
      <c r="J42">
        <f t="shared" si="21"/>
        <v>0</v>
      </c>
      <c r="K42" s="37">
        <f>IF($B2=K$19,$G42,0)</f>
        <v>35.059551726653581</v>
      </c>
      <c r="L42">
        <f t="shared" ref="L42:M42" si="22">IF($B2=L$19,$G42,0)</f>
        <v>0</v>
      </c>
      <c r="M42">
        <f t="shared" si="22"/>
        <v>0</v>
      </c>
      <c r="N42" s="37">
        <f>IF($C2=N$19,$G42,0)</f>
        <v>35.059551726653581</v>
      </c>
      <c r="O42">
        <f t="shared" ref="O42:P42" si="23">IF($C2=O$19,$G42,0)</f>
        <v>0</v>
      </c>
      <c r="P42">
        <f t="shared" si="23"/>
        <v>0</v>
      </c>
      <c r="Q42" s="37">
        <f>IF($D2=Q$19,$G42,0)</f>
        <v>35.059551726653581</v>
      </c>
      <c r="R42">
        <f t="shared" ref="R42:S42" si="24">IF($D2=R$19,$G42,0)</f>
        <v>0</v>
      </c>
      <c r="S42">
        <f t="shared" si="24"/>
        <v>0</v>
      </c>
      <c r="T42" s="37">
        <f>IF($E2=T$19,$G42,0)</f>
        <v>35.059551726653581</v>
      </c>
      <c r="U42">
        <f t="shared" ref="U42:V42" si="25">IF($E2=U$19,$G42,0)</f>
        <v>0</v>
      </c>
      <c r="V42">
        <f t="shared" si="25"/>
        <v>0</v>
      </c>
      <c r="W42" s="37">
        <f>IF($F2=W$19,$G42,0)</f>
        <v>35.059551726653581</v>
      </c>
      <c r="X42">
        <f t="shared" ref="X42:Y42" si="26">IF($F2=X$19,$G42,0)</f>
        <v>0</v>
      </c>
      <c r="Y42">
        <f t="shared" si="26"/>
        <v>0</v>
      </c>
    </row>
    <row r="43" spans="1:26" x14ac:dyDescent="0.25">
      <c r="A43">
        <v>2</v>
      </c>
      <c r="B43">
        <v>5201</v>
      </c>
      <c r="C43">
        <v>5254</v>
      </c>
      <c r="D43">
        <v>5309</v>
      </c>
      <c r="E43">
        <f t="shared" ref="E43:E59" si="27">AVERAGE(B43:D43)</f>
        <v>5254.666666666667</v>
      </c>
      <c r="F43">
        <f t="shared" ref="F43:F59" si="28">_xlfn.STDEV.S(B43:D43)</f>
        <v>54.003086331554542</v>
      </c>
      <c r="G43">
        <f t="shared" ref="G43:G59" si="29">10*LOG10(E43^2/F43^2)</f>
        <v>39.76253181136655</v>
      </c>
      <c r="H43" s="37">
        <f t="shared" ref="H43:J43" si="30">IF($A3=H$19,$G43,0)</f>
        <v>39.76253181136655</v>
      </c>
      <c r="I43">
        <f t="shared" si="30"/>
        <v>0</v>
      </c>
      <c r="J43">
        <f t="shared" si="30"/>
        <v>0</v>
      </c>
      <c r="K43" s="37">
        <f t="shared" ref="K43:M43" si="31">IF($B3=K$19,$G43,0)</f>
        <v>0</v>
      </c>
      <c r="L43">
        <f t="shared" si="31"/>
        <v>39.76253181136655</v>
      </c>
      <c r="M43">
        <f t="shared" si="31"/>
        <v>0</v>
      </c>
      <c r="N43" s="37">
        <f t="shared" ref="N43:P43" si="32">IF($C3=N$19,$G43,0)</f>
        <v>0</v>
      </c>
      <c r="O43">
        <f t="shared" si="32"/>
        <v>39.76253181136655</v>
      </c>
      <c r="P43">
        <f t="shared" si="32"/>
        <v>0</v>
      </c>
      <c r="Q43" s="37">
        <f t="shared" ref="Q43:S43" si="33">IF($D3=Q$19,$G43,0)</f>
        <v>0</v>
      </c>
      <c r="R43">
        <f t="shared" si="33"/>
        <v>39.76253181136655</v>
      </c>
      <c r="S43">
        <f t="shared" si="33"/>
        <v>0</v>
      </c>
      <c r="T43" s="37">
        <f t="shared" ref="T43:V43" si="34">IF($E3=T$19,$G43,0)</f>
        <v>0</v>
      </c>
      <c r="U43">
        <f t="shared" si="34"/>
        <v>39.76253181136655</v>
      </c>
      <c r="V43">
        <f t="shared" si="34"/>
        <v>0</v>
      </c>
      <c r="W43" s="37">
        <f t="shared" ref="W43:Y43" si="35">IF($F3=W$19,$G43,0)</f>
        <v>0</v>
      </c>
      <c r="X43">
        <f t="shared" si="35"/>
        <v>39.76253181136655</v>
      </c>
      <c r="Y43">
        <f t="shared" si="35"/>
        <v>0</v>
      </c>
    </row>
    <row r="44" spans="1:26" x14ac:dyDescent="0.25">
      <c r="A44">
        <v>3</v>
      </c>
      <c r="B44">
        <v>6152</v>
      </c>
      <c r="C44">
        <v>5910</v>
      </c>
      <c r="D44">
        <v>5886</v>
      </c>
      <c r="E44">
        <f t="shared" si="27"/>
        <v>5982.666666666667</v>
      </c>
      <c r="F44">
        <f t="shared" si="28"/>
        <v>147.13712425262813</v>
      </c>
      <c r="G44">
        <f t="shared" si="29"/>
        <v>32.183450849934765</v>
      </c>
      <c r="H44" s="37">
        <f t="shared" ref="H44:J44" si="36">IF($A4=H$19,$G44,0)</f>
        <v>32.183450849934765</v>
      </c>
      <c r="I44">
        <f t="shared" si="36"/>
        <v>0</v>
      </c>
      <c r="J44">
        <f t="shared" si="36"/>
        <v>0</v>
      </c>
      <c r="K44" s="37">
        <f t="shared" ref="K44:M44" si="37">IF($B4=K$19,$G44,0)</f>
        <v>0</v>
      </c>
      <c r="L44">
        <f t="shared" si="37"/>
        <v>0</v>
      </c>
      <c r="M44">
        <f t="shared" si="37"/>
        <v>32.183450849934765</v>
      </c>
      <c r="N44" s="37">
        <f t="shared" ref="N44:P44" si="38">IF($C4=N$19,$G44,0)</f>
        <v>0</v>
      </c>
      <c r="O44">
        <f t="shared" si="38"/>
        <v>0</v>
      </c>
      <c r="P44">
        <f t="shared" si="38"/>
        <v>32.183450849934765</v>
      </c>
      <c r="Q44" s="37">
        <f t="shared" ref="Q44:S44" si="39">IF($D4=Q$19,$G44,0)</f>
        <v>0</v>
      </c>
      <c r="R44">
        <f t="shared" si="39"/>
        <v>0</v>
      </c>
      <c r="S44">
        <f t="shared" si="39"/>
        <v>32.183450849934765</v>
      </c>
      <c r="T44" s="37">
        <f t="shared" ref="T44:V44" si="40">IF($E4=T$19,$G44,0)</f>
        <v>0</v>
      </c>
      <c r="U44">
        <f t="shared" si="40"/>
        <v>0</v>
      </c>
      <c r="V44">
        <f t="shared" si="40"/>
        <v>32.183450849934765</v>
      </c>
      <c r="W44" s="37">
        <f t="shared" ref="W44:Y44" si="41">IF($F4=W$19,$G44,0)</f>
        <v>0</v>
      </c>
      <c r="X44">
        <f t="shared" si="41"/>
        <v>0</v>
      </c>
      <c r="Y44">
        <f t="shared" si="41"/>
        <v>32.183450849934765</v>
      </c>
    </row>
    <row r="45" spans="1:26" x14ac:dyDescent="0.25">
      <c r="A45">
        <v>4</v>
      </c>
      <c r="B45">
        <v>2140</v>
      </c>
      <c r="C45">
        <v>2125</v>
      </c>
      <c r="D45">
        <v>2108</v>
      </c>
      <c r="E45">
        <f t="shared" si="27"/>
        <v>2124.3333333333335</v>
      </c>
      <c r="F45">
        <f t="shared" si="28"/>
        <v>16.010413278030438</v>
      </c>
      <c r="G45">
        <f t="shared" si="29"/>
        <v>42.45640242438639</v>
      </c>
      <c r="H45" s="37">
        <f t="shared" ref="H45:J45" si="42">IF($A5=H$19,$G45,0)</f>
        <v>0</v>
      </c>
      <c r="I45">
        <f t="shared" si="42"/>
        <v>42.45640242438639</v>
      </c>
      <c r="J45">
        <f t="shared" si="42"/>
        <v>0</v>
      </c>
      <c r="K45" s="37">
        <f t="shared" ref="K45:M45" si="43">IF($B5=K$19,$G45,0)</f>
        <v>42.45640242438639</v>
      </c>
      <c r="L45">
        <f t="shared" si="43"/>
        <v>0</v>
      </c>
      <c r="M45">
        <f t="shared" si="43"/>
        <v>0</v>
      </c>
      <c r="N45" s="37">
        <f t="shared" ref="N45:P45" si="44">IF($C5=N$19,$G45,0)</f>
        <v>42.45640242438639</v>
      </c>
      <c r="O45">
        <f t="shared" si="44"/>
        <v>0</v>
      </c>
      <c r="P45">
        <f t="shared" si="44"/>
        <v>0</v>
      </c>
      <c r="Q45" s="37">
        <f t="shared" ref="Q45:S45" si="45">IF($D5=Q$19,$G45,0)</f>
        <v>0</v>
      </c>
      <c r="R45">
        <f t="shared" si="45"/>
        <v>42.45640242438639</v>
      </c>
      <c r="S45">
        <f t="shared" si="45"/>
        <v>0</v>
      </c>
      <c r="T45" s="37">
        <f t="shared" ref="T45:V45" si="46">IF($E5=T$19,$G45,0)</f>
        <v>0</v>
      </c>
      <c r="U45">
        <f t="shared" si="46"/>
        <v>42.45640242438639</v>
      </c>
      <c r="V45">
        <f t="shared" si="46"/>
        <v>0</v>
      </c>
      <c r="W45" s="37">
        <f t="shared" ref="W45:Y45" si="47">IF($F5=W$19,$G45,0)</f>
        <v>0</v>
      </c>
      <c r="X45">
        <f t="shared" si="47"/>
        <v>0</v>
      </c>
      <c r="Y45">
        <f t="shared" si="47"/>
        <v>42.45640242438639</v>
      </c>
    </row>
    <row r="46" spans="1:26" x14ac:dyDescent="0.25">
      <c r="A46">
        <v>5</v>
      </c>
      <c r="B46">
        <v>4556</v>
      </c>
      <c r="C46">
        <v>4504</v>
      </c>
      <c r="D46">
        <v>4560</v>
      </c>
      <c r="E46">
        <f t="shared" si="27"/>
        <v>4540</v>
      </c>
      <c r="F46">
        <f t="shared" si="28"/>
        <v>31.240998703626616</v>
      </c>
      <c r="G46">
        <f t="shared" si="29"/>
        <v>43.246618880475161</v>
      </c>
      <c r="H46" s="37">
        <f t="shared" ref="H46:J46" si="48">IF($A6=H$19,$G46,0)</f>
        <v>0</v>
      </c>
      <c r="I46">
        <f t="shared" si="48"/>
        <v>43.246618880475161</v>
      </c>
      <c r="J46">
        <f t="shared" si="48"/>
        <v>0</v>
      </c>
      <c r="K46" s="37">
        <f t="shared" ref="K46:M46" si="49">IF($B6=K$19,$G46,0)</f>
        <v>0</v>
      </c>
      <c r="L46">
        <f t="shared" si="49"/>
        <v>43.246618880475161</v>
      </c>
      <c r="M46">
        <f t="shared" si="49"/>
        <v>0</v>
      </c>
      <c r="N46" s="37">
        <f t="shared" ref="N46:P46" si="50">IF($C6=N$19,$G46,0)</f>
        <v>0</v>
      </c>
      <c r="O46">
        <f t="shared" si="50"/>
        <v>43.246618880475161</v>
      </c>
      <c r="P46">
        <f t="shared" si="50"/>
        <v>0</v>
      </c>
      <c r="Q46" s="37">
        <f t="shared" ref="Q46:S46" si="51">IF($D6=Q$19,$G46,0)</f>
        <v>0</v>
      </c>
      <c r="R46">
        <f t="shared" si="51"/>
        <v>0</v>
      </c>
      <c r="S46">
        <f t="shared" si="51"/>
        <v>43.246618880475161</v>
      </c>
      <c r="T46" s="37">
        <f t="shared" ref="T46:V46" si="52">IF($E6=T$19,$G46,0)</f>
        <v>0</v>
      </c>
      <c r="U46">
        <f t="shared" si="52"/>
        <v>0</v>
      </c>
      <c r="V46">
        <f t="shared" si="52"/>
        <v>43.246618880475161</v>
      </c>
      <c r="W46" s="37">
        <f t="shared" ref="W46:Y46" si="53">IF($F6=W$19,$G46,0)</f>
        <v>43.246618880475161</v>
      </c>
      <c r="X46">
        <f t="shared" si="53"/>
        <v>0</v>
      </c>
      <c r="Y46">
        <f t="shared" si="53"/>
        <v>0</v>
      </c>
    </row>
    <row r="47" spans="1:26" x14ac:dyDescent="0.25">
      <c r="A47">
        <v>6</v>
      </c>
      <c r="B47">
        <v>2833</v>
      </c>
      <c r="C47">
        <v>2837</v>
      </c>
      <c r="D47">
        <v>2828</v>
      </c>
      <c r="E47">
        <f t="shared" si="27"/>
        <v>2832.6666666666665</v>
      </c>
      <c r="F47">
        <f t="shared" si="28"/>
        <v>4.5092497528228943</v>
      </c>
      <c r="G47">
        <f t="shared" si="29"/>
        <v>55.961823637765619</v>
      </c>
      <c r="H47" s="37">
        <f t="shared" ref="H47:J47" si="54">IF($A7=H$19,$G47,0)</f>
        <v>0</v>
      </c>
      <c r="I47">
        <f t="shared" si="54"/>
        <v>55.961823637765619</v>
      </c>
      <c r="J47">
        <f t="shared" si="54"/>
        <v>0</v>
      </c>
      <c r="K47" s="37">
        <f t="shared" ref="K47:M47" si="55">IF($B7=K$19,$G47,0)</f>
        <v>0</v>
      </c>
      <c r="L47">
        <f t="shared" si="55"/>
        <v>0</v>
      </c>
      <c r="M47">
        <f t="shared" si="55"/>
        <v>55.961823637765619</v>
      </c>
      <c r="N47" s="37">
        <f t="shared" ref="N47:P47" si="56">IF($C7=N$19,$G47,0)</f>
        <v>0</v>
      </c>
      <c r="O47">
        <f t="shared" si="56"/>
        <v>0</v>
      </c>
      <c r="P47">
        <f t="shared" si="56"/>
        <v>55.961823637765619</v>
      </c>
      <c r="Q47" s="37">
        <f t="shared" ref="Q47:S47" si="57">IF($D7=Q$19,$G47,0)</f>
        <v>55.961823637765619</v>
      </c>
      <c r="R47">
        <f t="shared" si="57"/>
        <v>0</v>
      </c>
      <c r="S47">
        <f t="shared" si="57"/>
        <v>0</v>
      </c>
      <c r="T47" s="37">
        <f t="shared" ref="T47:V47" si="58">IF($E7=T$19,$G47,0)</f>
        <v>55.961823637765619</v>
      </c>
      <c r="U47">
        <f t="shared" si="58"/>
        <v>0</v>
      </c>
      <c r="V47">
        <f t="shared" si="58"/>
        <v>0</v>
      </c>
      <c r="W47" s="37">
        <f t="shared" ref="W47:Y47" si="59">IF($F7=W$19,$G47,0)</f>
        <v>0</v>
      </c>
      <c r="X47">
        <f t="shared" si="59"/>
        <v>55.961823637765619</v>
      </c>
      <c r="Y47">
        <f t="shared" si="59"/>
        <v>0</v>
      </c>
    </row>
    <row r="48" spans="1:26" x14ac:dyDescent="0.25">
      <c r="A48">
        <v>7</v>
      </c>
      <c r="B48">
        <v>3468</v>
      </c>
      <c r="C48">
        <v>3333</v>
      </c>
      <c r="D48">
        <v>3389</v>
      </c>
      <c r="E48">
        <f t="shared" si="27"/>
        <v>3396.6666666666665</v>
      </c>
      <c r="F48">
        <f t="shared" si="28"/>
        <v>67.825757152672708</v>
      </c>
      <c r="G48">
        <f t="shared" si="29"/>
        <v>33.99316557417508</v>
      </c>
      <c r="H48" s="37">
        <f t="shared" ref="H48:J48" si="60">IF($A8=H$19,$G48,0)</f>
        <v>0</v>
      </c>
      <c r="I48">
        <f t="shared" si="60"/>
        <v>0</v>
      </c>
      <c r="J48">
        <f t="shared" si="60"/>
        <v>33.99316557417508</v>
      </c>
      <c r="K48" s="37">
        <f t="shared" ref="K48:M48" si="61">IF($B8=K$19,$G48,0)</f>
        <v>33.99316557417508</v>
      </c>
      <c r="L48">
        <f t="shared" si="61"/>
        <v>0</v>
      </c>
      <c r="M48">
        <f t="shared" si="61"/>
        <v>0</v>
      </c>
      <c r="N48" s="37">
        <f t="shared" ref="N48:P48" si="62">IF($C8=N$19,$G48,0)</f>
        <v>0</v>
      </c>
      <c r="O48">
        <f t="shared" si="62"/>
        <v>33.99316557417508</v>
      </c>
      <c r="P48">
        <f t="shared" si="62"/>
        <v>0</v>
      </c>
      <c r="Q48" s="37">
        <f t="shared" ref="Q48:S48" si="63">IF($D8=Q$19,$G48,0)</f>
        <v>33.99316557417508</v>
      </c>
      <c r="R48">
        <f t="shared" si="63"/>
        <v>0</v>
      </c>
      <c r="S48">
        <f t="shared" si="63"/>
        <v>0</v>
      </c>
      <c r="T48" s="37">
        <f t="shared" ref="T48:V48" si="64">IF($E8=T$19,$G48,0)</f>
        <v>0</v>
      </c>
      <c r="U48">
        <f t="shared" si="64"/>
        <v>0</v>
      </c>
      <c r="V48">
        <f t="shared" si="64"/>
        <v>33.99316557417508</v>
      </c>
      <c r="W48" s="37">
        <f t="shared" ref="W48:Y48" si="65">IF($F8=W$19,$G48,0)</f>
        <v>0</v>
      </c>
      <c r="X48">
        <f t="shared" si="65"/>
        <v>0</v>
      </c>
      <c r="Y48">
        <f t="shared" si="65"/>
        <v>33.99316557417508</v>
      </c>
    </row>
    <row r="49" spans="1:25" x14ac:dyDescent="0.25">
      <c r="A49">
        <v>8</v>
      </c>
      <c r="B49">
        <v>4407</v>
      </c>
      <c r="C49">
        <v>4156</v>
      </c>
      <c r="D49">
        <v>4094</v>
      </c>
      <c r="E49">
        <f t="shared" si="27"/>
        <v>4219</v>
      </c>
      <c r="F49">
        <f t="shared" si="28"/>
        <v>165.73774464496614</v>
      </c>
      <c r="G49">
        <f t="shared" si="29"/>
        <v>28.115762014046119</v>
      </c>
      <c r="H49" s="37">
        <f t="shared" ref="H49:J49" si="66">IF($A9=H$19,$G49,0)</f>
        <v>0</v>
      </c>
      <c r="I49">
        <f t="shared" si="66"/>
        <v>0</v>
      </c>
      <c r="J49">
        <f t="shared" si="66"/>
        <v>28.115762014046119</v>
      </c>
      <c r="K49" s="37">
        <f t="shared" ref="K49:M49" si="67">IF($B9=K$19,$G49,0)</f>
        <v>0</v>
      </c>
      <c r="L49">
        <f t="shared" si="67"/>
        <v>28.115762014046119</v>
      </c>
      <c r="M49">
        <f t="shared" si="67"/>
        <v>0</v>
      </c>
      <c r="N49" s="37">
        <f t="shared" ref="N49:P49" si="68">IF($C9=N$19,$G49,0)</f>
        <v>0</v>
      </c>
      <c r="O49">
        <f t="shared" si="68"/>
        <v>0</v>
      </c>
      <c r="P49">
        <f t="shared" si="68"/>
        <v>28.115762014046119</v>
      </c>
      <c r="Q49" s="37">
        <f t="shared" ref="Q49:S49" si="69">IF($D9=Q$19,$G49,0)</f>
        <v>0</v>
      </c>
      <c r="R49">
        <f t="shared" si="69"/>
        <v>28.115762014046119</v>
      </c>
      <c r="S49">
        <f t="shared" si="69"/>
        <v>0</v>
      </c>
      <c r="T49" s="37">
        <f t="shared" ref="T49:V49" si="70">IF($E9=T$19,$G49,0)</f>
        <v>28.115762014046119</v>
      </c>
      <c r="U49">
        <f t="shared" si="70"/>
        <v>0</v>
      </c>
      <c r="V49">
        <f t="shared" si="70"/>
        <v>0</v>
      </c>
      <c r="W49" s="37">
        <f t="shared" ref="W49:Y49" si="71">IF($F9=W$19,$G49,0)</f>
        <v>28.115762014046119</v>
      </c>
      <c r="X49">
        <f t="shared" si="71"/>
        <v>0</v>
      </c>
      <c r="Y49">
        <f t="shared" si="71"/>
        <v>0</v>
      </c>
    </row>
    <row r="50" spans="1:25" x14ac:dyDescent="0.25">
      <c r="A50">
        <v>9</v>
      </c>
      <c r="B50">
        <v>3871</v>
      </c>
      <c r="C50">
        <v>3922</v>
      </c>
      <c r="D50">
        <v>3904</v>
      </c>
      <c r="E50">
        <f t="shared" si="27"/>
        <v>3899</v>
      </c>
      <c r="F50">
        <f t="shared" si="28"/>
        <v>25.865034312755125</v>
      </c>
      <c r="G50">
        <f t="shared" si="29"/>
        <v>43.564803526081484</v>
      </c>
      <c r="H50" s="37">
        <f t="shared" ref="H50:J50" si="72">IF($A10=H$19,$G50,0)</f>
        <v>0</v>
      </c>
      <c r="I50">
        <f t="shared" si="72"/>
        <v>0</v>
      </c>
      <c r="J50">
        <f t="shared" si="72"/>
        <v>43.564803526081484</v>
      </c>
      <c r="K50" s="37">
        <f t="shared" ref="K50:M50" si="73">IF($B10=K$19,$G50,0)</f>
        <v>0</v>
      </c>
      <c r="L50">
        <f t="shared" si="73"/>
        <v>0</v>
      </c>
      <c r="M50">
        <f t="shared" si="73"/>
        <v>43.564803526081484</v>
      </c>
      <c r="N50" s="37">
        <f t="shared" ref="N50:P50" si="74">IF($C10=N$19,$G50,0)</f>
        <v>43.564803526081484</v>
      </c>
      <c r="O50">
        <f t="shared" si="74"/>
        <v>0</v>
      </c>
      <c r="P50">
        <f t="shared" si="74"/>
        <v>0</v>
      </c>
      <c r="Q50" s="37">
        <f t="shared" ref="Q50:S50" si="75">IF($D10=Q$19,$G50,0)</f>
        <v>0</v>
      </c>
      <c r="R50">
        <f t="shared" si="75"/>
        <v>0</v>
      </c>
      <c r="S50">
        <f t="shared" si="75"/>
        <v>43.564803526081484</v>
      </c>
      <c r="T50" s="37">
        <f t="shared" ref="T50:V50" si="76">IF($E10=T$19,$G50,0)</f>
        <v>0</v>
      </c>
      <c r="U50">
        <f t="shared" si="76"/>
        <v>43.564803526081484</v>
      </c>
      <c r="V50">
        <f t="shared" si="76"/>
        <v>0</v>
      </c>
      <c r="W50" s="37">
        <f t="shared" ref="W50:Y50" si="77">IF($F10=W$19,$G50,0)</f>
        <v>0</v>
      </c>
      <c r="X50">
        <f t="shared" si="77"/>
        <v>43.564803526081484</v>
      </c>
      <c r="Y50">
        <f t="shared" si="77"/>
        <v>0</v>
      </c>
    </row>
    <row r="51" spans="1:25" x14ac:dyDescent="0.25">
      <c r="A51">
        <v>10</v>
      </c>
      <c r="B51">
        <v>3468</v>
      </c>
      <c r="C51">
        <v>3450</v>
      </c>
      <c r="D51">
        <v>3420</v>
      </c>
      <c r="E51">
        <f t="shared" si="27"/>
        <v>3446</v>
      </c>
      <c r="F51">
        <f t="shared" si="28"/>
        <v>24.248711305964282</v>
      </c>
      <c r="G51">
        <f t="shared" si="29"/>
        <v>43.052532201478812</v>
      </c>
      <c r="H51" s="37">
        <f t="shared" ref="H51:J51" si="78">IF($A11=H$19,$G51,0)</f>
        <v>43.052532201478812</v>
      </c>
      <c r="I51">
        <f t="shared" si="78"/>
        <v>0</v>
      </c>
      <c r="J51">
        <f t="shared" si="78"/>
        <v>0</v>
      </c>
      <c r="K51" s="37">
        <f t="shared" ref="K51:M51" si="79">IF($B11=K$19,$G51,0)</f>
        <v>43.052532201478812</v>
      </c>
      <c r="L51">
        <f t="shared" si="79"/>
        <v>0</v>
      </c>
      <c r="M51">
        <f t="shared" si="79"/>
        <v>0</v>
      </c>
      <c r="N51" s="37">
        <f t="shared" ref="N51:P51" si="80">IF($C11=N$19,$G51,0)</f>
        <v>0</v>
      </c>
      <c r="O51">
        <f t="shared" si="80"/>
        <v>0</v>
      </c>
      <c r="P51">
        <f t="shared" si="80"/>
        <v>43.052532201478812</v>
      </c>
      <c r="Q51" s="37">
        <f t="shared" ref="Q51:S51" si="81">IF($D11=Q$19,$G51,0)</f>
        <v>0</v>
      </c>
      <c r="R51">
        <f t="shared" si="81"/>
        <v>0</v>
      </c>
      <c r="S51">
        <f t="shared" si="81"/>
        <v>43.052532201478812</v>
      </c>
      <c r="T51" s="37">
        <f t="shared" ref="T51:V51" si="82">IF($E11=T$19,$G51,0)</f>
        <v>0</v>
      </c>
      <c r="U51">
        <f t="shared" si="82"/>
        <v>43.052532201478812</v>
      </c>
      <c r="V51">
        <f t="shared" si="82"/>
        <v>0</v>
      </c>
      <c r="W51" s="37">
        <f t="shared" ref="W51:Y51" si="83">IF($F11=W$19,$G51,0)</f>
        <v>43.052532201478812</v>
      </c>
      <c r="X51">
        <f t="shared" si="83"/>
        <v>0</v>
      </c>
      <c r="Y51">
        <f t="shared" si="83"/>
        <v>0</v>
      </c>
    </row>
    <row r="52" spans="1:25" x14ac:dyDescent="0.25">
      <c r="A52">
        <v>11</v>
      </c>
      <c r="B52">
        <v>2576</v>
      </c>
      <c r="C52">
        <v>2537</v>
      </c>
      <c r="D52">
        <v>2512</v>
      </c>
      <c r="E52">
        <f t="shared" si="27"/>
        <v>2541.6666666666665</v>
      </c>
      <c r="F52">
        <f t="shared" si="28"/>
        <v>32.254198693090075</v>
      </c>
      <c r="G52">
        <f t="shared" si="29"/>
        <v>37.930646726526518</v>
      </c>
      <c r="H52" s="37">
        <f t="shared" ref="H52:J52" si="84">IF($A12=H$19,$G52,0)</f>
        <v>37.930646726526518</v>
      </c>
      <c r="I52">
        <f t="shared" si="84"/>
        <v>0</v>
      </c>
      <c r="J52">
        <f t="shared" si="84"/>
        <v>0</v>
      </c>
      <c r="K52" s="37">
        <f t="shared" ref="K52:M52" si="85">IF($B12=K$19,$G52,0)</f>
        <v>0</v>
      </c>
      <c r="L52">
        <f t="shared" si="85"/>
        <v>37.930646726526518</v>
      </c>
      <c r="M52">
        <f t="shared" si="85"/>
        <v>0</v>
      </c>
      <c r="N52" s="37">
        <f t="shared" ref="N52:P52" si="86">IF($C12=N$19,$G52,0)</f>
        <v>37.930646726526518</v>
      </c>
      <c r="O52">
        <f t="shared" si="86"/>
        <v>0</v>
      </c>
      <c r="P52">
        <f t="shared" si="86"/>
        <v>0</v>
      </c>
      <c r="Q52" s="37">
        <f t="shared" ref="Q52:S52" si="87">IF($D12=Q$19,$G52,0)</f>
        <v>37.930646726526518</v>
      </c>
      <c r="R52">
        <f t="shared" si="87"/>
        <v>0</v>
      </c>
      <c r="S52">
        <f t="shared" si="87"/>
        <v>0</v>
      </c>
      <c r="T52" s="37">
        <f t="shared" ref="T52:V52" si="88">IF($E12=T$19,$G52,0)</f>
        <v>0</v>
      </c>
      <c r="U52">
        <f t="shared" si="88"/>
        <v>0</v>
      </c>
      <c r="V52">
        <f t="shared" si="88"/>
        <v>37.930646726526518</v>
      </c>
      <c r="W52" s="37">
        <f t="shared" ref="W52:Y52" si="89">IF($F12=W$19,$G52,0)</f>
        <v>0</v>
      </c>
      <c r="X52">
        <f t="shared" si="89"/>
        <v>37.930646726526518</v>
      </c>
      <c r="Y52">
        <f t="shared" si="89"/>
        <v>0</v>
      </c>
    </row>
    <row r="53" spans="1:25" x14ac:dyDescent="0.25">
      <c r="A53">
        <v>12</v>
      </c>
      <c r="B53">
        <v>5780</v>
      </c>
      <c r="C53">
        <v>5695</v>
      </c>
      <c r="D53">
        <v>5814</v>
      </c>
      <c r="E53">
        <f t="shared" si="27"/>
        <v>5763</v>
      </c>
      <c r="F53">
        <f t="shared" si="28"/>
        <v>61.294371682887821</v>
      </c>
      <c r="G53">
        <f t="shared" si="29"/>
        <v>39.464560440993274</v>
      </c>
      <c r="H53" s="37">
        <f t="shared" ref="H53:J53" si="90">IF($A13=H$19,$G53,0)</f>
        <v>39.464560440993274</v>
      </c>
      <c r="I53">
        <f t="shared" si="90"/>
        <v>0</v>
      </c>
      <c r="J53">
        <f t="shared" si="90"/>
        <v>0</v>
      </c>
      <c r="K53" s="37">
        <f t="shared" ref="K53:M53" si="91">IF($B13=K$19,$G53,0)</f>
        <v>0</v>
      </c>
      <c r="L53">
        <f t="shared" si="91"/>
        <v>0</v>
      </c>
      <c r="M53">
        <f t="shared" si="91"/>
        <v>39.464560440993274</v>
      </c>
      <c r="N53" s="37">
        <f t="shared" ref="N53:P53" si="92">IF($C13=N$19,$G53,0)</f>
        <v>0</v>
      </c>
      <c r="O53">
        <f t="shared" si="92"/>
        <v>39.464560440993274</v>
      </c>
      <c r="P53">
        <f t="shared" si="92"/>
        <v>0</v>
      </c>
      <c r="Q53" s="37">
        <f t="shared" ref="Q53:S53" si="93">IF($D13=Q$19,$G53,0)</f>
        <v>0</v>
      </c>
      <c r="R53">
        <f t="shared" si="93"/>
        <v>39.464560440993274</v>
      </c>
      <c r="S53">
        <f t="shared" si="93"/>
        <v>0</v>
      </c>
      <c r="T53" s="37">
        <f t="shared" ref="T53:V53" si="94">IF($E13=T$19,$G53,0)</f>
        <v>39.464560440993274</v>
      </c>
      <c r="U53">
        <f t="shared" si="94"/>
        <v>0</v>
      </c>
      <c r="V53">
        <f t="shared" si="94"/>
        <v>0</v>
      </c>
      <c r="W53" s="37">
        <f t="shared" ref="W53:Y53" si="95">IF($F13=W$19,$G53,0)</f>
        <v>0</v>
      </c>
      <c r="X53">
        <f t="shared" si="95"/>
        <v>0</v>
      </c>
      <c r="Y53">
        <f t="shared" si="95"/>
        <v>39.464560440993274</v>
      </c>
    </row>
    <row r="54" spans="1:25" x14ac:dyDescent="0.25">
      <c r="A54">
        <v>13</v>
      </c>
      <c r="B54">
        <v>2684</v>
      </c>
      <c r="C54">
        <v>3635</v>
      </c>
      <c r="D54">
        <v>2606</v>
      </c>
      <c r="E54">
        <f t="shared" si="27"/>
        <v>2975</v>
      </c>
      <c r="F54">
        <f t="shared" si="28"/>
        <v>572.90575141117233</v>
      </c>
      <c r="G54">
        <f t="shared" si="29"/>
        <v>14.308075758058674</v>
      </c>
      <c r="H54" s="37">
        <f t="shared" ref="H54:J54" si="96">IF($A14=H$19,$G54,0)</f>
        <v>0</v>
      </c>
      <c r="I54">
        <f t="shared" si="96"/>
        <v>14.308075758058674</v>
      </c>
      <c r="J54">
        <f t="shared" si="96"/>
        <v>0</v>
      </c>
      <c r="K54" s="37">
        <f t="shared" ref="K54:M54" si="97">IF($B14=K$19,$G54,0)</f>
        <v>14.308075758058674</v>
      </c>
      <c r="L54">
        <f t="shared" si="97"/>
        <v>0</v>
      </c>
      <c r="M54">
        <f t="shared" si="97"/>
        <v>0</v>
      </c>
      <c r="N54" s="37">
        <f t="shared" ref="N54:P54" si="98">IF($C14=N$19,$G54,0)</f>
        <v>0</v>
      </c>
      <c r="O54">
        <f t="shared" si="98"/>
        <v>14.308075758058674</v>
      </c>
      <c r="P54">
        <f t="shared" si="98"/>
        <v>0</v>
      </c>
      <c r="Q54" s="37">
        <f t="shared" ref="Q54:S54" si="99">IF($D14=Q$19,$G54,0)</f>
        <v>0</v>
      </c>
      <c r="R54">
        <f t="shared" si="99"/>
        <v>0</v>
      </c>
      <c r="S54">
        <f t="shared" si="99"/>
        <v>14.308075758058674</v>
      </c>
      <c r="T54" s="37">
        <f t="shared" ref="T54:V54" si="100">IF($E14=T$19,$G54,0)</f>
        <v>14.308075758058674</v>
      </c>
      <c r="U54">
        <f t="shared" si="100"/>
        <v>0</v>
      </c>
      <c r="V54">
        <f t="shared" si="100"/>
        <v>0</v>
      </c>
      <c r="W54" s="37">
        <f t="shared" ref="W54:Y54" si="101">IF($F14=W$19,$G54,0)</f>
        <v>0</v>
      </c>
      <c r="X54">
        <f t="shared" si="101"/>
        <v>14.308075758058674</v>
      </c>
      <c r="Y54">
        <f t="shared" si="101"/>
        <v>0</v>
      </c>
    </row>
    <row r="55" spans="1:25" x14ac:dyDescent="0.25">
      <c r="A55">
        <v>14</v>
      </c>
      <c r="B55">
        <v>2829</v>
      </c>
      <c r="C55">
        <v>2864</v>
      </c>
      <c r="D55">
        <v>2839</v>
      </c>
      <c r="E55">
        <f t="shared" si="27"/>
        <v>2844</v>
      </c>
      <c r="F55">
        <f t="shared" si="28"/>
        <v>18.027756377319946</v>
      </c>
      <c r="G55">
        <f t="shared" si="29"/>
        <v>43.959758231365825</v>
      </c>
      <c r="H55" s="37">
        <f t="shared" ref="H55:J55" si="102">IF($A15=H$19,$G55,0)</f>
        <v>0</v>
      </c>
      <c r="I55">
        <f t="shared" si="102"/>
        <v>43.959758231365825</v>
      </c>
      <c r="J55">
        <f t="shared" si="102"/>
        <v>0</v>
      </c>
      <c r="K55" s="37">
        <f t="shared" ref="K55:M55" si="103">IF($B15=K$19,$G55,0)</f>
        <v>0</v>
      </c>
      <c r="L55">
        <f t="shared" si="103"/>
        <v>43.959758231365825</v>
      </c>
      <c r="M55">
        <f t="shared" si="103"/>
        <v>0</v>
      </c>
      <c r="N55" s="37">
        <f t="shared" ref="N55:P55" si="104">IF($C15=N$19,$G55,0)</f>
        <v>0</v>
      </c>
      <c r="O55">
        <f t="shared" si="104"/>
        <v>0</v>
      </c>
      <c r="P55">
        <f t="shared" si="104"/>
        <v>43.959758231365825</v>
      </c>
      <c r="Q55" s="37">
        <f t="shared" ref="Q55:S55" si="105">IF($D15=Q$19,$G55,0)</f>
        <v>43.959758231365825</v>
      </c>
      <c r="R55">
        <f t="shared" si="105"/>
        <v>0</v>
      </c>
      <c r="S55">
        <f t="shared" si="105"/>
        <v>0</v>
      </c>
      <c r="T55" s="37">
        <f t="shared" ref="T55:V55" si="106">IF($E15=T$19,$G55,0)</f>
        <v>0</v>
      </c>
      <c r="U55">
        <f t="shared" si="106"/>
        <v>43.959758231365825</v>
      </c>
      <c r="V55">
        <f t="shared" si="106"/>
        <v>0</v>
      </c>
      <c r="W55" s="37">
        <f t="shared" ref="W55:Y55" si="107">IF($F15=W$19,$G55,0)</f>
        <v>0</v>
      </c>
      <c r="X55">
        <f t="shared" si="107"/>
        <v>0</v>
      </c>
      <c r="Y55">
        <f t="shared" si="107"/>
        <v>43.959758231365825</v>
      </c>
    </row>
    <row r="56" spans="1:25" x14ac:dyDescent="0.25">
      <c r="A56">
        <v>15</v>
      </c>
      <c r="B56">
        <v>3261</v>
      </c>
      <c r="C56">
        <v>3205</v>
      </c>
      <c r="D56">
        <v>3223</v>
      </c>
      <c r="E56">
        <f t="shared" si="27"/>
        <v>3229.6666666666665</v>
      </c>
      <c r="F56">
        <f t="shared" si="28"/>
        <v>28.589042189855423</v>
      </c>
      <c r="G56">
        <f t="shared" si="29"/>
        <v>41.059161912459423</v>
      </c>
      <c r="H56" s="37">
        <f t="shared" ref="H56:J56" si="108">IF($A16=H$19,$G56,0)</f>
        <v>0</v>
      </c>
      <c r="I56">
        <f t="shared" si="108"/>
        <v>41.059161912459423</v>
      </c>
      <c r="J56">
        <f t="shared" si="108"/>
        <v>0</v>
      </c>
      <c r="K56" s="37">
        <f t="shared" ref="K56:M56" si="109">IF($B16=K$19,$G56,0)</f>
        <v>0</v>
      </c>
      <c r="L56">
        <f t="shared" si="109"/>
        <v>0</v>
      </c>
      <c r="M56">
        <f t="shared" si="109"/>
        <v>41.059161912459423</v>
      </c>
      <c r="N56" s="37">
        <f t="shared" ref="N56:P56" si="110">IF($C16=N$19,$G56,0)</f>
        <v>41.059161912459423</v>
      </c>
      <c r="O56">
        <f t="shared" si="110"/>
        <v>0</v>
      </c>
      <c r="P56">
        <f t="shared" si="110"/>
        <v>0</v>
      </c>
      <c r="Q56" s="37">
        <f t="shared" ref="Q56:S56" si="111">IF($D16=Q$19,$G56,0)</f>
        <v>0</v>
      </c>
      <c r="R56">
        <f t="shared" si="111"/>
        <v>41.059161912459423</v>
      </c>
      <c r="S56">
        <f t="shared" si="111"/>
        <v>0</v>
      </c>
      <c r="T56" s="37">
        <f t="shared" ref="T56:V56" si="112">IF($E16=T$19,$G56,0)</f>
        <v>0</v>
      </c>
      <c r="U56">
        <f t="shared" si="112"/>
        <v>0</v>
      </c>
      <c r="V56">
        <f t="shared" si="112"/>
        <v>41.059161912459423</v>
      </c>
      <c r="W56" s="37">
        <f t="shared" ref="W56:Y56" si="113">IF($F16=W$19,$G56,0)</f>
        <v>41.059161912459423</v>
      </c>
      <c r="X56">
        <f t="shared" si="113"/>
        <v>0</v>
      </c>
      <c r="Y56">
        <f t="shared" si="113"/>
        <v>0</v>
      </c>
    </row>
    <row r="57" spans="1:25" x14ac:dyDescent="0.25">
      <c r="A57">
        <v>16</v>
      </c>
      <c r="B57">
        <v>3072</v>
      </c>
      <c r="C57">
        <v>3151</v>
      </c>
      <c r="D57">
        <v>3139</v>
      </c>
      <c r="E57">
        <f t="shared" si="27"/>
        <v>3120.6666666666665</v>
      </c>
      <c r="F57">
        <f t="shared" si="28"/>
        <v>42.571508469084499</v>
      </c>
      <c r="G57">
        <f t="shared" si="29"/>
        <v>37.302566858614739</v>
      </c>
      <c r="H57" s="37">
        <f t="shared" ref="H57:J57" si="114">IF($A17=H$19,$G57,0)</f>
        <v>0</v>
      </c>
      <c r="I57">
        <f t="shared" si="114"/>
        <v>0</v>
      </c>
      <c r="J57">
        <f t="shared" si="114"/>
        <v>37.302566858614739</v>
      </c>
      <c r="K57" s="37">
        <f t="shared" ref="K57:M57" si="115">IF($B17=K$19,$G57,0)</f>
        <v>37.302566858614739</v>
      </c>
      <c r="L57">
        <f t="shared" si="115"/>
        <v>0</v>
      </c>
      <c r="M57">
        <f t="shared" si="115"/>
        <v>0</v>
      </c>
      <c r="N57" s="37">
        <f t="shared" ref="N57:P57" si="116">IF($C17=N$19,$G57,0)</f>
        <v>0</v>
      </c>
      <c r="O57">
        <f t="shared" si="116"/>
        <v>0</v>
      </c>
      <c r="P57">
        <f t="shared" si="116"/>
        <v>37.302566858614739</v>
      </c>
      <c r="Q57" s="37">
        <f t="shared" ref="Q57:S57" si="117">IF($D17=Q$19,$G57,0)</f>
        <v>0</v>
      </c>
      <c r="R57">
        <f t="shared" si="117"/>
        <v>37.302566858614739</v>
      </c>
      <c r="S57">
        <f t="shared" si="117"/>
        <v>0</v>
      </c>
      <c r="T57" s="37">
        <f t="shared" ref="T57:V57" si="118">IF($E17=T$19,$G57,0)</f>
        <v>0</v>
      </c>
      <c r="U57">
        <f t="shared" si="118"/>
        <v>0</v>
      </c>
      <c r="V57">
        <f t="shared" si="118"/>
        <v>37.302566858614739</v>
      </c>
      <c r="W57" s="37">
        <f t="shared" ref="W57:Y57" si="119">IF($F17=W$19,$G57,0)</f>
        <v>0</v>
      </c>
      <c r="X57">
        <f t="shared" si="119"/>
        <v>37.302566858614739</v>
      </c>
      <c r="Y57">
        <f t="shared" si="119"/>
        <v>0</v>
      </c>
    </row>
    <row r="58" spans="1:25" x14ac:dyDescent="0.25">
      <c r="A58">
        <v>17</v>
      </c>
      <c r="B58">
        <v>3888</v>
      </c>
      <c r="C58">
        <v>3681</v>
      </c>
      <c r="D58">
        <v>3572</v>
      </c>
      <c r="E58">
        <f t="shared" si="27"/>
        <v>3713.6666666666665</v>
      </c>
      <c r="F58">
        <f t="shared" si="28"/>
        <v>160.51272016053224</v>
      </c>
      <c r="G58">
        <f t="shared" si="29"/>
        <v>27.28586929693104</v>
      </c>
      <c r="H58" s="37">
        <f t="shared" ref="H58:J58" si="120">IF($A18=H$19,$G58,0)</f>
        <v>0</v>
      </c>
      <c r="I58">
        <f t="shared" si="120"/>
        <v>0</v>
      </c>
      <c r="J58">
        <f t="shared" si="120"/>
        <v>27.28586929693104</v>
      </c>
      <c r="K58" s="37">
        <f t="shared" ref="K58:M58" si="121">IF($B18=K$19,$G58,0)</f>
        <v>0</v>
      </c>
      <c r="L58">
        <f t="shared" si="121"/>
        <v>27.28586929693104</v>
      </c>
      <c r="M58">
        <f t="shared" si="121"/>
        <v>0</v>
      </c>
      <c r="N58" s="37">
        <f t="shared" ref="N58:P58" si="122">IF($C18=N$19,$G58,0)</f>
        <v>27.28586929693104</v>
      </c>
      <c r="O58">
        <f t="shared" si="122"/>
        <v>0</v>
      </c>
      <c r="P58">
        <f t="shared" si="122"/>
        <v>0</v>
      </c>
      <c r="Q58" s="37">
        <f t="shared" ref="Q58:S58" si="123">IF($D18=Q$19,$G58,0)</f>
        <v>0</v>
      </c>
      <c r="R58">
        <f t="shared" si="123"/>
        <v>0</v>
      </c>
      <c r="S58">
        <f t="shared" si="123"/>
        <v>27.28586929693104</v>
      </c>
      <c r="T58" s="37">
        <f t="shared" ref="T58:V58" si="124">IF($E18=T$19,$G58,0)</f>
        <v>27.28586929693104</v>
      </c>
      <c r="U58">
        <f t="shared" si="124"/>
        <v>0</v>
      </c>
      <c r="V58">
        <f t="shared" si="124"/>
        <v>0</v>
      </c>
      <c r="W58" s="37">
        <f t="shared" ref="W58:Y58" si="125">IF($F18=W$19,$G58,0)</f>
        <v>0</v>
      </c>
      <c r="X58">
        <f t="shared" si="125"/>
        <v>0</v>
      </c>
      <c r="Y58">
        <f t="shared" si="125"/>
        <v>27.28586929693104</v>
      </c>
    </row>
    <row r="59" spans="1:25" x14ac:dyDescent="0.25">
      <c r="A59">
        <v>18</v>
      </c>
      <c r="B59">
        <v>3567</v>
      </c>
      <c r="C59">
        <v>3563</v>
      </c>
      <c r="D59">
        <v>3520</v>
      </c>
      <c r="E59">
        <f t="shared" si="27"/>
        <v>3550</v>
      </c>
      <c r="F59">
        <f t="shared" si="28"/>
        <v>26.057628441590765</v>
      </c>
      <c r="G59">
        <f t="shared" si="29"/>
        <v>42.685869318296866</v>
      </c>
      <c r="H59" s="37">
        <f t="shared" ref="H59:J59" si="126">IF($A19=H$19,$G59,0)</f>
        <v>0</v>
      </c>
      <c r="I59">
        <f t="shared" si="126"/>
        <v>0</v>
      </c>
      <c r="J59">
        <f t="shared" si="126"/>
        <v>42.685869318296866</v>
      </c>
      <c r="K59" s="37">
        <f t="shared" ref="K59:M59" si="127">IF($B19=K$19,$G59,0)</f>
        <v>0</v>
      </c>
      <c r="L59">
        <f t="shared" si="127"/>
        <v>0</v>
      </c>
      <c r="M59">
        <f t="shared" si="127"/>
        <v>42.685869318296866</v>
      </c>
      <c r="N59" s="37">
        <f t="shared" ref="N59:P59" si="128">IF($C19=N$19,$G59,0)</f>
        <v>0</v>
      </c>
      <c r="O59">
        <f t="shared" si="128"/>
        <v>42.685869318296866</v>
      </c>
      <c r="P59">
        <f t="shared" si="128"/>
        <v>0</v>
      </c>
      <c r="Q59" s="37">
        <f t="shared" ref="Q59:S59" si="129">IF($D19=Q$19,$G59,0)</f>
        <v>42.685869318296866</v>
      </c>
      <c r="R59">
        <f t="shared" si="129"/>
        <v>0</v>
      </c>
      <c r="S59">
        <f t="shared" si="129"/>
        <v>0</v>
      </c>
      <c r="T59" s="37">
        <f t="shared" ref="T59:V59" si="130">IF($E19=T$19,$G59,0)</f>
        <v>0</v>
      </c>
      <c r="U59">
        <f t="shared" si="130"/>
        <v>42.685869318296866</v>
      </c>
      <c r="V59">
        <f t="shared" si="130"/>
        <v>0</v>
      </c>
      <c r="W59" s="37">
        <f t="shared" ref="W59:Y59" si="131">IF($F19=W$19,$G59,0)</f>
        <v>42.685869318296866</v>
      </c>
      <c r="X59">
        <f t="shared" si="131"/>
        <v>0</v>
      </c>
      <c r="Y59">
        <f t="shared" si="131"/>
        <v>0</v>
      </c>
    </row>
    <row r="60" spans="1:25" x14ac:dyDescent="0.25">
      <c r="A60" s="145" t="s">
        <v>235</v>
      </c>
      <c r="B60" s="145"/>
      <c r="C60" s="145"/>
      <c r="D60" s="145"/>
      <c r="E60" s="145"/>
      <c r="F60" s="145"/>
      <c r="G60" s="153"/>
      <c r="H60" s="154" t="s">
        <v>187</v>
      </c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</row>
    <row r="61" spans="1:25" x14ac:dyDescent="0.25">
      <c r="A61" t="s">
        <v>182</v>
      </c>
      <c r="B61" t="s">
        <v>183</v>
      </c>
      <c r="C61" t="s">
        <v>184</v>
      </c>
      <c r="D61" t="s">
        <v>185</v>
      </c>
      <c r="E61" t="s">
        <v>7</v>
      </c>
      <c r="F61" t="s">
        <v>186</v>
      </c>
      <c r="G61" t="s">
        <v>187</v>
      </c>
      <c r="H61" s="37" t="s">
        <v>195</v>
      </c>
      <c r="I61" t="s">
        <v>196</v>
      </c>
      <c r="J61" t="s">
        <v>197</v>
      </c>
      <c r="K61" s="37" t="s">
        <v>198</v>
      </c>
      <c r="L61" t="s">
        <v>222</v>
      </c>
      <c r="M61" t="s">
        <v>223</v>
      </c>
      <c r="N61" s="37" t="s">
        <v>201</v>
      </c>
      <c r="O61" s="26" t="s">
        <v>202</v>
      </c>
      <c r="P61" s="26" t="s">
        <v>203</v>
      </c>
      <c r="Q61" s="125" t="s">
        <v>204</v>
      </c>
      <c r="R61" s="17" t="s">
        <v>205</v>
      </c>
      <c r="S61" s="17" t="s">
        <v>206</v>
      </c>
      <c r="T61" s="37" t="s">
        <v>32</v>
      </c>
      <c r="U61" s="26" t="s">
        <v>100</v>
      </c>
      <c r="V61" s="26" t="s">
        <v>101</v>
      </c>
      <c r="W61" s="37" t="s">
        <v>207</v>
      </c>
      <c r="X61" s="26" t="s">
        <v>208</v>
      </c>
      <c r="Y61" s="26" t="s">
        <v>209</v>
      </c>
    </row>
    <row r="62" spans="1:25" x14ac:dyDescent="0.25">
      <c r="A62">
        <v>1</v>
      </c>
      <c r="B62">
        <v>1952</v>
      </c>
      <c r="C62">
        <v>1941</v>
      </c>
      <c r="D62">
        <v>1949</v>
      </c>
      <c r="E62">
        <f>AVERAGE(B62:D62)</f>
        <v>1947.3333333333333</v>
      </c>
      <c r="F62">
        <f>_xlfn.STDEV.S(B62:D62)</f>
        <v>5.6862407030773268</v>
      </c>
      <c r="G62">
        <f>10*LOG10(E62^2/F62^2)</f>
        <v>50.692301162891546</v>
      </c>
      <c r="H62" s="37">
        <f>IF($A2=H$19,$G62,0)</f>
        <v>50.692301162891546</v>
      </c>
      <c r="I62">
        <f t="shared" ref="I62:J62" si="132">IF($A2=I$19,$G62,0)</f>
        <v>0</v>
      </c>
      <c r="J62">
        <f t="shared" si="132"/>
        <v>0</v>
      </c>
      <c r="K62" s="37">
        <f>IF($B2=K$19,$G62,0)</f>
        <v>50.692301162891546</v>
      </c>
      <c r="L62">
        <f t="shared" ref="L62:M62" si="133">IF($B2=L$19,$G62,0)</f>
        <v>0</v>
      </c>
      <c r="M62">
        <f t="shared" si="133"/>
        <v>0</v>
      </c>
      <c r="N62" s="37">
        <f>IF($C2=N$19,$G62,0)</f>
        <v>50.692301162891546</v>
      </c>
      <c r="O62">
        <f t="shared" ref="O62:P62" si="134">IF($C2=O$19,$G62,0)</f>
        <v>0</v>
      </c>
      <c r="P62">
        <f t="shared" si="134"/>
        <v>0</v>
      </c>
      <c r="Q62" s="37">
        <f>IF($D2=Q$19,$G62,0)</f>
        <v>50.692301162891546</v>
      </c>
      <c r="R62">
        <f t="shared" ref="R62:S62" si="135">IF($D2=R$19,$G62,0)</f>
        <v>0</v>
      </c>
      <c r="S62">
        <f t="shared" si="135"/>
        <v>0</v>
      </c>
      <c r="T62" s="37">
        <f>IF($E2=T$19,$G62,0)</f>
        <v>50.692301162891546</v>
      </c>
      <c r="U62">
        <f t="shared" ref="U62:V62" si="136">IF($E2=U$19,$G62,0)</f>
        <v>0</v>
      </c>
      <c r="V62">
        <f t="shared" si="136"/>
        <v>0</v>
      </c>
      <c r="W62" s="37">
        <f>IF($F2=W$19,$G62,0)</f>
        <v>50.692301162891546</v>
      </c>
      <c r="X62">
        <f t="shared" ref="X62:Y62" si="137">IF($F2=X$19,$G62,0)</f>
        <v>0</v>
      </c>
      <c r="Y62">
        <f t="shared" si="137"/>
        <v>0</v>
      </c>
    </row>
    <row r="63" spans="1:25" x14ac:dyDescent="0.25">
      <c r="A63">
        <v>2</v>
      </c>
      <c r="B63">
        <v>5323</v>
      </c>
      <c r="C63">
        <v>5307</v>
      </c>
      <c r="D63">
        <v>5091</v>
      </c>
      <c r="E63">
        <f t="shared" ref="E63:E79" si="138">AVERAGE(B63:D63)</f>
        <v>5240.333333333333</v>
      </c>
      <c r="F63">
        <f t="shared" ref="F63:F79" si="139">_xlfn.STDEV.S(B63:D63)</f>
        <v>129.57365987473432</v>
      </c>
      <c r="G63">
        <f t="shared" ref="G63:G79" si="140">10*LOG10(E63^2/F63^2)</f>
        <v>32.136843743376822</v>
      </c>
      <c r="H63" s="37">
        <f t="shared" ref="H63:J63" si="141">IF($A3=H$19,$G63,0)</f>
        <v>32.136843743376822</v>
      </c>
      <c r="I63">
        <f t="shared" si="141"/>
        <v>0</v>
      </c>
      <c r="J63">
        <f t="shared" si="141"/>
        <v>0</v>
      </c>
      <c r="K63" s="37">
        <f t="shared" ref="K63:M63" si="142">IF($B3=K$19,$G63,0)</f>
        <v>0</v>
      </c>
      <c r="L63">
        <f t="shared" si="142"/>
        <v>32.136843743376822</v>
      </c>
      <c r="M63">
        <f t="shared" si="142"/>
        <v>0</v>
      </c>
      <c r="N63" s="37">
        <f t="shared" ref="N63:P63" si="143">IF($C3=N$19,$G63,0)</f>
        <v>0</v>
      </c>
      <c r="O63">
        <f t="shared" si="143"/>
        <v>32.136843743376822</v>
      </c>
      <c r="P63">
        <f t="shared" si="143"/>
        <v>0</v>
      </c>
      <c r="Q63" s="37">
        <f t="shared" ref="Q63:S63" si="144">IF($D3=Q$19,$G63,0)</f>
        <v>0</v>
      </c>
      <c r="R63">
        <f t="shared" si="144"/>
        <v>32.136843743376822</v>
      </c>
      <c r="S63">
        <f t="shared" si="144"/>
        <v>0</v>
      </c>
      <c r="T63" s="37">
        <f t="shared" ref="T63:V63" si="145">IF($E3=T$19,$G63,0)</f>
        <v>0</v>
      </c>
      <c r="U63">
        <f t="shared" si="145"/>
        <v>32.136843743376822</v>
      </c>
      <c r="V63">
        <f t="shared" si="145"/>
        <v>0</v>
      </c>
      <c r="W63" s="37">
        <f t="shared" ref="W63:Y63" si="146">IF($F3=W$19,$G63,0)</f>
        <v>0</v>
      </c>
      <c r="X63">
        <f t="shared" si="146"/>
        <v>32.136843743376822</v>
      </c>
      <c r="Y63">
        <f t="shared" si="146"/>
        <v>0</v>
      </c>
    </row>
    <row r="64" spans="1:25" x14ac:dyDescent="0.25">
      <c r="A64">
        <v>3</v>
      </c>
      <c r="B64">
        <v>6077</v>
      </c>
      <c r="C64">
        <v>5943</v>
      </c>
      <c r="D64">
        <v>5962</v>
      </c>
      <c r="E64">
        <f t="shared" si="138"/>
        <v>5994</v>
      </c>
      <c r="F64">
        <f t="shared" si="139"/>
        <v>72.505172229296861</v>
      </c>
      <c r="G64">
        <f t="shared" si="140"/>
        <v>38.346955002008265</v>
      </c>
      <c r="H64" s="37">
        <f t="shared" ref="H64:J64" si="147">IF($A4=H$19,$G64,0)</f>
        <v>38.346955002008265</v>
      </c>
      <c r="I64">
        <f t="shared" si="147"/>
        <v>0</v>
      </c>
      <c r="J64">
        <f t="shared" si="147"/>
        <v>0</v>
      </c>
      <c r="K64" s="37">
        <f t="shared" ref="K64:M64" si="148">IF($B4=K$19,$G64,0)</f>
        <v>0</v>
      </c>
      <c r="L64">
        <f t="shared" si="148"/>
        <v>0</v>
      </c>
      <c r="M64">
        <f t="shared" si="148"/>
        <v>38.346955002008265</v>
      </c>
      <c r="N64" s="37">
        <f t="shared" ref="N64:P64" si="149">IF($C4=N$19,$G64,0)</f>
        <v>0</v>
      </c>
      <c r="O64">
        <f t="shared" si="149"/>
        <v>0</v>
      </c>
      <c r="P64">
        <f t="shared" si="149"/>
        <v>38.346955002008265</v>
      </c>
      <c r="Q64" s="37">
        <f t="shared" ref="Q64:S64" si="150">IF($D4=Q$19,$G64,0)</f>
        <v>0</v>
      </c>
      <c r="R64">
        <f t="shared" si="150"/>
        <v>0</v>
      </c>
      <c r="S64">
        <f t="shared" si="150"/>
        <v>38.346955002008265</v>
      </c>
      <c r="T64" s="37">
        <f t="shared" ref="T64:V64" si="151">IF($E4=T$19,$G64,0)</f>
        <v>0</v>
      </c>
      <c r="U64">
        <f t="shared" si="151"/>
        <v>0</v>
      </c>
      <c r="V64">
        <f t="shared" si="151"/>
        <v>38.346955002008265</v>
      </c>
      <c r="W64" s="37">
        <f t="shared" ref="W64:Y64" si="152">IF($F4=W$19,$G64,0)</f>
        <v>0</v>
      </c>
      <c r="X64">
        <f t="shared" si="152"/>
        <v>0</v>
      </c>
      <c r="Y64">
        <f t="shared" si="152"/>
        <v>38.346955002008265</v>
      </c>
    </row>
    <row r="65" spans="1:25" x14ac:dyDescent="0.25">
      <c r="A65">
        <v>4</v>
      </c>
      <c r="B65">
        <v>2149</v>
      </c>
      <c r="C65">
        <v>2130</v>
      </c>
      <c r="D65">
        <v>2111</v>
      </c>
      <c r="E65">
        <f t="shared" si="138"/>
        <v>2130</v>
      </c>
      <c r="F65">
        <f t="shared" si="139"/>
        <v>19</v>
      </c>
      <c r="G65">
        <f t="shared" si="140"/>
        <v>40.992520049718173</v>
      </c>
      <c r="H65" s="37">
        <f t="shared" ref="H65:J65" si="153">IF($A5=H$19,$G65,0)</f>
        <v>0</v>
      </c>
      <c r="I65">
        <f t="shared" si="153"/>
        <v>40.992520049718173</v>
      </c>
      <c r="J65">
        <f t="shared" si="153"/>
        <v>0</v>
      </c>
      <c r="K65" s="37">
        <f t="shared" ref="K65:M65" si="154">IF($B5=K$19,$G65,0)</f>
        <v>40.992520049718173</v>
      </c>
      <c r="L65">
        <f t="shared" si="154"/>
        <v>0</v>
      </c>
      <c r="M65">
        <f t="shared" si="154"/>
        <v>0</v>
      </c>
      <c r="N65" s="37">
        <f t="shared" ref="N65:P65" si="155">IF($C5=N$19,$G65,0)</f>
        <v>40.992520049718173</v>
      </c>
      <c r="O65">
        <f t="shared" si="155"/>
        <v>0</v>
      </c>
      <c r="P65">
        <f t="shared" si="155"/>
        <v>0</v>
      </c>
      <c r="Q65" s="37">
        <f t="shared" ref="Q65:S65" si="156">IF($D5=Q$19,$G65,0)</f>
        <v>0</v>
      </c>
      <c r="R65">
        <f t="shared" si="156"/>
        <v>40.992520049718173</v>
      </c>
      <c r="S65">
        <f t="shared" si="156"/>
        <v>0</v>
      </c>
      <c r="T65" s="37">
        <f t="shared" ref="T65:V65" si="157">IF($E5=T$19,$G65,0)</f>
        <v>0</v>
      </c>
      <c r="U65">
        <f t="shared" si="157"/>
        <v>40.992520049718173</v>
      </c>
      <c r="V65">
        <f t="shared" si="157"/>
        <v>0</v>
      </c>
      <c r="W65" s="37">
        <f t="shared" ref="W65:Y65" si="158">IF($F5=W$19,$G65,0)</f>
        <v>0</v>
      </c>
      <c r="X65">
        <f t="shared" si="158"/>
        <v>0</v>
      </c>
      <c r="Y65">
        <f t="shared" si="158"/>
        <v>40.992520049718173</v>
      </c>
    </row>
    <row r="66" spans="1:25" x14ac:dyDescent="0.25">
      <c r="A66">
        <v>5</v>
      </c>
      <c r="B66">
        <v>5031</v>
      </c>
      <c r="C66">
        <v>5040</v>
      </c>
      <c r="D66">
        <v>5032</v>
      </c>
      <c r="E66">
        <f t="shared" si="138"/>
        <v>5034.333333333333</v>
      </c>
      <c r="F66">
        <f t="shared" si="139"/>
        <v>4.9328828623162471</v>
      </c>
      <c r="G66">
        <f t="shared" si="140"/>
        <v>60.176823299498423</v>
      </c>
      <c r="H66" s="37">
        <f t="shared" ref="H66:J66" si="159">IF($A6=H$19,$G66,0)</f>
        <v>0</v>
      </c>
      <c r="I66">
        <f t="shared" si="159"/>
        <v>60.176823299498423</v>
      </c>
      <c r="J66">
        <f t="shared" si="159"/>
        <v>0</v>
      </c>
      <c r="K66" s="37">
        <f t="shared" ref="K66:M66" si="160">IF($B6=K$19,$G66,0)</f>
        <v>0</v>
      </c>
      <c r="L66">
        <f t="shared" si="160"/>
        <v>60.176823299498423</v>
      </c>
      <c r="M66">
        <f t="shared" si="160"/>
        <v>0</v>
      </c>
      <c r="N66" s="37">
        <f t="shared" ref="N66:P66" si="161">IF($C6=N$19,$G66,0)</f>
        <v>0</v>
      </c>
      <c r="O66">
        <f t="shared" si="161"/>
        <v>60.176823299498423</v>
      </c>
      <c r="P66">
        <f t="shared" si="161"/>
        <v>0</v>
      </c>
      <c r="Q66" s="37">
        <f t="shared" ref="Q66:S66" si="162">IF($D6=Q$19,$G66,0)</f>
        <v>0</v>
      </c>
      <c r="R66">
        <f t="shared" si="162"/>
        <v>0</v>
      </c>
      <c r="S66">
        <f t="shared" si="162"/>
        <v>60.176823299498423</v>
      </c>
      <c r="T66" s="37">
        <f t="shared" ref="T66:V66" si="163">IF($E6=T$19,$G66,0)</f>
        <v>0</v>
      </c>
      <c r="U66">
        <f t="shared" si="163"/>
        <v>0</v>
      </c>
      <c r="V66">
        <f t="shared" si="163"/>
        <v>60.176823299498423</v>
      </c>
      <c r="W66" s="37">
        <f t="shared" ref="W66:Y66" si="164">IF($F6=W$19,$G66,0)</f>
        <v>60.176823299498423</v>
      </c>
      <c r="X66">
        <f t="shared" si="164"/>
        <v>0</v>
      </c>
      <c r="Y66">
        <f t="shared" si="164"/>
        <v>0</v>
      </c>
    </row>
    <row r="67" spans="1:25" x14ac:dyDescent="0.25">
      <c r="A67">
        <v>6</v>
      </c>
      <c r="B67">
        <v>2934</v>
      </c>
      <c r="C67">
        <v>2875</v>
      </c>
      <c r="D67">
        <v>2841</v>
      </c>
      <c r="E67">
        <f t="shared" si="138"/>
        <v>2883.3333333333335</v>
      </c>
      <c r="F67">
        <f t="shared" si="139"/>
        <v>47.056703383612984</v>
      </c>
      <c r="G67">
        <f t="shared" si="140"/>
        <v>35.745467077684168</v>
      </c>
      <c r="H67" s="37">
        <f t="shared" ref="H67:J67" si="165">IF($A7=H$19,$G67,0)</f>
        <v>0</v>
      </c>
      <c r="I67">
        <f t="shared" si="165"/>
        <v>35.745467077684168</v>
      </c>
      <c r="J67">
        <f t="shared" si="165"/>
        <v>0</v>
      </c>
      <c r="K67" s="37">
        <f t="shared" ref="K67:M67" si="166">IF($B7=K$19,$G67,0)</f>
        <v>0</v>
      </c>
      <c r="L67">
        <f t="shared" si="166"/>
        <v>0</v>
      </c>
      <c r="M67">
        <f t="shared" si="166"/>
        <v>35.745467077684168</v>
      </c>
      <c r="N67" s="37">
        <f t="shared" ref="N67:P67" si="167">IF($C7=N$19,$G67,0)</f>
        <v>0</v>
      </c>
      <c r="O67">
        <f t="shared" si="167"/>
        <v>0</v>
      </c>
      <c r="P67">
        <f t="shared" si="167"/>
        <v>35.745467077684168</v>
      </c>
      <c r="Q67" s="37">
        <f t="shared" ref="Q67:S67" si="168">IF($D7=Q$19,$G67,0)</f>
        <v>35.745467077684168</v>
      </c>
      <c r="R67">
        <f t="shared" si="168"/>
        <v>0</v>
      </c>
      <c r="S67">
        <f t="shared" si="168"/>
        <v>0</v>
      </c>
      <c r="T67" s="37">
        <f t="shared" ref="T67:V67" si="169">IF($E7=T$19,$G67,0)</f>
        <v>35.745467077684168</v>
      </c>
      <c r="U67">
        <f t="shared" si="169"/>
        <v>0</v>
      </c>
      <c r="V67">
        <f t="shared" si="169"/>
        <v>0</v>
      </c>
      <c r="W67" s="37">
        <f t="shared" ref="W67:Y67" si="170">IF($F7=W$19,$G67,0)</f>
        <v>0</v>
      </c>
      <c r="X67">
        <f t="shared" si="170"/>
        <v>35.745467077684168</v>
      </c>
      <c r="Y67">
        <f t="shared" si="170"/>
        <v>0</v>
      </c>
    </row>
    <row r="68" spans="1:25" x14ac:dyDescent="0.25">
      <c r="A68">
        <v>7</v>
      </c>
      <c r="B68">
        <v>3709</v>
      </c>
      <c r="C68">
        <v>3671</v>
      </c>
      <c r="D68">
        <v>3687</v>
      </c>
      <c r="E68">
        <f t="shared" si="138"/>
        <v>3689</v>
      </c>
      <c r="F68">
        <f t="shared" si="139"/>
        <v>19.078784028338912</v>
      </c>
      <c r="G68">
        <f t="shared" si="140"/>
        <v>45.727159268045511</v>
      </c>
      <c r="H68" s="37">
        <f t="shared" ref="H68:J68" si="171">IF($A8=H$19,$G68,0)</f>
        <v>0</v>
      </c>
      <c r="I68">
        <f t="shared" si="171"/>
        <v>0</v>
      </c>
      <c r="J68">
        <f t="shared" si="171"/>
        <v>45.727159268045511</v>
      </c>
      <c r="K68" s="37">
        <f t="shared" ref="K68:M68" si="172">IF($B8=K$19,$G68,0)</f>
        <v>45.727159268045511</v>
      </c>
      <c r="L68">
        <f t="shared" si="172"/>
        <v>0</v>
      </c>
      <c r="M68">
        <f t="shared" si="172"/>
        <v>0</v>
      </c>
      <c r="N68" s="37">
        <f t="shared" ref="N68:P68" si="173">IF($C8=N$19,$G68,0)</f>
        <v>0</v>
      </c>
      <c r="O68">
        <f t="shared" si="173"/>
        <v>45.727159268045511</v>
      </c>
      <c r="P68">
        <f t="shared" si="173"/>
        <v>0</v>
      </c>
      <c r="Q68" s="37">
        <f t="shared" ref="Q68:S68" si="174">IF($D8=Q$19,$G68,0)</f>
        <v>45.727159268045511</v>
      </c>
      <c r="R68">
        <f t="shared" si="174"/>
        <v>0</v>
      </c>
      <c r="S68">
        <f t="shared" si="174"/>
        <v>0</v>
      </c>
      <c r="T68" s="37">
        <f t="shared" ref="T68:V68" si="175">IF($E8=T$19,$G68,0)</f>
        <v>0</v>
      </c>
      <c r="U68">
        <f t="shared" si="175"/>
        <v>0</v>
      </c>
      <c r="V68">
        <f t="shared" si="175"/>
        <v>45.727159268045511</v>
      </c>
      <c r="W68" s="37">
        <f t="shared" ref="W68:Y68" si="176">IF($F8=W$19,$G68,0)</f>
        <v>0</v>
      </c>
      <c r="X68">
        <f t="shared" si="176"/>
        <v>0</v>
      </c>
      <c r="Y68">
        <f t="shared" si="176"/>
        <v>45.727159268045511</v>
      </c>
    </row>
    <row r="69" spans="1:25" x14ac:dyDescent="0.25">
      <c r="A69">
        <v>8</v>
      </c>
      <c r="B69">
        <v>5073</v>
      </c>
      <c r="C69">
        <v>4898</v>
      </c>
      <c r="D69">
        <v>4599</v>
      </c>
      <c r="E69">
        <f t="shared" si="138"/>
        <v>4856.666666666667</v>
      </c>
      <c r="F69">
        <f t="shared" si="139"/>
        <v>239.68799163356792</v>
      </c>
      <c r="G69">
        <f t="shared" si="140"/>
        <v>26.133840412433258</v>
      </c>
      <c r="H69" s="37">
        <f t="shared" ref="H69:J69" si="177">IF($A9=H$19,$G69,0)</f>
        <v>0</v>
      </c>
      <c r="I69">
        <f t="shared" si="177"/>
        <v>0</v>
      </c>
      <c r="J69">
        <f t="shared" si="177"/>
        <v>26.133840412433258</v>
      </c>
      <c r="K69" s="37">
        <f t="shared" ref="K69:M69" si="178">IF($B9=K$19,$G69,0)</f>
        <v>0</v>
      </c>
      <c r="L69">
        <f t="shared" si="178"/>
        <v>26.133840412433258</v>
      </c>
      <c r="M69">
        <f t="shared" si="178"/>
        <v>0</v>
      </c>
      <c r="N69" s="37">
        <f t="shared" ref="N69:P69" si="179">IF($C9=N$19,$G69,0)</f>
        <v>0</v>
      </c>
      <c r="O69">
        <f t="shared" si="179"/>
        <v>0</v>
      </c>
      <c r="P69">
        <f t="shared" si="179"/>
        <v>26.133840412433258</v>
      </c>
      <c r="Q69" s="37">
        <f t="shared" ref="Q69:S69" si="180">IF($D9=Q$19,$G69,0)</f>
        <v>0</v>
      </c>
      <c r="R69">
        <f t="shared" si="180"/>
        <v>26.133840412433258</v>
      </c>
      <c r="S69">
        <f t="shared" si="180"/>
        <v>0</v>
      </c>
      <c r="T69" s="37">
        <f t="shared" ref="T69:V69" si="181">IF($E9=T$19,$G69,0)</f>
        <v>26.133840412433258</v>
      </c>
      <c r="U69">
        <f t="shared" si="181"/>
        <v>0</v>
      </c>
      <c r="V69">
        <f t="shared" si="181"/>
        <v>0</v>
      </c>
      <c r="W69" s="37">
        <f t="shared" ref="W69:Y69" si="182">IF($F9=W$19,$G69,0)</f>
        <v>26.133840412433258</v>
      </c>
      <c r="X69">
        <f t="shared" si="182"/>
        <v>0</v>
      </c>
      <c r="Y69">
        <f t="shared" si="182"/>
        <v>0</v>
      </c>
    </row>
    <row r="70" spans="1:25" x14ac:dyDescent="0.25">
      <c r="A70">
        <v>9</v>
      </c>
      <c r="B70">
        <v>4110</v>
      </c>
      <c r="C70">
        <v>4067</v>
      </c>
      <c r="D70">
        <v>4110</v>
      </c>
      <c r="E70">
        <f t="shared" si="138"/>
        <v>4095.6666666666665</v>
      </c>
      <c r="F70">
        <f t="shared" si="139"/>
        <v>24.826061575153908</v>
      </c>
      <c r="G70">
        <f t="shared" si="140"/>
        <v>44.348335506688329</v>
      </c>
      <c r="H70" s="37">
        <f t="shared" ref="H70:J70" si="183">IF($A10=H$19,$G70,0)</f>
        <v>0</v>
      </c>
      <c r="I70">
        <f t="shared" si="183"/>
        <v>0</v>
      </c>
      <c r="J70">
        <f t="shared" si="183"/>
        <v>44.348335506688329</v>
      </c>
      <c r="K70" s="37">
        <f t="shared" ref="K70:M70" si="184">IF($B10=K$19,$G70,0)</f>
        <v>0</v>
      </c>
      <c r="L70">
        <f t="shared" si="184"/>
        <v>0</v>
      </c>
      <c r="M70">
        <f t="shared" si="184"/>
        <v>44.348335506688329</v>
      </c>
      <c r="N70" s="37">
        <f t="shared" ref="N70:P70" si="185">IF($C10=N$19,$G70,0)</f>
        <v>44.348335506688329</v>
      </c>
      <c r="O70">
        <f t="shared" si="185"/>
        <v>0</v>
      </c>
      <c r="P70">
        <f t="shared" si="185"/>
        <v>0</v>
      </c>
      <c r="Q70" s="37">
        <f t="shared" ref="Q70:S70" si="186">IF($D10=Q$19,$G70,0)</f>
        <v>0</v>
      </c>
      <c r="R70">
        <f t="shared" si="186"/>
        <v>0</v>
      </c>
      <c r="S70">
        <f t="shared" si="186"/>
        <v>44.348335506688329</v>
      </c>
      <c r="T70" s="37">
        <f t="shared" ref="T70:V70" si="187">IF($E10=T$19,$G70,0)</f>
        <v>0</v>
      </c>
      <c r="U70">
        <f t="shared" si="187"/>
        <v>44.348335506688329</v>
      </c>
      <c r="V70">
        <f t="shared" si="187"/>
        <v>0</v>
      </c>
      <c r="W70" s="37">
        <f t="shared" ref="W70:Y70" si="188">IF($F10=W$19,$G70,0)</f>
        <v>0</v>
      </c>
      <c r="X70">
        <f t="shared" si="188"/>
        <v>44.348335506688329</v>
      </c>
      <c r="Y70">
        <f t="shared" si="188"/>
        <v>0</v>
      </c>
    </row>
    <row r="71" spans="1:25" x14ac:dyDescent="0.25">
      <c r="A71">
        <v>10</v>
      </c>
      <c r="B71">
        <v>3599</v>
      </c>
      <c r="C71">
        <v>3591</v>
      </c>
      <c r="D71">
        <v>3535</v>
      </c>
      <c r="E71">
        <f t="shared" si="138"/>
        <v>3575</v>
      </c>
      <c r="F71">
        <f t="shared" si="139"/>
        <v>34.871191548325392</v>
      </c>
      <c r="G71">
        <f t="shared" si="140"/>
        <v>40.216185173374825</v>
      </c>
      <c r="H71" s="37">
        <f t="shared" ref="H71:J71" si="189">IF($A11=H$19,$G71,0)</f>
        <v>40.216185173374825</v>
      </c>
      <c r="I71">
        <f t="shared" si="189"/>
        <v>0</v>
      </c>
      <c r="J71">
        <f t="shared" si="189"/>
        <v>0</v>
      </c>
      <c r="K71" s="37">
        <f t="shared" ref="K71:M71" si="190">IF($B11=K$19,$G71,0)</f>
        <v>40.216185173374825</v>
      </c>
      <c r="L71">
        <f t="shared" si="190"/>
        <v>0</v>
      </c>
      <c r="M71">
        <f t="shared" si="190"/>
        <v>0</v>
      </c>
      <c r="N71" s="37">
        <f t="shared" ref="N71:P71" si="191">IF($C11=N$19,$G71,0)</f>
        <v>0</v>
      </c>
      <c r="O71">
        <f t="shared" si="191"/>
        <v>0</v>
      </c>
      <c r="P71">
        <f t="shared" si="191"/>
        <v>40.216185173374825</v>
      </c>
      <c r="Q71" s="37">
        <f t="shared" ref="Q71:S71" si="192">IF($D11=Q$19,$G71,0)</f>
        <v>0</v>
      </c>
      <c r="R71">
        <f t="shared" si="192"/>
        <v>0</v>
      </c>
      <c r="S71">
        <f t="shared" si="192"/>
        <v>40.216185173374825</v>
      </c>
      <c r="T71" s="37">
        <f t="shared" ref="T71:V71" si="193">IF($E11=T$19,$G71,0)</f>
        <v>0</v>
      </c>
      <c r="U71">
        <f t="shared" si="193"/>
        <v>40.216185173374825</v>
      </c>
      <c r="V71">
        <f t="shared" si="193"/>
        <v>0</v>
      </c>
      <c r="W71" s="37">
        <f t="shared" ref="W71:Y71" si="194">IF($F11=W$19,$G71,0)</f>
        <v>40.216185173374825</v>
      </c>
      <c r="X71">
        <f t="shared" si="194"/>
        <v>0</v>
      </c>
      <c r="Y71">
        <f t="shared" si="194"/>
        <v>0</v>
      </c>
    </row>
    <row r="72" spans="1:25" x14ac:dyDescent="0.25">
      <c r="A72">
        <v>11</v>
      </c>
      <c r="B72">
        <v>2551</v>
      </c>
      <c r="C72">
        <v>2552</v>
      </c>
      <c r="D72">
        <v>2570</v>
      </c>
      <c r="E72">
        <f t="shared" si="138"/>
        <v>2557.6666666666665</v>
      </c>
      <c r="F72">
        <f t="shared" si="139"/>
        <v>10.692676621563626</v>
      </c>
      <c r="G72">
        <f t="shared" si="140"/>
        <v>47.575150216390327</v>
      </c>
      <c r="H72" s="37">
        <f t="shared" ref="H72:J72" si="195">IF($A12=H$19,$G72,0)</f>
        <v>47.575150216390327</v>
      </c>
      <c r="I72">
        <f t="shared" si="195"/>
        <v>0</v>
      </c>
      <c r="J72">
        <f t="shared" si="195"/>
        <v>0</v>
      </c>
      <c r="K72" s="37">
        <f t="shared" ref="K72:M72" si="196">IF($B12=K$19,$G72,0)</f>
        <v>0</v>
      </c>
      <c r="L72">
        <f t="shared" si="196"/>
        <v>47.575150216390327</v>
      </c>
      <c r="M72">
        <f t="shared" si="196"/>
        <v>0</v>
      </c>
      <c r="N72" s="37">
        <f t="shared" ref="N72:P72" si="197">IF($C12=N$19,$G72,0)</f>
        <v>47.575150216390327</v>
      </c>
      <c r="O72">
        <f t="shared" si="197"/>
        <v>0</v>
      </c>
      <c r="P72">
        <f t="shared" si="197"/>
        <v>0</v>
      </c>
      <c r="Q72" s="37">
        <f t="shared" ref="Q72:S72" si="198">IF($D12=Q$19,$G72,0)</f>
        <v>47.575150216390327</v>
      </c>
      <c r="R72">
        <f t="shared" si="198"/>
        <v>0</v>
      </c>
      <c r="S72">
        <f t="shared" si="198"/>
        <v>0</v>
      </c>
      <c r="T72" s="37">
        <f t="shared" ref="T72:V72" si="199">IF($E12=T$19,$G72,0)</f>
        <v>0</v>
      </c>
      <c r="U72">
        <f t="shared" si="199"/>
        <v>0</v>
      </c>
      <c r="V72">
        <f t="shared" si="199"/>
        <v>47.575150216390327</v>
      </c>
      <c r="W72" s="37">
        <f t="shared" ref="W72:Y72" si="200">IF($F12=W$19,$G72,0)</f>
        <v>0</v>
      </c>
      <c r="X72">
        <f t="shared" si="200"/>
        <v>47.575150216390327</v>
      </c>
      <c r="Y72">
        <f t="shared" si="200"/>
        <v>0</v>
      </c>
    </row>
    <row r="73" spans="1:25" x14ac:dyDescent="0.25">
      <c r="A73">
        <v>12</v>
      </c>
      <c r="B73">
        <v>5691</v>
      </c>
      <c r="C73">
        <v>5777</v>
      </c>
      <c r="D73">
        <v>5743</v>
      </c>
      <c r="E73">
        <f t="shared" si="138"/>
        <v>5737</v>
      </c>
      <c r="F73">
        <f t="shared" si="139"/>
        <v>43.312815655415427</v>
      </c>
      <c r="G73">
        <f t="shared" si="140"/>
        <v>42.441368657218362</v>
      </c>
      <c r="H73" s="37">
        <f t="shared" ref="H73:J73" si="201">IF($A13=H$19,$G73,0)</f>
        <v>42.441368657218362</v>
      </c>
      <c r="I73">
        <f t="shared" si="201"/>
        <v>0</v>
      </c>
      <c r="J73">
        <f t="shared" si="201"/>
        <v>0</v>
      </c>
      <c r="K73" s="37">
        <f t="shared" ref="K73:M73" si="202">IF($B13=K$19,$G73,0)</f>
        <v>0</v>
      </c>
      <c r="L73">
        <f t="shared" si="202"/>
        <v>0</v>
      </c>
      <c r="M73">
        <f t="shared" si="202"/>
        <v>42.441368657218362</v>
      </c>
      <c r="N73" s="37">
        <f t="shared" ref="N73:P73" si="203">IF($C13=N$19,$G73,0)</f>
        <v>0</v>
      </c>
      <c r="O73">
        <f t="shared" si="203"/>
        <v>42.441368657218362</v>
      </c>
      <c r="P73">
        <f t="shared" si="203"/>
        <v>0</v>
      </c>
      <c r="Q73" s="37">
        <f t="shared" ref="Q73:S73" si="204">IF($D13=Q$19,$G73,0)</f>
        <v>0</v>
      </c>
      <c r="R73">
        <f t="shared" si="204"/>
        <v>42.441368657218362</v>
      </c>
      <c r="S73">
        <f t="shared" si="204"/>
        <v>0</v>
      </c>
      <c r="T73" s="37">
        <f t="shared" ref="T73:V73" si="205">IF($E13=T$19,$G73,0)</f>
        <v>42.441368657218362</v>
      </c>
      <c r="U73">
        <f t="shared" si="205"/>
        <v>0</v>
      </c>
      <c r="V73">
        <f t="shared" si="205"/>
        <v>0</v>
      </c>
      <c r="W73" s="37">
        <f t="shared" ref="W73:Y73" si="206">IF($F13=W$19,$G73,0)</f>
        <v>0</v>
      </c>
      <c r="X73">
        <f t="shared" si="206"/>
        <v>0</v>
      </c>
      <c r="Y73">
        <f t="shared" si="206"/>
        <v>42.441368657218362</v>
      </c>
    </row>
    <row r="74" spans="1:25" x14ac:dyDescent="0.25">
      <c r="A74">
        <v>13</v>
      </c>
      <c r="B74">
        <v>2765</v>
      </c>
      <c r="C74">
        <v>2786</v>
      </c>
      <c r="D74">
        <v>2773</v>
      </c>
      <c r="E74">
        <f t="shared" si="138"/>
        <v>2774.6666666666665</v>
      </c>
      <c r="F74">
        <f t="shared" si="139"/>
        <v>10.598742063723096</v>
      </c>
      <c r="G74">
        <f t="shared" si="140"/>
        <v>48.359129874881781</v>
      </c>
      <c r="H74" s="37">
        <f t="shared" ref="H74:J74" si="207">IF($A14=H$19,$G74,0)</f>
        <v>0</v>
      </c>
      <c r="I74">
        <f t="shared" si="207"/>
        <v>48.359129874881781</v>
      </c>
      <c r="J74">
        <f t="shared" si="207"/>
        <v>0</v>
      </c>
      <c r="K74" s="37">
        <f t="shared" ref="K74:M74" si="208">IF($B14=K$19,$G74,0)</f>
        <v>48.359129874881781</v>
      </c>
      <c r="L74">
        <f t="shared" si="208"/>
        <v>0</v>
      </c>
      <c r="M74">
        <f t="shared" si="208"/>
        <v>0</v>
      </c>
      <c r="N74" s="37">
        <f t="shared" ref="N74:P74" si="209">IF($C14=N$19,$G74,0)</f>
        <v>0</v>
      </c>
      <c r="O74">
        <f t="shared" si="209"/>
        <v>48.359129874881781</v>
      </c>
      <c r="P74">
        <f t="shared" si="209"/>
        <v>0</v>
      </c>
      <c r="Q74" s="37">
        <f t="shared" ref="Q74:S74" si="210">IF($D14=Q$19,$G74,0)</f>
        <v>0</v>
      </c>
      <c r="R74">
        <f t="shared" si="210"/>
        <v>0</v>
      </c>
      <c r="S74">
        <f t="shared" si="210"/>
        <v>48.359129874881781</v>
      </c>
      <c r="T74" s="37">
        <f t="shared" ref="T74:V74" si="211">IF($E14=T$19,$G74,0)</f>
        <v>48.359129874881781</v>
      </c>
      <c r="U74">
        <f t="shared" si="211"/>
        <v>0</v>
      </c>
      <c r="V74">
        <f t="shared" si="211"/>
        <v>0</v>
      </c>
      <c r="W74" s="37">
        <f t="shared" ref="W74:Y74" si="212">IF($F14=W$19,$G74,0)</f>
        <v>0</v>
      </c>
      <c r="X74">
        <f t="shared" si="212"/>
        <v>48.359129874881781</v>
      </c>
      <c r="Y74">
        <f t="shared" si="212"/>
        <v>0</v>
      </c>
    </row>
    <row r="75" spans="1:25" x14ac:dyDescent="0.25">
      <c r="A75">
        <v>14</v>
      </c>
      <c r="B75">
        <v>2891</v>
      </c>
      <c r="C75">
        <v>2844</v>
      </c>
      <c r="D75">
        <v>2841</v>
      </c>
      <c r="E75">
        <f t="shared" si="138"/>
        <v>2858.6666666666665</v>
      </c>
      <c r="F75">
        <f t="shared" si="139"/>
        <v>28.041635710730812</v>
      </c>
      <c r="G75">
        <f t="shared" si="140"/>
        <v>40.167203490921317</v>
      </c>
      <c r="H75" s="37">
        <f t="shared" ref="H75:J75" si="213">IF($A15=H$19,$G75,0)</f>
        <v>0</v>
      </c>
      <c r="I75">
        <f t="shared" si="213"/>
        <v>40.167203490921317</v>
      </c>
      <c r="J75">
        <f t="shared" si="213"/>
        <v>0</v>
      </c>
      <c r="K75" s="37">
        <f t="shared" ref="K75:M75" si="214">IF($B15=K$19,$G75,0)</f>
        <v>0</v>
      </c>
      <c r="L75">
        <f t="shared" si="214"/>
        <v>40.167203490921317</v>
      </c>
      <c r="M75">
        <f t="shared" si="214"/>
        <v>0</v>
      </c>
      <c r="N75" s="37">
        <f t="shared" ref="N75:P75" si="215">IF($C15=N$19,$G75,0)</f>
        <v>0</v>
      </c>
      <c r="O75">
        <f t="shared" si="215"/>
        <v>0</v>
      </c>
      <c r="P75">
        <f t="shared" si="215"/>
        <v>40.167203490921317</v>
      </c>
      <c r="Q75" s="37">
        <f t="shared" ref="Q75:S75" si="216">IF($D15=Q$19,$G75,0)</f>
        <v>40.167203490921317</v>
      </c>
      <c r="R75">
        <f t="shared" si="216"/>
        <v>0</v>
      </c>
      <c r="S75">
        <f t="shared" si="216"/>
        <v>0</v>
      </c>
      <c r="T75" s="37">
        <f t="shared" ref="T75:V75" si="217">IF($E15=T$19,$G75,0)</f>
        <v>0</v>
      </c>
      <c r="U75">
        <f t="shared" si="217"/>
        <v>40.167203490921317</v>
      </c>
      <c r="V75">
        <f t="shared" si="217"/>
        <v>0</v>
      </c>
      <c r="W75" s="37">
        <f t="shared" ref="W75:Y75" si="218">IF($F15=W$19,$G75,0)</f>
        <v>0</v>
      </c>
      <c r="X75">
        <f t="shared" si="218"/>
        <v>0</v>
      </c>
      <c r="Y75">
        <f t="shared" si="218"/>
        <v>40.167203490921317</v>
      </c>
    </row>
    <row r="76" spans="1:25" x14ac:dyDescent="0.25">
      <c r="A76">
        <v>15</v>
      </c>
      <c r="B76">
        <v>3241</v>
      </c>
      <c r="C76">
        <v>3189</v>
      </c>
      <c r="D76">
        <v>3197</v>
      </c>
      <c r="E76">
        <f t="shared" si="138"/>
        <v>3209</v>
      </c>
      <c r="F76">
        <f t="shared" si="139"/>
        <v>28</v>
      </c>
      <c r="G76">
        <f t="shared" si="140"/>
        <v>41.184233715065695</v>
      </c>
      <c r="H76" s="37">
        <f t="shared" ref="H76:J76" si="219">IF($A16=H$19,$G76,0)</f>
        <v>0</v>
      </c>
      <c r="I76">
        <f t="shared" si="219"/>
        <v>41.184233715065695</v>
      </c>
      <c r="J76">
        <f t="shared" si="219"/>
        <v>0</v>
      </c>
      <c r="K76" s="37">
        <f t="shared" ref="K76:M76" si="220">IF($B16=K$19,$G76,0)</f>
        <v>0</v>
      </c>
      <c r="L76">
        <f t="shared" si="220"/>
        <v>0</v>
      </c>
      <c r="M76">
        <f t="shared" si="220"/>
        <v>41.184233715065695</v>
      </c>
      <c r="N76" s="37">
        <f t="shared" ref="N76:P76" si="221">IF($C16=N$19,$G76,0)</f>
        <v>41.184233715065695</v>
      </c>
      <c r="O76">
        <f t="shared" si="221"/>
        <v>0</v>
      </c>
      <c r="P76">
        <f t="shared" si="221"/>
        <v>0</v>
      </c>
      <c r="Q76" s="37">
        <f t="shared" ref="Q76:S76" si="222">IF($D16=Q$19,$G76,0)</f>
        <v>0</v>
      </c>
      <c r="R76">
        <f t="shared" si="222"/>
        <v>41.184233715065695</v>
      </c>
      <c r="S76">
        <f t="shared" si="222"/>
        <v>0</v>
      </c>
      <c r="T76" s="37">
        <f t="shared" ref="T76:V76" si="223">IF($E16=T$19,$G76,0)</f>
        <v>0</v>
      </c>
      <c r="U76">
        <f t="shared" si="223"/>
        <v>0</v>
      </c>
      <c r="V76">
        <f t="shared" si="223"/>
        <v>41.184233715065695</v>
      </c>
      <c r="W76" s="37">
        <f t="shared" ref="W76:Y76" si="224">IF($F16=W$19,$G76,0)</f>
        <v>41.184233715065695</v>
      </c>
      <c r="X76">
        <f t="shared" si="224"/>
        <v>0</v>
      </c>
      <c r="Y76">
        <f t="shared" si="224"/>
        <v>0</v>
      </c>
    </row>
    <row r="77" spans="1:25" x14ac:dyDescent="0.25">
      <c r="A77">
        <v>16</v>
      </c>
      <c r="B77">
        <v>3235</v>
      </c>
      <c r="C77">
        <v>3162</v>
      </c>
      <c r="D77">
        <v>3140</v>
      </c>
      <c r="E77">
        <f t="shared" si="138"/>
        <v>3179</v>
      </c>
      <c r="F77">
        <f t="shared" si="139"/>
        <v>49.729267036625423</v>
      </c>
      <c r="G77">
        <f t="shared" si="140"/>
        <v>36.113569394682486</v>
      </c>
      <c r="H77" s="37">
        <f t="shared" ref="H77:J77" si="225">IF($A17=H$19,$G77,0)</f>
        <v>0</v>
      </c>
      <c r="I77">
        <f t="shared" si="225"/>
        <v>0</v>
      </c>
      <c r="J77">
        <f t="shared" si="225"/>
        <v>36.113569394682486</v>
      </c>
      <c r="K77" s="37">
        <f t="shared" ref="K77:M77" si="226">IF($B17=K$19,$G77,0)</f>
        <v>36.113569394682486</v>
      </c>
      <c r="L77">
        <f t="shared" si="226"/>
        <v>0</v>
      </c>
      <c r="M77">
        <f t="shared" si="226"/>
        <v>0</v>
      </c>
      <c r="N77" s="37">
        <f t="shared" ref="N77:P77" si="227">IF($C17=N$19,$G77,0)</f>
        <v>0</v>
      </c>
      <c r="O77">
        <f t="shared" si="227"/>
        <v>0</v>
      </c>
      <c r="P77">
        <f t="shared" si="227"/>
        <v>36.113569394682486</v>
      </c>
      <c r="Q77" s="37">
        <f t="shared" ref="Q77:S77" si="228">IF($D17=Q$19,$G77,0)</f>
        <v>0</v>
      </c>
      <c r="R77">
        <f t="shared" si="228"/>
        <v>36.113569394682486</v>
      </c>
      <c r="S77">
        <f t="shared" si="228"/>
        <v>0</v>
      </c>
      <c r="T77" s="37">
        <f t="shared" ref="T77:V77" si="229">IF($E17=T$19,$G77,0)</f>
        <v>0</v>
      </c>
      <c r="U77">
        <f t="shared" si="229"/>
        <v>0</v>
      </c>
      <c r="V77">
        <f t="shared" si="229"/>
        <v>36.113569394682486</v>
      </c>
      <c r="W77" s="37">
        <f t="shared" ref="W77:Y77" si="230">IF($F17=W$19,$G77,0)</f>
        <v>0</v>
      </c>
      <c r="X77">
        <f t="shared" si="230"/>
        <v>36.113569394682486</v>
      </c>
      <c r="Y77">
        <f t="shared" si="230"/>
        <v>0</v>
      </c>
    </row>
    <row r="78" spans="1:25" x14ac:dyDescent="0.25">
      <c r="A78">
        <v>17</v>
      </c>
      <c r="B78">
        <v>4593</v>
      </c>
      <c r="C78">
        <v>4298</v>
      </c>
      <c r="D78">
        <v>4219</v>
      </c>
      <c r="E78">
        <f t="shared" si="138"/>
        <v>4370</v>
      </c>
      <c r="F78">
        <f t="shared" si="139"/>
        <v>197.12178976460214</v>
      </c>
      <c r="G78">
        <f t="shared" si="140"/>
        <v>26.914936065947259</v>
      </c>
      <c r="H78" s="37">
        <f t="shared" ref="H78:J78" si="231">IF($A18=H$19,$G78,0)</f>
        <v>0</v>
      </c>
      <c r="I78">
        <f t="shared" si="231"/>
        <v>0</v>
      </c>
      <c r="J78">
        <f t="shared" si="231"/>
        <v>26.914936065947259</v>
      </c>
      <c r="K78" s="37">
        <f t="shared" ref="K78:M78" si="232">IF($B18=K$19,$G78,0)</f>
        <v>0</v>
      </c>
      <c r="L78">
        <f t="shared" si="232"/>
        <v>26.914936065947259</v>
      </c>
      <c r="M78">
        <f t="shared" si="232"/>
        <v>0</v>
      </c>
      <c r="N78" s="37">
        <f t="shared" ref="N78:P78" si="233">IF($C18=N$19,$G78,0)</f>
        <v>26.914936065947259</v>
      </c>
      <c r="O78">
        <f t="shared" si="233"/>
        <v>0</v>
      </c>
      <c r="P78">
        <f t="shared" si="233"/>
        <v>0</v>
      </c>
      <c r="Q78" s="37">
        <f t="shared" ref="Q78:S78" si="234">IF($D18=Q$19,$G78,0)</f>
        <v>0</v>
      </c>
      <c r="R78">
        <f t="shared" si="234"/>
        <v>0</v>
      </c>
      <c r="S78">
        <f t="shared" si="234"/>
        <v>26.914936065947259</v>
      </c>
      <c r="T78" s="37">
        <f t="shared" ref="T78:V78" si="235">IF($E18=T$19,$G78,0)</f>
        <v>26.914936065947259</v>
      </c>
      <c r="U78">
        <f t="shared" si="235"/>
        <v>0</v>
      </c>
      <c r="V78">
        <f t="shared" si="235"/>
        <v>0</v>
      </c>
      <c r="W78" s="37">
        <f t="shared" ref="W78:Y78" si="236">IF($F18=W$19,$G78,0)</f>
        <v>0</v>
      </c>
      <c r="X78">
        <f t="shared" si="236"/>
        <v>0</v>
      </c>
      <c r="Y78">
        <f t="shared" si="236"/>
        <v>26.914936065947259</v>
      </c>
    </row>
    <row r="79" spans="1:25" x14ac:dyDescent="0.25">
      <c r="A79">
        <v>18</v>
      </c>
      <c r="B79">
        <v>4120</v>
      </c>
      <c r="C79">
        <v>4088</v>
      </c>
      <c r="D79">
        <v>4138</v>
      </c>
      <c r="E79">
        <f t="shared" si="138"/>
        <v>4115.333333333333</v>
      </c>
      <c r="F79">
        <f t="shared" si="139"/>
        <v>25.324559884296772</v>
      </c>
      <c r="G79">
        <f t="shared" si="140"/>
        <v>44.21726222840725</v>
      </c>
      <c r="H79" s="37">
        <f t="shared" ref="H79:J79" si="237">IF($A19=H$19,$G79,0)</f>
        <v>0</v>
      </c>
      <c r="I79">
        <f t="shared" si="237"/>
        <v>0</v>
      </c>
      <c r="J79">
        <f t="shared" si="237"/>
        <v>44.21726222840725</v>
      </c>
      <c r="K79" s="37">
        <f t="shared" ref="K79:M79" si="238">IF($B19=K$19,$G79,0)</f>
        <v>0</v>
      </c>
      <c r="L79">
        <f t="shared" si="238"/>
        <v>0</v>
      </c>
      <c r="M79">
        <f t="shared" si="238"/>
        <v>44.21726222840725</v>
      </c>
      <c r="N79" s="37">
        <f t="shared" ref="N79:P79" si="239">IF($C19=N$19,$G79,0)</f>
        <v>0</v>
      </c>
      <c r="O79">
        <f t="shared" si="239"/>
        <v>44.21726222840725</v>
      </c>
      <c r="P79">
        <f t="shared" si="239"/>
        <v>0</v>
      </c>
      <c r="Q79" s="37">
        <f t="shared" ref="Q79:S79" si="240">IF($D19=Q$19,$G79,0)</f>
        <v>44.21726222840725</v>
      </c>
      <c r="R79">
        <f t="shared" si="240"/>
        <v>0</v>
      </c>
      <c r="S79">
        <f t="shared" si="240"/>
        <v>0</v>
      </c>
      <c r="T79" s="37">
        <f t="shared" ref="T79:V79" si="241">IF($E19=T$19,$G79,0)</f>
        <v>0</v>
      </c>
      <c r="U79">
        <f t="shared" si="241"/>
        <v>44.21726222840725</v>
      </c>
      <c r="V79">
        <f t="shared" si="241"/>
        <v>0</v>
      </c>
      <c r="W79" s="37">
        <f t="shared" ref="W79:Y79" si="242">IF($F19=W$19,$G79,0)</f>
        <v>44.21726222840725</v>
      </c>
      <c r="X79">
        <f t="shared" si="242"/>
        <v>0</v>
      </c>
      <c r="Y79">
        <f t="shared" si="242"/>
        <v>0</v>
      </c>
    </row>
    <row r="80" spans="1:25" x14ac:dyDescent="0.25">
      <c r="H80" s="145" t="s">
        <v>7</v>
      </c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</row>
    <row r="81" spans="8:25" x14ac:dyDescent="0.25">
      <c r="H81">
        <v>1</v>
      </c>
      <c r="I81">
        <v>2</v>
      </c>
      <c r="J81">
        <v>3</v>
      </c>
      <c r="K81">
        <v>1</v>
      </c>
      <c r="L81">
        <v>2</v>
      </c>
      <c r="M81">
        <v>3</v>
      </c>
      <c r="N81">
        <v>1</v>
      </c>
      <c r="O81">
        <v>2</v>
      </c>
      <c r="P81">
        <v>3</v>
      </c>
      <c r="Q81">
        <v>1</v>
      </c>
      <c r="R81">
        <v>2</v>
      </c>
      <c r="S81">
        <v>3</v>
      </c>
      <c r="T81">
        <v>1</v>
      </c>
      <c r="U81">
        <v>2</v>
      </c>
      <c r="V81">
        <v>3</v>
      </c>
      <c r="W81">
        <v>1</v>
      </c>
      <c r="X81">
        <v>2</v>
      </c>
      <c r="Y81">
        <v>3</v>
      </c>
    </row>
    <row r="82" spans="8:25" x14ac:dyDescent="0.25">
      <c r="H82">
        <f>SUM(H22:H39,H42:H59,H62:H79)/18</f>
        <v>39.806159580104378</v>
      </c>
      <c r="I82">
        <f t="shared" ref="I82:Y82" si="243">SUM(I22:I39,I42:I59,I62:I79)/18</f>
        <v>41.589338124761326</v>
      </c>
      <c r="J82">
        <f t="shared" si="243"/>
        <v>39.036800671228875</v>
      </c>
      <c r="K82">
        <f t="shared" si="243"/>
        <v>40.997298219630096</v>
      </c>
      <c r="L82">
        <f t="shared" si="243"/>
        <v>37.641490342073681</v>
      </c>
      <c r="M82">
        <f t="shared" si="243"/>
        <v>41.793509814390802</v>
      </c>
      <c r="N82">
        <f t="shared" si="243"/>
        <v>39.902360525169485</v>
      </c>
      <c r="O82">
        <f t="shared" si="243"/>
        <v>41.48390220517274</v>
      </c>
      <c r="P82">
        <f t="shared" si="243"/>
        <v>39.046035645752355</v>
      </c>
      <c r="Q82">
        <f t="shared" si="243"/>
        <v>43.536324908011835</v>
      </c>
      <c r="R82">
        <f t="shared" si="243"/>
        <v>38.013238557567689</v>
      </c>
      <c r="S82">
        <f t="shared" si="243"/>
        <v>38.88273491051504</v>
      </c>
      <c r="T82">
        <f t="shared" si="243"/>
        <v>35.058648253982241</v>
      </c>
      <c r="U82">
        <f t="shared" si="243"/>
        <v>42.951502414062155</v>
      </c>
      <c r="V82">
        <f t="shared" si="243"/>
        <v>42.422147708050197</v>
      </c>
      <c r="W82">
        <f t="shared" si="243"/>
        <v>40.991795259625661</v>
      </c>
      <c r="X82">
        <f t="shared" si="243"/>
        <v>40.280613113160591</v>
      </c>
      <c r="Y82">
        <f t="shared" si="243"/>
        <v>39.159890003308327</v>
      </c>
    </row>
  </sheetData>
  <mergeCells count="7">
    <mergeCell ref="A60:G60"/>
    <mergeCell ref="H40:Y40"/>
    <mergeCell ref="H60:Y60"/>
    <mergeCell ref="H80:Y80"/>
    <mergeCell ref="A20:G20"/>
    <mergeCell ref="H20:Y20"/>
    <mergeCell ref="A40:G4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8A67-5712-4F2C-8063-33839C03190A}">
  <dimension ref="A1:AL43"/>
  <sheetViews>
    <sheetView tabSelected="1" topLeftCell="M16" zoomScaleNormal="100" workbookViewId="0">
      <selection activeCell="L33" sqref="L33"/>
    </sheetView>
  </sheetViews>
  <sheetFormatPr defaultRowHeight="16.5" x14ac:dyDescent="0.25"/>
  <cols>
    <col min="7" max="7" width="9" style="37"/>
  </cols>
  <sheetData>
    <row r="1" spans="7:7" x14ac:dyDescent="0.25">
      <c r="G1" s="26"/>
    </row>
    <row r="2" spans="7:7" x14ac:dyDescent="0.25">
      <c r="G2" s="26"/>
    </row>
    <row r="3" spans="7:7" x14ac:dyDescent="0.25">
      <c r="G3" s="26"/>
    </row>
    <row r="4" spans="7:7" x14ac:dyDescent="0.25">
      <c r="G4" s="26"/>
    </row>
    <row r="5" spans="7:7" x14ac:dyDescent="0.25">
      <c r="G5" s="26"/>
    </row>
    <row r="6" spans="7:7" x14ac:dyDescent="0.25">
      <c r="G6" s="26"/>
    </row>
    <row r="7" spans="7:7" x14ac:dyDescent="0.25">
      <c r="G7" s="26"/>
    </row>
    <row r="8" spans="7:7" x14ac:dyDescent="0.25">
      <c r="G8" s="26"/>
    </row>
    <row r="9" spans="7:7" x14ac:dyDescent="0.25">
      <c r="G9" s="26"/>
    </row>
    <row r="10" spans="7:7" x14ac:dyDescent="0.25">
      <c r="G10" s="26"/>
    </row>
    <row r="11" spans="7:7" x14ac:dyDescent="0.25">
      <c r="G11" s="26"/>
    </row>
    <row r="12" spans="7:7" x14ac:dyDescent="0.25">
      <c r="G12" s="26"/>
    </row>
    <row r="13" spans="7:7" x14ac:dyDescent="0.25">
      <c r="G13" s="26"/>
    </row>
    <row r="14" spans="7:7" x14ac:dyDescent="0.25">
      <c r="G14" s="26"/>
    </row>
    <row r="15" spans="7:7" x14ac:dyDescent="0.25">
      <c r="G15" s="26"/>
    </row>
    <row r="16" spans="7:7" x14ac:dyDescent="0.25">
      <c r="G16" s="26"/>
    </row>
    <row r="17" spans="1:37" x14ac:dyDescent="0.25">
      <c r="G17" s="26"/>
    </row>
    <row r="18" spans="1:37" x14ac:dyDescent="0.25">
      <c r="G18" s="26"/>
    </row>
    <row r="19" spans="1:37" x14ac:dyDescent="0.25">
      <c r="G19" s="145" t="s">
        <v>221</v>
      </c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53"/>
      <c r="T19">
        <v>1</v>
      </c>
      <c r="U19">
        <v>2</v>
      </c>
      <c r="V19">
        <v>3</v>
      </c>
      <c r="W19">
        <v>1</v>
      </c>
      <c r="X19">
        <v>2</v>
      </c>
      <c r="Y19">
        <v>3</v>
      </c>
      <c r="Z19">
        <v>1</v>
      </c>
      <c r="AA19">
        <v>2</v>
      </c>
      <c r="AB19">
        <v>3</v>
      </c>
      <c r="AC19">
        <v>1</v>
      </c>
      <c r="AD19">
        <v>2</v>
      </c>
      <c r="AE19">
        <v>3</v>
      </c>
      <c r="AF19">
        <v>1</v>
      </c>
      <c r="AG19">
        <v>2</v>
      </c>
      <c r="AH19">
        <v>3</v>
      </c>
      <c r="AI19">
        <v>1</v>
      </c>
      <c r="AJ19">
        <v>2</v>
      </c>
      <c r="AK19">
        <v>3</v>
      </c>
    </row>
    <row r="20" spans="1:37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132</v>
      </c>
      <c r="G20" s="37" t="s">
        <v>182</v>
      </c>
      <c r="H20" s="154" t="s">
        <v>183</v>
      </c>
      <c r="I20" s="146"/>
      <c r="J20" s="153"/>
      <c r="K20" s="154" t="s">
        <v>184</v>
      </c>
      <c r="L20" s="146"/>
      <c r="M20" s="146"/>
      <c r="N20" s="154" t="s">
        <v>185</v>
      </c>
      <c r="O20" s="146"/>
      <c r="P20" s="146"/>
      <c r="Q20" s="37" t="s">
        <v>7</v>
      </c>
      <c r="R20" t="s">
        <v>186</v>
      </c>
      <c r="S20" t="s">
        <v>187</v>
      </c>
      <c r="T20" t="s">
        <v>195</v>
      </c>
      <c r="U20" t="s">
        <v>196</v>
      </c>
      <c r="V20" t="s">
        <v>232</v>
      </c>
      <c r="W20" t="s">
        <v>198</v>
      </c>
      <c r="X20" t="s">
        <v>222</v>
      </c>
      <c r="Y20" t="s">
        <v>223</v>
      </c>
      <c r="Z20" t="s">
        <v>201</v>
      </c>
      <c r="AA20" t="s">
        <v>202</v>
      </c>
      <c r="AB20" t="s">
        <v>203</v>
      </c>
      <c r="AC20" t="s">
        <v>204</v>
      </c>
      <c r="AD20" t="s">
        <v>205</v>
      </c>
      <c r="AE20" t="s">
        <v>206</v>
      </c>
      <c r="AF20" t="s">
        <v>32</v>
      </c>
      <c r="AG20" t="s">
        <v>100</v>
      </c>
      <c r="AH20" t="s">
        <v>101</v>
      </c>
      <c r="AI20" t="s">
        <v>207</v>
      </c>
      <c r="AJ20" t="s">
        <v>208</v>
      </c>
      <c r="AK20" t="s">
        <v>209</v>
      </c>
    </row>
    <row r="21" spans="1:37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 s="37">
        <v>1</v>
      </c>
      <c r="H21" s="37">
        <v>2029</v>
      </c>
      <c r="I21" s="26">
        <v>1975</v>
      </c>
      <c r="J21" s="38">
        <v>1952</v>
      </c>
      <c r="K21" s="37">
        <v>1975</v>
      </c>
      <c r="L21" s="26">
        <v>1934</v>
      </c>
      <c r="M21" s="26">
        <v>1941</v>
      </c>
      <c r="N21" s="37">
        <v>1961</v>
      </c>
      <c r="O21" s="26">
        <v>1907</v>
      </c>
      <c r="P21" s="26">
        <v>1949</v>
      </c>
      <c r="Q21" s="37">
        <f>AVERAGE(H21:P21)</f>
        <v>1958.1111111111111</v>
      </c>
      <c r="R21">
        <f>_xlfn.STDEV.S(H21:P21)</f>
        <v>33.931712469474789</v>
      </c>
      <c r="S21">
        <f>10*LOG10(Q21^2/R21^2)</f>
        <v>35.224631071270984</v>
      </c>
      <c r="T21">
        <f>IF($A21=T$19,$S21,0)</f>
        <v>35.224631071270984</v>
      </c>
      <c r="U21">
        <f t="shared" ref="U21:V36" si="0">IF($A21=U$19,$S21,0)</f>
        <v>0</v>
      </c>
      <c r="V21">
        <f t="shared" si="0"/>
        <v>0</v>
      </c>
      <c r="W21">
        <f>IF($B21=W$19,$S21,0)</f>
        <v>35.224631071270984</v>
      </c>
      <c r="X21">
        <f t="shared" ref="X21:Y36" si="1">IF($B21=X$19,$S21,0)</f>
        <v>0</v>
      </c>
      <c r="Y21">
        <f t="shared" si="1"/>
        <v>0</v>
      </c>
      <c r="Z21">
        <f>IF($C21=Z$19,$S21,0)</f>
        <v>35.224631071270984</v>
      </c>
      <c r="AA21">
        <f t="shared" ref="AA21:AB36" si="2">IF($C21=AA$19,$S21,0)</f>
        <v>0</v>
      </c>
      <c r="AB21">
        <f t="shared" si="2"/>
        <v>0</v>
      </c>
      <c r="AC21">
        <f>IF($D21=AC$19,$S21,0)</f>
        <v>35.224631071270984</v>
      </c>
      <c r="AD21">
        <f t="shared" ref="AD21:AE36" si="3">IF($D21=AD$19,$S21,0)</f>
        <v>0</v>
      </c>
      <c r="AE21">
        <f t="shared" si="3"/>
        <v>0</v>
      </c>
      <c r="AF21">
        <f>IF($E21=AF$19,$S21,0)</f>
        <v>35.224631071270984</v>
      </c>
      <c r="AG21">
        <f t="shared" ref="AG21:AH36" si="4">IF($E21=AG$19,$S21,0)</f>
        <v>0</v>
      </c>
      <c r="AH21">
        <f t="shared" si="4"/>
        <v>0</v>
      </c>
      <c r="AI21">
        <f>IF($F21=AI$19,$S21,0)</f>
        <v>35.224631071270984</v>
      </c>
      <c r="AJ21">
        <f t="shared" ref="AJ21:AK36" si="5">IF($F21=AJ$19,$S21,0)</f>
        <v>0</v>
      </c>
      <c r="AK21">
        <f t="shared" si="5"/>
        <v>0</v>
      </c>
    </row>
    <row r="22" spans="1:37" x14ac:dyDescent="0.25">
      <c r="A22">
        <v>1</v>
      </c>
      <c r="B22">
        <v>2</v>
      </c>
      <c r="C22">
        <v>2</v>
      </c>
      <c r="D22">
        <v>2</v>
      </c>
      <c r="E22">
        <v>2</v>
      </c>
      <c r="F22">
        <v>2</v>
      </c>
      <c r="G22" s="37">
        <v>2</v>
      </c>
      <c r="H22" s="37">
        <v>5375</v>
      </c>
      <c r="I22" s="26">
        <v>5201</v>
      </c>
      <c r="J22" s="38">
        <v>5323</v>
      </c>
      <c r="K22" s="37">
        <v>5191</v>
      </c>
      <c r="L22" s="26">
        <v>5254</v>
      </c>
      <c r="M22" s="26">
        <v>5307</v>
      </c>
      <c r="N22" s="37">
        <v>5242</v>
      </c>
      <c r="O22" s="26">
        <v>5309</v>
      </c>
      <c r="P22" s="26">
        <v>5091</v>
      </c>
      <c r="Q22" s="37">
        <f t="shared" ref="Q22:Q38" si="6">AVERAGE(H22:P22)</f>
        <v>5254.7777777777774</v>
      </c>
      <c r="R22">
        <f t="shared" ref="R22:R38" si="7">_xlfn.STDEV.S(H22:P22)</f>
        <v>85.674934750161583</v>
      </c>
      <c r="S22">
        <f t="shared" ref="S22:S38" si="8">10*LOG10(Q22^2/R22^2)</f>
        <v>35.75401144574402</v>
      </c>
      <c r="T22">
        <f t="shared" ref="T22:V38" si="9">IF($A22=T$19,$S22,0)</f>
        <v>35.75401144574402</v>
      </c>
      <c r="U22">
        <f t="shared" si="0"/>
        <v>0</v>
      </c>
      <c r="V22">
        <f t="shared" si="0"/>
        <v>0</v>
      </c>
      <c r="W22">
        <f t="shared" ref="W22:Y38" si="10">IF($B22=W$19,$S22,0)</f>
        <v>0</v>
      </c>
      <c r="X22">
        <f t="shared" si="1"/>
        <v>35.75401144574402</v>
      </c>
      <c r="Y22">
        <f t="shared" si="1"/>
        <v>0</v>
      </c>
      <c r="Z22">
        <f t="shared" ref="Z22:AB38" si="11">IF($C22=Z$19,$S22,0)</f>
        <v>0</v>
      </c>
      <c r="AA22">
        <f t="shared" si="2"/>
        <v>35.75401144574402</v>
      </c>
      <c r="AB22">
        <f t="shared" si="2"/>
        <v>0</v>
      </c>
      <c r="AC22">
        <f t="shared" ref="AC22:AE38" si="12">IF($D22=AC$19,$S22,0)</f>
        <v>0</v>
      </c>
      <c r="AD22">
        <f t="shared" si="3"/>
        <v>35.75401144574402</v>
      </c>
      <c r="AE22">
        <f t="shared" si="3"/>
        <v>0</v>
      </c>
      <c r="AF22">
        <f t="shared" ref="AF22:AH38" si="13">IF($E22=AF$19,$S22,0)</f>
        <v>0</v>
      </c>
      <c r="AG22">
        <f t="shared" si="4"/>
        <v>35.75401144574402</v>
      </c>
      <c r="AH22">
        <f t="shared" si="4"/>
        <v>0</v>
      </c>
      <c r="AI22">
        <f t="shared" ref="AI22:AK38" si="14">IF($F22=AI$19,$S22,0)</f>
        <v>0</v>
      </c>
      <c r="AJ22">
        <f t="shared" si="5"/>
        <v>35.75401144574402</v>
      </c>
      <c r="AK22">
        <f t="shared" si="5"/>
        <v>0</v>
      </c>
    </row>
    <row r="23" spans="1:37" x14ac:dyDescent="0.25">
      <c r="A23">
        <v>1</v>
      </c>
      <c r="B23">
        <v>3</v>
      </c>
      <c r="C23">
        <v>3</v>
      </c>
      <c r="D23">
        <v>3</v>
      </c>
      <c r="E23">
        <v>3</v>
      </c>
      <c r="F23">
        <v>3</v>
      </c>
      <c r="G23" s="37">
        <v>3</v>
      </c>
      <c r="H23" s="37">
        <v>5989</v>
      </c>
      <c r="I23" s="26">
        <v>6152</v>
      </c>
      <c r="J23" s="38">
        <v>6077</v>
      </c>
      <c r="K23" s="37">
        <v>5894</v>
      </c>
      <c r="L23" s="26">
        <v>5910</v>
      </c>
      <c r="M23" s="26">
        <v>5943</v>
      </c>
      <c r="N23" s="37">
        <v>5874</v>
      </c>
      <c r="O23" s="26">
        <v>5886</v>
      </c>
      <c r="P23" s="26">
        <v>5962</v>
      </c>
      <c r="Q23" s="37">
        <f t="shared" si="6"/>
        <v>5965.2222222222226</v>
      </c>
      <c r="R23">
        <f t="shared" si="7"/>
        <v>94.319639759937814</v>
      </c>
      <c r="S23">
        <f t="shared" si="8"/>
        <v>36.020489873988573</v>
      </c>
      <c r="T23">
        <f t="shared" si="9"/>
        <v>36.020489873988573</v>
      </c>
      <c r="U23">
        <f t="shared" si="0"/>
        <v>0</v>
      </c>
      <c r="V23">
        <f t="shared" si="0"/>
        <v>0</v>
      </c>
      <c r="W23">
        <f t="shared" si="10"/>
        <v>0</v>
      </c>
      <c r="X23">
        <f t="shared" si="1"/>
        <v>0</v>
      </c>
      <c r="Y23">
        <f t="shared" si="1"/>
        <v>36.020489873988573</v>
      </c>
      <c r="Z23">
        <f t="shared" si="11"/>
        <v>0</v>
      </c>
      <c r="AA23">
        <f t="shared" si="2"/>
        <v>0</v>
      </c>
      <c r="AB23">
        <f t="shared" si="2"/>
        <v>36.020489873988573</v>
      </c>
      <c r="AC23">
        <f t="shared" si="12"/>
        <v>0</v>
      </c>
      <c r="AD23">
        <f t="shared" si="3"/>
        <v>0</v>
      </c>
      <c r="AE23">
        <f t="shared" si="3"/>
        <v>36.020489873988573</v>
      </c>
      <c r="AF23">
        <f t="shared" si="13"/>
        <v>0</v>
      </c>
      <c r="AG23">
        <f t="shared" si="4"/>
        <v>0</v>
      </c>
      <c r="AH23">
        <f t="shared" si="4"/>
        <v>36.020489873988573</v>
      </c>
      <c r="AI23">
        <f t="shared" si="14"/>
        <v>0</v>
      </c>
      <c r="AJ23">
        <f t="shared" si="5"/>
        <v>0</v>
      </c>
      <c r="AK23">
        <f t="shared" si="5"/>
        <v>36.020489873988573</v>
      </c>
    </row>
    <row r="24" spans="1:37" x14ac:dyDescent="0.25">
      <c r="A24">
        <v>2</v>
      </c>
      <c r="B24">
        <v>1</v>
      </c>
      <c r="C24">
        <v>1</v>
      </c>
      <c r="D24">
        <v>2</v>
      </c>
      <c r="E24">
        <v>2</v>
      </c>
      <c r="F24">
        <v>3</v>
      </c>
      <c r="G24" s="37">
        <v>4</v>
      </c>
      <c r="H24" s="37">
        <v>2118</v>
      </c>
      <c r="I24" s="26">
        <v>2140</v>
      </c>
      <c r="J24" s="38">
        <v>2149</v>
      </c>
      <c r="K24" s="37">
        <v>2109</v>
      </c>
      <c r="L24" s="26">
        <v>2125</v>
      </c>
      <c r="M24" s="26">
        <v>2130</v>
      </c>
      <c r="N24" s="37">
        <v>2099</v>
      </c>
      <c r="O24" s="26">
        <v>2108</v>
      </c>
      <c r="P24" s="26">
        <v>2111</v>
      </c>
      <c r="Q24" s="37">
        <f t="shared" si="6"/>
        <v>2121</v>
      </c>
      <c r="R24">
        <f t="shared" si="7"/>
        <v>16.385969608173941</v>
      </c>
      <c r="S24">
        <f t="shared" si="8"/>
        <v>42.241370469975486</v>
      </c>
      <c r="T24">
        <f t="shared" si="9"/>
        <v>0</v>
      </c>
      <c r="U24">
        <f t="shared" si="0"/>
        <v>42.241370469975486</v>
      </c>
      <c r="V24">
        <f t="shared" si="0"/>
        <v>0</v>
      </c>
      <c r="W24">
        <f t="shared" si="10"/>
        <v>42.241370469975486</v>
      </c>
      <c r="X24">
        <f t="shared" si="1"/>
        <v>0</v>
      </c>
      <c r="Y24">
        <f t="shared" si="1"/>
        <v>0</v>
      </c>
      <c r="Z24">
        <f t="shared" si="11"/>
        <v>42.241370469975486</v>
      </c>
      <c r="AA24">
        <f t="shared" si="2"/>
        <v>0</v>
      </c>
      <c r="AB24">
        <f t="shared" si="2"/>
        <v>0</v>
      </c>
      <c r="AC24">
        <f t="shared" si="12"/>
        <v>0</v>
      </c>
      <c r="AD24">
        <f t="shared" si="3"/>
        <v>42.241370469975486</v>
      </c>
      <c r="AE24">
        <f t="shared" si="3"/>
        <v>0</v>
      </c>
      <c r="AF24">
        <f t="shared" si="13"/>
        <v>0</v>
      </c>
      <c r="AG24">
        <f t="shared" si="4"/>
        <v>42.241370469975486</v>
      </c>
      <c r="AH24">
        <f t="shared" si="4"/>
        <v>0</v>
      </c>
      <c r="AI24">
        <f t="shared" si="14"/>
        <v>0</v>
      </c>
      <c r="AJ24">
        <f t="shared" si="5"/>
        <v>0</v>
      </c>
      <c r="AK24">
        <f t="shared" si="5"/>
        <v>42.241370469975486</v>
      </c>
    </row>
    <row r="25" spans="1:37" x14ac:dyDescent="0.25">
      <c r="A25">
        <v>2</v>
      </c>
      <c r="B25">
        <v>2</v>
      </c>
      <c r="C25">
        <v>2</v>
      </c>
      <c r="D25">
        <v>3</v>
      </c>
      <c r="E25">
        <v>3</v>
      </c>
      <c r="F25">
        <v>1</v>
      </c>
      <c r="G25" s="37">
        <v>5</v>
      </c>
      <c r="H25" s="37">
        <v>4102</v>
      </c>
      <c r="I25" s="26">
        <v>4556</v>
      </c>
      <c r="J25" s="38">
        <v>5031</v>
      </c>
      <c r="K25" s="37">
        <v>4152</v>
      </c>
      <c r="L25" s="26">
        <v>4504</v>
      </c>
      <c r="M25" s="26">
        <v>5040</v>
      </c>
      <c r="N25" s="37">
        <v>4174</v>
      </c>
      <c r="O25" s="26">
        <v>4560</v>
      </c>
      <c r="P25" s="26">
        <v>5032</v>
      </c>
      <c r="Q25" s="37">
        <f t="shared" si="6"/>
        <v>4572.333333333333</v>
      </c>
      <c r="R25">
        <f t="shared" si="7"/>
        <v>387.62610851179772</v>
      </c>
      <c r="S25">
        <f t="shared" si="8"/>
        <v>21.434497253970093</v>
      </c>
      <c r="T25">
        <f t="shared" si="9"/>
        <v>0</v>
      </c>
      <c r="U25">
        <f t="shared" si="0"/>
        <v>21.434497253970093</v>
      </c>
      <c r="V25">
        <f t="shared" si="0"/>
        <v>0</v>
      </c>
      <c r="W25">
        <f t="shared" si="10"/>
        <v>0</v>
      </c>
      <c r="X25">
        <f t="shared" si="1"/>
        <v>21.434497253970093</v>
      </c>
      <c r="Y25">
        <f t="shared" si="1"/>
        <v>0</v>
      </c>
      <c r="Z25">
        <f t="shared" si="11"/>
        <v>0</v>
      </c>
      <c r="AA25">
        <f t="shared" si="2"/>
        <v>21.434497253970093</v>
      </c>
      <c r="AB25">
        <f t="shared" si="2"/>
        <v>0</v>
      </c>
      <c r="AC25">
        <f t="shared" si="12"/>
        <v>0</v>
      </c>
      <c r="AD25">
        <f t="shared" si="3"/>
        <v>0</v>
      </c>
      <c r="AE25">
        <f t="shared" si="3"/>
        <v>21.434497253970093</v>
      </c>
      <c r="AF25">
        <f t="shared" si="13"/>
        <v>0</v>
      </c>
      <c r="AG25">
        <f t="shared" si="4"/>
        <v>0</v>
      </c>
      <c r="AH25">
        <f t="shared" si="4"/>
        <v>21.434497253970093</v>
      </c>
      <c r="AI25">
        <f t="shared" si="14"/>
        <v>21.434497253970093</v>
      </c>
      <c r="AJ25">
        <f t="shared" si="5"/>
        <v>0</v>
      </c>
      <c r="AK25">
        <f t="shared" si="5"/>
        <v>0</v>
      </c>
    </row>
    <row r="26" spans="1:37" x14ac:dyDescent="0.25">
      <c r="A26">
        <v>2</v>
      </c>
      <c r="B26">
        <v>3</v>
      </c>
      <c r="C26">
        <v>3</v>
      </c>
      <c r="D26">
        <v>1</v>
      </c>
      <c r="E26">
        <v>1</v>
      </c>
      <c r="F26">
        <v>2</v>
      </c>
      <c r="G26" s="37">
        <v>6</v>
      </c>
      <c r="H26" s="37">
        <v>3022</v>
      </c>
      <c r="I26" s="26">
        <v>2833</v>
      </c>
      <c r="J26" s="38">
        <v>2934</v>
      </c>
      <c r="K26" s="37">
        <v>2932</v>
      </c>
      <c r="L26" s="26">
        <v>2837</v>
      </c>
      <c r="M26" s="26">
        <v>2875</v>
      </c>
      <c r="N26" s="37">
        <v>2913</v>
      </c>
      <c r="O26" s="26">
        <v>2828</v>
      </c>
      <c r="P26" s="26">
        <v>2841</v>
      </c>
      <c r="Q26" s="37">
        <f t="shared" si="6"/>
        <v>2890.5555555555557</v>
      </c>
      <c r="R26">
        <f t="shared" si="7"/>
        <v>65.362663484421873</v>
      </c>
      <c r="S26">
        <f t="shared" si="8"/>
        <v>32.913031594015344</v>
      </c>
      <c r="T26">
        <f t="shared" si="9"/>
        <v>0</v>
      </c>
      <c r="U26">
        <f t="shared" si="0"/>
        <v>32.913031594015344</v>
      </c>
      <c r="V26">
        <f t="shared" si="0"/>
        <v>0</v>
      </c>
      <c r="W26">
        <f t="shared" si="10"/>
        <v>0</v>
      </c>
      <c r="X26">
        <f t="shared" si="1"/>
        <v>0</v>
      </c>
      <c r="Y26">
        <f t="shared" si="1"/>
        <v>32.913031594015344</v>
      </c>
      <c r="Z26">
        <f t="shared" si="11"/>
        <v>0</v>
      </c>
      <c r="AA26">
        <f t="shared" si="2"/>
        <v>0</v>
      </c>
      <c r="AB26">
        <f t="shared" si="2"/>
        <v>32.913031594015344</v>
      </c>
      <c r="AC26">
        <f t="shared" si="12"/>
        <v>32.913031594015344</v>
      </c>
      <c r="AD26">
        <f t="shared" si="3"/>
        <v>0</v>
      </c>
      <c r="AE26">
        <f t="shared" si="3"/>
        <v>0</v>
      </c>
      <c r="AF26">
        <f t="shared" si="13"/>
        <v>32.913031594015344</v>
      </c>
      <c r="AG26">
        <f t="shared" si="4"/>
        <v>0</v>
      </c>
      <c r="AH26">
        <f t="shared" si="4"/>
        <v>0</v>
      </c>
      <c r="AI26">
        <f t="shared" si="14"/>
        <v>0</v>
      </c>
      <c r="AJ26">
        <f t="shared" si="5"/>
        <v>32.913031594015344</v>
      </c>
      <c r="AK26">
        <f t="shared" si="5"/>
        <v>0</v>
      </c>
    </row>
    <row r="27" spans="1:37" x14ac:dyDescent="0.25">
      <c r="A27">
        <v>3</v>
      </c>
      <c r="B27">
        <v>1</v>
      </c>
      <c r="C27">
        <v>2</v>
      </c>
      <c r="D27">
        <v>1</v>
      </c>
      <c r="E27">
        <v>3</v>
      </c>
      <c r="F27">
        <v>3</v>
      </c>
      <c r="G27" s="37">
        <v>7</v>
      </c>
      <c r="H27" s="37">
        <v>3030</v>
      </c>
      <c r="I27" s="26">
        <v>3468</v>
      </c>
      <c r="J27" s="38">
        <v>3709</v>
      </c>
      <c r="K27" s="37">
        <v>3042</v>
      </c>
      <c r="L27" s="26">
        <v>3333</v>
      </c>
      <c r="M27" s="26">
        <v>3671</v>
      </c>
      <c r="N27" s="37">
        <v>3028</v>
      </c>
      <c r="O27" s="26">
        <v>3389</v>
      </c>
      <c r="P27" s="26">
        <v>3687</v>
      </c>
      <c r="Q27" s="37">
        <f t="shared" si="6"/>
        <v>3373</v>
      </c>
      <c r="R27">
        <f t="shared" si="7"/>
        <v>286.66443797583264</v>
      </c>
      <c r="S27">
        <f t="shared" si="8"/>
        <v>21.412850422042688</v>
      </c>
      <c r="T27">
        <f t="shared" si="9"/>
        <v>0</v>
      </c>
      <c r="U27">
        <f t="shared" si="0"/>
        <v>0</v>
      </c>
      <c r="V27">
        <f t="shared" si="0"/>
        <v>21.412850422042688</v>
      </c>
      <c r="W27">
        <f t="shared" si="10"/>
        <v>21.412850422042688</v>
      </c>
      <c r="X27">
        <f t="shared" si="1"/>
        <v>0</v>
      </c>
      <c r="Y27">
        <f t="shared" si="1"/>
        <v>0</v>
      </c>
      <c r="Z27">
        <f t="shared" si="11"/>
        <v>0</v>
      </c>
      <c r="AA27">
        <f t="shared" si="2"/>
        <v>21.412850422042688</v>
      </c>
      <c r="AB27">
        <f t="shared" si="2"/>
        <v>0</v>
      </c>
      <c r="AC27">
        <f t="shared" si="12"/>
        <v>21.412850422042688</v>
      </c>
      <c r="AD27">
        <f t="shared" si="3"/>
        <v>0</v>
      </c>
      <c r="AE27">
        <f t="shared" si="3"/>
        <v>0</v>
      </c>
      <c r="AF27">
        <f t="shared" si="13"/>
        <v>0</v>
      </c>
      <c r="AG27">
        <f t="shared" si="4"/>
        <v>0</v>
      </c>
      <c r="AH27">
        <f t="shared" si="4"/>
        <v>21.412850422042688</v>
      </c>
      <c r="AI27">
        <f t="shared" si="14"/>
        <v>0</v>
      </c>
      <c r="AJ27">
        <f t="shared" si="5"/>
        <v>0</v>
      </c>
      <c r="AK27">
        <f t="shared" si="5"/>
        <v>21.412850422042688</v>
      </c>
    </row>
    <row r="28" spans="1:37" x14ac:dyDescent="0.25">
      <c r="A28">
        <v>3</v>
      </c>
      <c r="B28">
        <v>2</v>
      </c>
      <c r="C28">
        <v>3</v>
      </c>
      <c r="D28">
        <v>2</v>
      </c>
      <c r="E28">
        <v>1</v>
      </c>
      <c r="F28">
        <v>1</v>
      </c>
      <c r="G28" s="37">
        <v>8</v>
      </c>
      <c r="H28" s="37">
        <v>4707</v>
      </c>
      <c r="I28" s="26">
        <v>4407</v>
      </c>
      <c r="J28" s="38">
        <v>5073</v>
      </c>
      <c r="K28" s="37">
        <v>4472</v>
      </c>
      <c r="L28" s="26">
        <v>4156</v>
      </c>
      <c r="M28" s="26">
        <v>4898</v>
      </c>
      <c r="N28" s="37">
        <v>4336</v>
      </c>
      <c r="O28" s="26">
        <v>4094</v>
      </c>
      <c r="P28" s="26">
        <v>4599</v>
      </c>
      <c r="Q28" s="37">
        <f t="shared" si="6"/>
        <v>4526.8888888888887</v>
      </c>
      <c r="R28">
        <f t="shared" si="7"/>
        <v>326.4155497385367</v>
      </c>
      <c r="S28">
        <f t="shared" si="8"/>
        <v>22.840579911307238</v>
      </c>
      <c r="T28">
        <f t="shared" si="9"/>
        <v>0</v>
      </c>
      <c r="U28">
        <f t="shared" si="0"/>
        <v>0</v>
      </c>
      <c r="V28">
        <f t="shared" si="0"/>
        <v>22.840579911307238</v>
      </c>
      <c r="W28">
        <f t="shared" si="10"/>
        <v>0</v>
      </c>
      <c r="X28">
        <f t="shared" si="1"/>
        <v>22.840579911307238</v>
      </c>
      <c r="Y28">
        <f t="shared" si="1"/>
        <v>0</v>
      </c>
      <c r="Z28">
        <f t="shared" si="11"/>
        <v>0</v>
      </c>
      <c r="AA28">
        <f t="shared" si="2"/>
        <v>0</v>
      </c>
      <c r="AB28">
        <f t="shared" si="2"/>
        <v>22.840579911307238</v>
      </c>
      <c r="AC28">
        <f t="shared" si="12"/>
        <v>0</v>
      </c>
      <c r="AD28">
        <f t="shared" si="3"/>
        <v>22.840579911307238</v>
      </c>
      <c r="AE28">
        <f t="shared" si="3"/>
        <v>0</v>
      </c>
      <c r="AF28">
        <f t="shared" si="13"/>
        <v>22.840579911307238</v>
      </c>
      <c r="AG28">
        <f t="shared" si="4"/>
        <v>0</v>
      </c>
      <c r="AH28">
        <f t="shared" si="4"/>
        <v>0</v>
      </c>
      <c r="AI28">
        <f t="shared" si="14"/>
        <v>22.840579911307238</v>
      </c>
      <c r="AJ28">
        <f t="shared" si="5"/>
        <v>0</v>
      </c>
      <c r="AK28">
        <f t="shared" si="5"/>
        <v>0</v>
      </c>
    </row>
    <row r="29" spans="1:37" x14ac:dyDescent="0.25">
      <c r="A29">
        <v>3</v>
      </c>
      <c r="B29">
        <v>3</v>
      </c>
      <c r="C29">
        <v>1</v>
      </c>
      <c r="D29">
        <v>3</v>
      </c>
      <c r="E29">
        <v>2</v>
      </c>
      <c r="F29">
        <v>2</v>
      </c>
      <c r="G29" s="37">
        <v>9</v>
      </c>
      <c r="H29" s="37">
        <v>3859</v>
      </c>
      <c r="I29" s="26">
        <v>3871</v>
      </c>
      <c r="J29" s="38">
        <v>4110</v>
      </c>
      <c r="K29" s="37">
        <v>3822</v>
      </c>
      <c r="L29" s="26">
        <v>3922</v>
      </c>
      <c r="M29" s="26">
        <v>4067</v>
      </c>
      <c r="N29" s="37">
        <v>3850</v>
      </c>
      <c r="O29" s="26">
        <v>3904</v>
      </c>
      <c r="P29" s="26">
        <v>4110</v>
      </c>
      <c r="Q29" s="37">
        <f t="shared" si="6"/>
        <v>3946.1111111111113</v>
      </c>
      <c r="R29">
        <f t="shared" si="7"/>
        <v>116.4897468067946</v>
      </c>
      <c r="S29">
        <f t="shared" si="8"/>
        <v>30.597632165025747</v>
      </c>
      <c r="T29">
        <f t="shared" si="9"/>
        <v>0</v>
      </c>
      <c r="U29">
        <f t="shared" si="0"/>
        <v>0</v>
      </c>
      <c r="V29">
        <f t="shared" si="0"/>
        <v>30.597632165025747</v>
      </c>
      <c r="W29">
        <f t="shared" si="10"/>
        <v>0</v>
      </c>
      <c r="X29">
        <f t="shared" si="1"/>
        <v>0</v>
      </c>
      <c r="Y29">
        <f t="shared" si="1"/>
        <v>30.597632165025747</v>
      </c>
      <c r="Z29">
        <f t="shared" si="11"/>
        <v>30.597632165025747</v>
      </c>
      <c r="AA29">
        <f t="shared" si="2"/>
        <v>0</v>
      </c>
      <c r="AB29">
        <f t="shared" si="2"/>
        <v>0</v>
      </c>
      <c r="AC29">
        <f t="shared" si="12"/>
        <v>0</v>
      </c>
      <c r="AD29">
        <f t="shared" si="3"/>
        <v>0</v>
      </c>
      <c r="AE29">
        <f t="shared" si="3"/>
        <v>30.597632165025747</v>
      </c>
      <c r="AF29">
        <f t="shared" si="13"/>
        <v>0</v>
      </c>
      <c r="AG29">
        <f t="shared" si="4"/>
        <v>30.597632165025747</v>
      </c>
      <c r="AH29">
        <f t="shared" si="4"/>
        <v>0</v>
      </c>
      <c r="AI29">
        <f t="shared" si="14"/>
        <v>0</v>
      </c>
      <c r="AJ29">
        <f t="shared" si="5"/>
        <v>30.597632165025747</v>
      </c>
      <c r="AK29">
        <f t="shared" si="5"/>
        <v>0</v>
      </c>
    </row>
    <row r="30" spans="1:37" x14ac:dyDescent="0.25">
      <c r="A30">
        <v>1</v>
      </c>
      <c r="B30">
        <v>1</v>
      </c>
      <c r="C30">
        <v>3</v>
      </c>
      <c r="D30">
        <v>3</v>
      </c>
      <c r="E30">
        <v>2</v>
      </c>
      <c r="F30">
        <v>1</v>
      </c>
      <c r="G30" s="37">
        <v>10</v>
      </c>
      <c r="H30" s="37">
        <v>3227</v>
      </c>
      <c r="I30" s="26">
        <v>3468</v>
      </c>
      <c r="J30" s="38">
        <v>3599</v>
      </c>
      <c r="K30" s="37">
        <v>3205</v>
      </c>
      <c r="L30" s="26">
        <v>3450</v>
      </c>
      <c r="M30" s="26">
        <v>3591</v>
      </c>
      <c r="N30" s="37">
        <v>3242</v>
      </c>
      <c r="O30" s="26">
        <v>3420</v>
      </c>
      <c r="P30" s="26">
        <v>3535</v>
      </c>
      <c r="Q30" s="37">
        <f t="shared" si="6"/>
        <v>3415.2222222222222</v>
      </c>
      <c r="R30">
        <f t="shared" si="7"/>
        <v>155.18680499464006</v>
      </c>
      <c r="S30">
        <f t="shared" si="8"/>
        <v>26.851283515353416</v>
      </c>
      <c r="T30">
        <f t="shared" si="9"/>
        <v>26.851283515353416</v>
      </c>
      <c r="U30">
        <f t="shared" si="0"/>
        <v>0</v>
      </c>
      <c r="V30">
        <f t="shared" si="0"/>
        <v>0</v>
      </c>
      <c r="W30">
        <f t="shared" si="10"/>
        <v>26.851283515353416</v>
      </c>
      <c r="X30">
        <f t="shared" si="1"/>
        <v>0</v>
      </c>
      <c r="Y30">
        <f t="shared" si="1"/>
        <v>0</v>
      </c>
      <c r="Z30">
        <f t="shared" si="11"/>
        <v>0</v>
      </c>
      <c r="AA30">
        <f t="shared" si="2"/>
        <v>0</v>
      </c>
      <c r="AB30">
        <f t="shared" si="2"/>
        <v>26.851283515353416</v>
      </c>
      <c r="AC30">
        <f t="shared" si="12"/>
        <v>0</v>
      </c>
      <c r="AD30">
        <f t="shared" si="3"/>
        <v>0</v>
      </c>
      <c r="AE30">
        <f t="shared" si="3"/>
        <v>26.851283515353416</v>
      </c>
      <c r="AF30">
        <f t="shared" si="13"/>
        <v>0</v>
      </c>
      <c r="AG30">
        <f t="shared" si="4"/>
        <v>26.851283515353416</v>
      </c>
      <c r="AH30">
        <f t="shared" si="4"/>
        <v>0</v>
      </c>
      <c r="AI30">
        <f t="shared" si="14"/>
        <v>26.851283515353416</v>
      </c>
      <c r="AJ30">
        <f t="shared" si="5"/>
        <v>0</v>
      </c>
      <c r="AK30">
        <f t="shared" si="5"/>
        <v>0</v>
      </c>
    </row>
    <row r="31" spans="1:37" x14ac:dyDescent="0.25">
      <c r="A31">
        <v>1</v>
      </c>
      <c r="B31">
        <v>2</v>
      </c>
      <c r="C31">
        <v>1</v>
      </c>
      <c r="D31">
        <v>1</v>
      </c>
      <c r="E31">
        <v>3</v>
      </c>
      <c r="F31">
        <v>2</v>
      </c>
      <c r="G31" s="37">
        <v>11</v>
      </c>
      <c r="H31" s="37">
        <v>2521</v>
      </c>
      <c r="I31" s="26">
        <v>2576</v>
      </c>
      <c r="J31" s="38">
        <v>2551</v>
      </c>
      <c r="K31" s="37">
        <v>2499</v>
      </c>
      <c r="L31" s="26">
        <v>2537</v>
      </c>
      <c r="M31" s="26">
        <v>2552</v>
      </c>
      <c r="N31" s="37">
        <v>2499</v>
      </c>
      <c r="O31" s="26">
        <v>2512</v>
      </c>
      <c r="P31" s="26">
        <v>2570</v>
      </c>
      <c r="Q31" s="37">
        <f t="shared" si="6"/>
        <v>2535.2222222222222</v>
      </c>
      <c r="R31">
        <f t="shared" si="7"/>
        <v>29.093718298705724</v>
      </c>
      <c r="S31">
        <f t="shared" si="8"/>
        <v>38.804336070369402</v>
      </c>
      <c r="T31">
        <f t="shared" si="9"/>
        <v>38.804336070369402</v>
      </c>
      <c r="U31">
        <f t="shared" si="0"/>
        <v>0</v>
      </c>
      <c r="V31">
        <f t="shared" si="0"/>
        <v>0</v>
      </c>
      <c r="W31">
        <f t="shared" si="10"/>
        <v>0</v>
      </c>
      <c r="X31">
        <f t="shared" si="1"/>
        <v>38.804336070369402</v>
      </c>
      <c r="Y31">
        <f t="shared" si="1"/>
        <v>0</v>
      </c>
      <c r="Z31">
        <f t="shared" si="11"/>
        <v>38.804336070369402</v>
      </c>
      <c r="AA31">
        <f t="shared" si="2"/>
        <v>0</v>
      </c>
      <c r="AB31">
        <f t="shared" si="2"/>
        <v>0</v>
      </c>
      <c r="AC31">
        <f t="shared" si="12"/>
        <v>38.804336070369402</v>
      </c>
      <c r="AD31">
        <f t="shared" si="3"/>
        <v>0</v>
      </c>
      <c r="AE31">
        <f t="shared" si="3"/>
        <v>0</v>
      </c>
      <c r="AF31">
        <f t="shared" si="13"/>
        <v>0</v>
      </c>
      <c r="AG31">
        <f t="shared" si="4"/>
        <v>0</v>
      </c>
      <c r="AH31">
        <f t="shared" si="4"/>
        <v>38.804336070369402</v>
      </c>
      <c r="AI31">
        <f t="shared" si="14"/>
        <v>0</v>
      </c>
      <c r="AJ31">
        <f t="shared" si="5"/>
        <v>38.804336070369402</v>
      </c>
      <c r="AK31">
        <f t="shared" si="5"/>
        <v>0</v>
      </c>
    </row>
    <row r="32" spans="1:37" x14ac:dyDescent="0.25">
      <c r="A32">
        <v>1</v>
      </c>
      <c r="B32">
        <v>3</v>
      </c>
      <c r="C32">
        <v>2</v>
      </c>
      <c r="D32">
        <v>2</v>
      </c>
      <c r="E32">
        <v>1</v>
      </c>
      <c r="F32">
        <v>3</v>
      </c>
      <c r="G32" s="37">
        <v>12</v>
      </c>
      <c r="H32" s="37">
        <v>5921</v>
      </c>
      <c r="I32" s="26">
        <v>5780</v>
      </c>
      <c r="J32" s="38">
        <v>5691</v>
      </c>
      <c r="K32" s="37">
        <v>5766</v>
      </c>
      <c r="L32" s="26">
        <v>5695</v>
      </c>
      <c r="M32" s="26">
        <v>5777</v>
      </c>
      <c r="N32" s="37">
        <v>5844</v>
      </c>
      <c r="O32" s="26">
        <v>5814</v>
      </c>
      <c r="P32" s="26">
        <v>5743</v>
      </c>
      <c r="Q32" s="37">
        <f t="shared" si="6"/>
        <v>5781.2222222222226</v>
      </c>
      <c r="R32">
        <f t="shared" si="7"/>
        <v>72.318354823961826</v>
      </c>
      <c r="S32">
        <f t="shared" si="8"/>
        <v>38.055422511962064</v>
      </c>
      <c r="T32">
        <f t="shared" si="9"/>
        <v>38.055422511962064</v>
      </c>
      <c r="U32">
        <f t="shared" si="0"/>
        <v>0</v>
      </c>
      <c r="V32">
        <f t="shared" si="0"/>
        <v>0</v>
      </c>
      <c r="W32">
        <f t="shared" si="10"/>
        <v>0</v>
      </c>
      <c r="X32">
        <f t="shared" si="1"/>
        <v>0</v>
      </c>
      <c r="Y32">
        <f t="shared" si="1"/>
        <v>38.055422511962064</v>
      </c>
      <c r="Z32">
        <f t="shared" si="11"/>
        <v>0</v>
      </c>
      <c r="AA32">
        <f t="shared" si="2"/>
        <v>38.055422511962064</v>
      </c>
      <c r="AB32">
        <f t="shared" si="2"/>
        <v>0</v>
      </c>
      <c r="AC32">
        <f t="shared" si="12"/>
        <v>0</v>
      </c>
      <c r="AD32">
        <f t="shared" si="3"/>
        <v>38.055422511962064</v>
      </c>
      <c r="AE32">
        <f t="shared" si="3"/>
        <v>0</v>
      </c>
      <c r="AF32">
        <f t="shared" si="13"/>
        <v>38.055422511962064</v>
      </c>
      <c r="AG32">
        <f t="shared" si="4"/>
        <v>0</v>
      </c>
      <c r="AH32">
        <f t="shared" si="4"/>
        <v>0</v>
      </c>
      <c r="AI32">
        <f t="shared" si="14"/>
        <v>0</v>
      </c>
      <c r="AJ32">
        <f t="shared" si="5"/>
        <v>0</v>
      </c>
      <c r="AK32">
        <f t="shared" si="5"/>
        <v>38.055422511962064</v>
      </c>
    </row>
    <row r="33" spans="1:38" x14ac:dyDescent="0.25">
      <c r="A33">
        <v>2</v>
      </c>
      <c r="B33">
        <v>1</v>
      </c>
      <c r="C33">
        <v>2</v>
      </c>
      <c r="D33">
        <v>3</v>
      </c>
      <c r="E33">
        <v>1</v>
      </c>
      <c r="F33">
        <v>2</v>
      </c>
      <c r="G33" s="158">
        <v>13</v>
      </c>
      <c r="H33" s="158">
        <v>2792</v>
      </c>
      <c r="I33" s="159">
        <v>2684</v>
      </c>
      <c r="J33" s="160">
        <v>2765</v>
      </c>
      <c r="K33" s="158">
        <v>2752</v>
      </c>
      <c r="L33" s="159">
        <v>2635</v>
      </c>
      <c r="M33" s="159">
        <v>2786</v>
      </c>
      <c r="N33" s="158">
        <v>2716</v>
      </c>
      <c r="O33" s="159">
        <v>2606</v>
      </c>
      <c r="P33" s="159">
        <v>2773</v>
      </c>
      <c r="Q33" s="37">
        <f t="shared" si="6"/>
        <v>2723.2222222222222</v>
      </c>
      <c r="R33">
        <f t="shared" si="7"/>
        <v>67.857898909739646</v>
      </c>
      <c r="S33">
        <f t="shared" si="8"/>
        <v>32.069653479204156</v>
      </c>
      <c r="T33">
        <f t="shared" si="9"/>
        <v>0</v>
      </c>
      <c r="U33">
        <f t="shared" si="0"/>
        <v>32.069653479204156</v>
      </c>
      <c r="V33">
        <f t="shared" si="0"/>
        <v>0</v>
      </c>
      <c r="W33">
        <f t="shared" si="10"/>
        <v>32.069653479204156</v>
      </c>
      <c r="X33">
        <f t="shared" si="1"/>
        <v>0</v>
      </c>
      <c r="Y33">
        <f t="shared" si="1"/>
        <v>0</v>
      </c>
      <c r="Z33">
        <f t="shared" si="11"/>
        <v>0</v>
      </c>
      <c r="AA33">
        <f t="shared" si="2"/>
        <v>32.069653479204156</v>
      </c>
      <c r="AB33">
        <f t="shared" si="2"/>
        <v>0</v>
      </c>
      <c r="AC33">
        <f t="shared" si="12"/>
        <v>0</v>
      </c>
      <c r="AD33">
        <f t="shared" si="3"/>
        <v>0</v>
      </c>
      <c r="AE33">
        <f t="shared" si="3"/>
        <v>32.069653479204156</v>
      </c>
      <c r="AF33">
        <f t="shared" si="13"/>
        <v>32.069653479204156</v>
      </c>
      <c r="AG33">
        <f t="shared" si="4"/>
        <v>0</v>
      </c>
      <c r="AH33">
        <f t="shared" si="4"/>
        <v>0</v>
      </c>
      <c r="AI33">
        <f t="shared" si="14"/>
        <v>0</v>
      </c>
      <c r="AJ33">
        <f t="shared" si="5"/>
        <v>32.069653479204156</v>
      </c>
      <c r="AK33">
        <f t="shared" si="5"/>
        <v>0</v>
      </c>
    </row>
    <row r="34" spans="1:38" x14ac:dyDescent="0.25">
      <c r="A34">
        <v>2</v>
      </c>
      <c r="B34">
        <v>2</v>
      </c>
      <c r="C34">
        <v>3</v>
      </c>
      <c r="D34">
        <v>1</v>
      </c>
      <c r="E34">
        <v>2</v>
      </c>
      <c r="F34">
        <v>3</v>
      </c>
      <c r="G34" s="161">
        <v>14</v>
      </c>
      <c r="H34" s="161">
        <v>2863</v>
      </c>
      <c r="I34" s="162">
        <v>2829</v>
      </c>
      <c r="J34" s="163">
        <v>2891</v>
      </c>
      <c r="K34" s="161">
        <v>2835</v>
      </c>
      <c r="L34" s="162">
        <v>2864</v>
      </c>
      <c r="M34" s="162">
        <v>2844</v>
      </c>
      <c r="N34" s="161">
        <v>2859</v>
      </c>
      <c r="O34" s="162">
        <v>2839</v>
      </c>
      <c r="P34" s="26">
        <v>2841</v>
      </c>
      <c r="Q34" s="37">
        <f t="shared" si="6"/>
        <v>2851.6666666666665</v>
      </c>
      <c r="R34">
        <f t="shared" si="7"/>
        <v>19.38427197498013</v>
      </c>
      <c r="S34">
        <f t="shared" si="8"/>
        <v>43.352985290559673</v>
      </c>
      <c r="T34">
        <f t="shared" si="9"/>
        <v>0</v>
      </c>
      <c r="U34">
        <f t="shared" si="0"/>
        <v>43.352985290559673</v>
      </c>
      <c r="V34">
        <f t="shared" si="0"/>
        <v>0</v>
      </c>
      <c r="W34">
        <f t="shared" si="10"/>
        <v>0</v>
      </c>
      <c r="X34">
        <f t="shared" si="1"/>
        <v>43.352985290559673</v>
      </c>
      <c r="Y34">
        <f t="shared" si="1"/>
        <v>0</v>
      </c>
      <c r="Z34">
        <f t="shared" si="11"/>
        <v>0</v>
      </c>
      <c r="AA34">
        <f t="shared" si="2"/>
        <v>0</v>
      </c>
      <c r="AB34">
        <f t="shared" si="2"/>
        <v>43.352985290559673</v>
      </c>
      <c r="AC34">
        <f t="shared" si="12"/>
        <v>43.352985290559673</v>
      </c>
      <c r="AD34">
        <f t="shared" si="3"/>
        <v>0</v>
      </c>
      <c r="AE34">
        <f t="shared" si="3"/>
        <v>0</v>
      </c>
      <c r="AF34">
        <f t="shared" si="13"/>
        <v>0</v>
      </c>
      <c r="AG34">
        <f t="shared" si="4"/>
        <v>43.352985290559673</v>
      </c>
      <c r="AH34">
        <f t="shared" si="4"/>
        <v>0</v>
      </c>
      <c r="AI34">
        <f t="shared" si="14"/>
        <v>0</v>
      </c>
      <c r="AJ34">
        <f t="shared" si="5"/>
        <v>0</v>
      </c>
      <c r="AK34">
        <f t="shared" si="5"/>
        <v>43.352985290559673</v>
      </c>
    </row>
    <row r="35" spans="1:38" x14ac:dyDescent="0.25">
      <c r="A35">
        <v>2</v>
      </c>
      <c r="B35">
        <v>3</v>
      </c>
      <c r="C35">
        <v>1</v>
      </c>
      <c r="D35">
        <v>2</v>
      </c>
      <c r="E35">
        <v>3</v>
      </c>
      <c r="F35">
        <v>1</v>
      </c>
      <c r="G35" s="37">
        <v>15</v>
      </c>
      <c r="H35" s="37">
        <v>3218</v>
      </c>
      <c r="I35" s="26">
        <v>3261</v>
      </c>
      <c r="J35" s="38">
        <v>3241</v>
      </c>
      <c r="K35" s="37">
        <v>3149</v>
      </c>
      <c r="L35" s="26">
        <v>3205</v>
      </c>
      <c r="M35" s="26">
        <v>3189</v>
      </c>
      <c r="N35" s="37">
        <v>3124</v>
      </c>
      <c r="O35" s="26">
        <v>3223</v>
      </c>
      <c r="P35" s="26">
        <v>3197</v>
      </c>
      <c r="Q35" s="37">
        <f t="shared" si="6"/>
        <v>3200.7777777777778</v>
      </c>
      <c r="R35">
        <f t="shared" si="7"/>
        <v>42.98481644074387</v>
      </c>
      <c r="S35">
        <f t="shared" si="8"/>
        <v>37.438808933638541</v>
      </c>
      <c r="T35">
        <f t="shared" si="9"/>
        <v>0</v>
      </c>
      <c r="U35">
        <f t="shared" si="0"/>
        <v>37.438808933638541</v>
      </c>
      <c r="V35">
        <f t="shared" si="0"/>
        <v>0</v>
      </c>
      <c r="W35">
        <f t="shared" si="10"/>
        <v>0</v>
      </c>
      <c r="X35">
        <f t="shared" si="1"/>
        <v>0</v>
      </c>
      <c r="Y35">
        <f t="shared" si="1"/>
        <v>37.438808933638541</v>
      </c>
      <c r="Z35">
        <f t="shared" si="11"/>
        <v>37.438808933638541</v>
      </c>
      <c r="AA35">
        <f t="shared" si="2"/>
        <v>0</v>
      </c>
      <c r="AB35">
        <f t="shared" si="2"/>
        <v>0</v>
      </c>
      <c r="AC35">
        <f t="shared" si="12"/>
        <v>0</v>
      </c>
      <c r="AD35">
        <f t="shared" si="3"/>
        <v>37.438808933638541</v>
      </c>
      <c r="AE35">
        <f t="shared" si="3"/>
        <v>0</v>
      </c>
      <c r="AF35">
        <f t="shared" si="13"/>
        <v>0</v>
      </c>
      <c r="AG35">
        <f t="shared" si="4"/>
        <v>0</v>
      </c>
      <c r="AH35">
        <f t="shared" si="4"/>
        <v>37.438808933638541</v>
      </c>
      <c r="AI35">
        <f t="shared" si="14"/>
        <v>37.438808933638541</v>
      </c>
      <c r="AJ35">
        <f t="shared" si="5"/>
        <v>0</v>
      </c>
      <c r="AK35">
        <f t="shared" si="5"/>
        <v>0</v>
      </c>
    </row>
    <row r="36" spans="1:38" x14ac:dyDescent="0.25">
      <c r="A36">
        <v>3</v>
      </c>
      <c r="B36">
        <v>1</v>
      </c>
      <c r="C36">
        <v>3</v>
      </c>
      <c r="D36">
        <v>2</v>
      </c>
      <c r="E36">
        <v>3</v>
      </c>
      <c r="F36">
        <v>2</v>
      </c>
      <c r="G36" s="37">
        <v>16</v>
      </c>
      <c r="H36" s="37">
        <v>3020</v>
      </c>
      <c r="I36" s="26">
        <v>3072</v>
      </c>
      <c r="J36" s="38">
        <v>3235</v>
      </c>
      <c r="K36" s="37">
        <v>3008</v>
      </c>
      <c r="L36" s="26">
        <v>3151</v>
      </c>
      <c r="M36" s="26">
        <v>3162</v>
      </c>
      <c r="N36" s="37">
        <v>3016</v>
      </c>
      <c r="O36" s="26">
        <v>3139</v>
      </c>
      <c r="P36" s="26">
        <v>3140</v>
      </c>
      <c r="Q36" s="37">
        <f t="shared" si="6"/>
        <v>3104.7777777777778</v>
      </c>
      <c r="R36">
        <f t="shared" si="7"/>
        <v>79.285524810298412</v>
      </c>
      <c r="S36">
        <f t="shared" si="8"/>
        <v>31.856732321457176</v>
      </c>
      <c r="T36">
        <f t="shared" si="9"/>
        <v>0</v>
      </c>
      <c r="U36">
        <f t="shared" si="0"/>
        <v>0</v>
      </c>
      <c r="V36">
        <f t="shared" si="0"/>
        <v>31.856732321457176</v>
      </c>
      <c r="W36">
        <f t="shared" si="10"/>
        <v>31.856732321457176</v>
      </c>
      <c r="X36">
        <f t="shared" si="1"/>
        <v>0</v>
      </c>
      <c r="Y36">
        <f t="shared" si="1"/>
        <v>0</v>
      </c>
      <c r="Z36">
        <f t="shared" si="11"/>
        <v>0</v>
      </c>
      <c r="AA36">
        <f t="shared" si="2"/>
        <v>0</v>
      </c>
      <c r="AB36">
        <f t="shared" si="2"/>
        <v>31.856732321457176</v>
      </c>
      <c r="AC36">
        <f t="shared" si="12"/>
        <v>0</v>
      </c>
      <c r="AD36">
        <f t="shared" si="3"/>
        <v>31.856732321457176</v>
      </c>
      <c r="AE36">
        <f t="shared" si="3"/>
        <v>0</v>
      </c>
      <c r="AF36">
        <f t="shared" si="13"/>
        <v>0</v>
      </c>
      <c r="AG36">
        <f t="shared" si="4"/>
        <v>0</v>
      </c>
      <c r="AH36">
        <f t="shared" si="4"/>
        <v>31.856732321457176</v>
      </c>
      <c r="AI36">
        <f t="shared" si="14"/>
        <v>0</v>
      </c>
      <c r="AJ36">
        <f t="shared" si="5"/>
        <v>31.856732321457176</v>
      </c>
      <c r="AK36">
        <f t="shared" si="5"/>
        <v>0</v>
      </c>
    </row>
    <row r="37" spans="1:38" x14ac:dyDescent="0.25">
      <c r="A37">
        <v>3</v>
      </c>
      <c r="B37">
        <v>2</v>
      </c>
      <c r="C37">
        <v>1</v>
      </c>
      <c r="D37">
        <v>3</v>
      </c>
      <c r="E37">
        <v>1</v>
      </c>
      <c r="F37">
        <v>3</v>
      </c>
      <c r="G37" s="37">
        <v>17</v>
      </c>
      <c r="H37" s="37">
        <v>4277</v>
      </c>
      <c r="I37" s="26">
        <v>3888</v>
      </c>
      <c r="J37" s="38">
        <v>4593</v>
      </c>
      <c r="K37" s="37">
        <v>4150</v>
      </c>
      <c r="L37" s="26">
        <v>3681</v>
      </c>
      <c r="M37" s="26">
        <v>4298</v>
      </c>
      <c r="N37" s="37">
        <v>3992</v>
      </c>
      <c r="O37" s="26">
        <v>3572</v>
      </c>
      <c r="P37" s="26">
        <v>4219</v>
      </c>
      <c r="Q37" s="37">
        <f t="shared" si="6"/>
        <v>4074.4444444444443</v>
      </c>
      <c r="R37">
        <f t="shared" si="7"/>
        <v>323.1327556559034</v>
      </c>
      <c r="S37">
        <f t="shared" si="8"/>
        <v>22.013748325184537</v>
      </c>
      <c r="T37">
        <f t="shared" si="9"/>
        <v>0</v>
      </c>
      <c r="U37">
        <f t="shared" si="9"/>
        <v>0</v>
      </c>
      <c r="V37">
        <f t="shared" si="9"/>
        <v>22.013748325184537</v>
      </c>
      <c r="W37">
        <f t="shared" si="10"/>
        <v>0</v>
      </c>
      <c r="X37">
        <f t="shared" si="10"/>
        <v>22.013748325184537</v>
      </c>
      <c r="Y37">
        <f t="shared" si="10"/>
        <v>0</v>
      </c>
      <c r="Z37">
        <f t="shared" si="11"/>
        <v>22.013748325184537</v>
      </c>
      <c r="AA37">
        <f t="shared" si="11"/>
        <v>0</v>
      </c>
      <c r="AB37">
        <f t="shared" si="11"/>
        <v>0</v>
      </c>
      <c r="AC37">
        <f t="shared" si="12"/>
        <v>0</v>
      </c>
      <c r="AD37">
        <f t="shared" si="12"/>
        <v>0</v>
      </c>
      <c r="AE37">
        <f t="shared" si="12"/>
        <v>22.013748325184537</v>
      </c>
      <c r="AF37">
        <f t="shared" si="13"/>
        <v>22.013748325184537</v>
      </c>
      <c r="AG37">
        <f t="shared" si="13"/>
        <v>0</v>
      </c>
      <c r="AH37">
        <f t="shared" si="13"/>
        <v>0</v>
      </c>
      <c r="AI37">
        <f t="shared" si="14"/>
        <v>0</v>
      </c>
      <c r="AJ37">
        <f t="shared" si="14"/>
        <v>0</v>
      </c>
      <c r="AK37">
        <f t="shared" si="14"/>
        <v>22.013748325184537</v>
      </c>
    </row>
    <row r="38" spans="1:38" x14ac:dyDescent="0.25">
      <c r="A38">
        <v>3</v>
      </c>
      <c r="B38">
        <v>3</v>
      </c>
      <c r="C38">
        <v>2</v>
      </c>
      <c r="D38">
        <v>1</v>
      </c>
      <c r="E38">
        <v>2</v>
      </c>
      <c r="F38">
        <v>1</v>
      </c>
      <c r="G38" s="37">
        <v>18</v>
      </c>
      <c r="H38" s="37">
        <v>3125</v>
      </c>
      <c r="I38" s="26">
        <v>3567</v>
      </c>
      <c r="J38" s="38">
        <v>4120</v>
      </c>
      <c r="K38" s="37">
        <v>3119</v>
      </c>
      <c r="L38" s="26">
        <v>3563</v>
      </c>
      <c r="M38" s="26">
        <v>4088</v>
      </c>
      <c r="N38" s="37">
        <v>3127</v>
      </c>
      <c r="O38" s="26">
        <v>3520</v>
      </c>
      <c r="P38" s="26">
        <v>4138</v>
      </c>
      <c r="Q38" s="37">
        <f t="shared" si="6"/>
        <v>3596.3333333333335</v>
      </c>
      <c r="R38">
        <f t="shared" si="7"/>
        <v>431.19601111327552</v>
      </c>
      <c r="S38">
        <f t="shared" si="8"/>
        <v>18.423704074606906</v>
      </c>
      <c r="T38">
        <f t="shared" si="9"/>
        <v>0</v>
      </c>
      <c r="U38">
        <f t="shared" si="9"/>
        <v>0</v>
      </c>
      <c r="V38">
        <f t="shared" si="9"/>
        <v>18.423704074606906</v>
      </c>
      <c r="W38">
        <f t="shared" si="10"/>
        <v>0</v>
      </c>
      <c r="X38">
        <f t="shared" si="10"/>
        <v>0</v>
      </c>
      <c r="Y38">
        <f t="shared" si="10"/>
        <v>18.423704074606906</v>
      </c>
      <c r="Z38">
        <f t="shared" si="11"/>
        <v>0</v>
      </c>
      <c r="AA38">
        <f t="shared" si="11"/>
        <v>18.423704074606906</v>
      </c>
      <c r="AB38">
        <f t="shared" si="11"/>
        <v>0</v>
      </c>
      <c r="AC38">
        <f t="shared" si="12"/>
        <v>18.423704074606906</v>
      </c>
      <c r="AD38">
        <f t="shared" si="12"/>
        <v>0</v>
      </c>
      <c r="AE38">
        <f t="shared" si="12"/>
        <v>0</v>
      </c>
      <c r="AF38">
        <f t="shared" si="13"/>
        <v>0</v>
      </c>
      <c r="AG38">
        <f t="shared" si="13"/>
        <v>18.423704074606906</v>
      </c>
      <c r="AH38">
        <f t="shared" si="13"/>
        <v>0</v>
      </c>
      <c r="AI38">
        <f t="shared" si="14"/>
        <v>18.423704074606906</v>
      </c>
      <c r="AJ38">
        <f t="shared" si="14"/>
        <v>0</v>
      </c>
      <c r="AK38">
        <f t="shared" si="14"/>
        <v>0</v>
      </c>
    </row>
    <row r="39" spans="1:38" x14ac:dyDescent="0.25">
      <c r="T39" s="145" t="s">
        <v>187</v>
      </c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5"/>
      <c r="AF39" s="145"/>
      <c r="AG39" s="145"/>
      <c r="AH39" s="145"/>
      <c r="AI39" s="145"/>
      <c r="AJ39" s="145"/>
      <c r="AK39" s="145"/>
    </row>
    <row r="40" spans="1:38" x14ac:dyDescent="0.25">
      <c r="B40" t="s">
        <v>9</v>
      </c>
      <c r="C40" t="s">
        <v>11</v>
      </c>
      <c r="D40" t="s">
        <v>105</v>
      </c>
      <c r="T40" t="s">
        <v>195</v>
      </c>
      <c r="U40" t="s">
        <v>196</v>
      </c>
      <c r="V40" t="s">
        <v>232</v>
      </c>
      <c r="W40" t="s">
        <v>198</v>
      </c>
      <c r="X40" t="s">
        <v>222</v>
      </c>
      <c r="Y40" t="s">
        <v>223</v>
      </c>
      <c r="Z40" t="s">
        <v>201</v>
      </c>
      <c r="AA40" t="s">
        <v>202</v>
      </c>
      <c r="AB40" t="s">
        <v>203</v>
      </c>
      <c r="AC40" t="s">
        <v>204</v>
      </c>
      <c r="AD40" t="s">
        <v>205</v>
      </c>
      <c r="AE40" t="s">
        <v>206</v>
      </c>
      <c r="AF40" t="s">
        <v>32</v>
      </c>
      <c r="AG40" t="s">
        <v>100</v>
      </c>
      <c r="AH40" t="s">
        <v>101</v>
      </c>
      <c r="AI40" t="s">
        <v>207</v>
      </c>
      <c r="AJ40" t="s">
        <v>208</v>
      </c>
      <c r="AK40" t="s">
        <v>209</v>
      </c>
      <c r="AL40" t="s">
        <v>7</v>
      </c>
    </row>
    <row r="41" spans="1:38" x14ac:dyDescent="0.25">
      <c r="B41">
        <v>18</v>
      </c>
      <c r="C41">
        <v>1</v>
      </c>
      <c r="D41">
        <v>18</v>
      </c>
      <c r="T41">
        <f>SUM(T21:T38)/6</f>
        <v>35.118362414781409</v>
      </c>
      <c r="U41">
        <v>34.909999999999997</v>
      </c>
      <c r="V41">
        <f t="shared" ref="V41:AK41" si="15">SUM(V21:V38)/6</f>
        <v>24.524207869937385</v>
      </c>
      <c r="W41">
        <v>31.61</v>
      </c>
      <c r="X41">
        <f t="shared" si="15"/>
        <v>30.700026382855825</v>
      </c>
      <c r="Y41">
        <f t="shared" si="15"/>
        <v>32.241514858872868</v>
      </c>
      <c r="Z41">
        <f t="shared" si="15"/>
        <v>34.38675450591078</v>
      </c>
      <c r="AA41">
        <f t="shared" si="15"/>
        <v>27.858356531254987</v>
      </c>
      <c r="AB41">
        <f t="shared" si="15"/>
        <v>32.305850417780242</v>
      </c>
      <c r="AC41">
        <f t="shared" si="15"/>
        <v>31.688589753810835</v>
      </c>
      <c r="AD41">
        <f t="shared" si="15"/>
        <v>34.697820932347419</v>
      </c>
      <c r="AE41">
        <f t="shared" si="15"/>
        <v>28.164550768787752</v>
      </c>
      <c r="AF41">
        <f t="shared" si="15"/>
        <v>30.519511148824055</v>
      </c>
      <c r="AG41">
        <f t="shared" si="15"/>
        <v>32.870164493544209</v>
      </c>
      <c r="AH41">
        <f t="shared" si="15"/>
        <v>31.161285812577745</v>
      </c>
      <c r="AI41">
        <f t="shared" si="15"/>
        <v>27.035584126691202</v>
      </c>
      <c r="AJ41">
        <f t="shared" si="15"/>
        <v>33.665899512635974</v>
      </c>
      <c r="AK41">
        <f t="shared" si="15"/>
        <v>33.849477815618833</v>
      </c>
      <c r="AL41">
        <f>AVERAGE(T41:AK41)</f>
        <v>31.517108741457307</v>
      </c>
    </row>
    <row r="42" spans="1:38" x14ac:dyDescent="0.25">
      <c r="T42" s="145" t="s">
        <v>224</v>
      </c>
      <c r="U42" s="145"/>
      <c r="V42" s="145"/>
      <c r="W42" s="145" t="s">
        <v>225</v>
      </c>
      <c r="X42" s="145"/>
      <c r="Y42" s="145"/>
      <c r="Z42" s="145" t="s">
        <v>226</v>
      </c>
      <c r="AA42" s="145"/>
      <c r="AB42" s="145"/>
      <c r="AC42" s="145" t="s">
        <v>227</v>
      </c>
      <c r="AD42" s="145"/>
      <c r="AE42" s="145"/>
      <c r="AF42" s="145" t="s">
        <v>228</v>
      </c>
      <c r="AG42" s="145"/>
      <c r="AH42" s="145"/>
      <c r="AI42" s="145" t="s">
        <v>229</v>
      </c>
      <c r="AJ42" s="145"/>
      <c r="AK42" s="145"/>
    </row>
    <row r="43" spans="1:38" x14ac:dyDescent="0.25">
      <c r="T43" s="145">
        <f>((T41-$AL$41)^2+(U41-$AL$41)^2+(V41-$AL$41)^2)*$D$41/3</f>
        <v>440.28841026497884</v>
      </c>
      <c r="U43" s="145"/>
      <c r="V43" s="145"/>
      <c r="W43" s="145">
        <f t="shared" ref="W43" si="16">((W41-$AL$41)^2+(X41-$AL$41)^2+(Y41-$AL$41)^2)*$D$41/3</f>
        <v>7.2060995376029702</v>
      </c>
      <c r="X43" s="145"/>
      <c r="Y43" s="145"/>
      <c r="Z43" s="145">
        <f t="shared" ref="Z43" si="17">((Z41-$AL$41)^2+(AA41-$AL$41)^2+(AB41-$AL$41)^2)*$D$41/3</f>
        <v>133.46068788644899</v>
      </c>
      <c r="AA43" s="145"/>
      <c r="AB43" s="145"/>
      <c r="AC43" s="145">
        <f t="shared" ref="AC43" si="18">((AC41-$AL$41)^2+(AD41-$AL$41)^2+(AE41-$AL$41)^2)*$D$41/3</f>
        <v>128.31588443390976</v>
      </c>
      <c r="AD43" s="145"/>
      <c r="AE43" s="145"/>
      <c r="AF43" s="145">
        <f t="shared" ref="AF43" si="19">((AF41-$AL$41)^2+(AG41-$AL$41)^2+(AH41-$AL$41)^2)*$D$41/3</f>
        <v>17.715424690797249</v>
      </c>
      <c r="AG43" s="145"/>
      <c r="AH43" s="145"/>
      <c r="AI43" s="145">
        <f t="shared" ref="AI43" si="20">((AI41-$AL$41)^2+(AJ41-$AL$41)^2+(AK41-$AL$41)^2)*$D$41/3</f>
        <v>180.84786089497319</v>
      </c>
      <c r="AJ43" s="145"/>
      <c r="AK43" s="145"/>
    </row>
  </sheetData>
  <mergeCells count="17">
    <mergeCell ref="T43:V43"/>
    <mergeCell ref="W43:Y43"/>
    <mergeCell ref="Z43:AB43"/>
    <mergeCell ref="AC43:AE43"/>
    <mergeCell ref="AF43:AH43"/>
    <mergeCell ref="AI43:AK43"/>
    <mergeCell ref="T39:AK39"/>
    <mergeCell ref="T42:V42"/>
    <mergeCell ref="W42:Y42"/>
    <mergeCell ref="Z42:AB42"/>
    <mergeCell ref="AC42:AE42"/>
    <mergeCell ref="AF42:AH42"/>
    <mergeCell ref="AI42:AK42"/>
    <mergeCell ref="G19:S19"/>
    <mergeCell ref="H20:J20"/>
    <mergeCell ref="K20:M20"/>
    <mergeCell ref="N20:P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1-1</vt:lpstr>
      <vt:lpstr>工作表1</vt:lpstr>
      <vt:lpstr>工作表3</vt:lpstr>
      <vt:lpstr>工作表2</vt:lpstr>
      <vt:lpstr>SPC3.1_p.41</vt:lpstr>
      <vt:lpstr>SPC3.1_p.41(re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2024-05-22T09:28:00Z</dcterms:created>
  <dcterms:modified xsi:type="dcterms:W3CDTF">2024-05-31T09:39:27Z</dcterms:modified>
</cp:coreProperties>
</file>