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13_ncr:1_{A09E4785-5768-46AC-B0E8-2C46A20E73C9}" xr6:coauthVersionLast="47" xr6:coauthVersionMax="47" xr10:uidLastSave="{00000000-0000-0000-0000-000000000000}"/>
  <bookViews>
    <workbookView xWindow="-120" yWindow="-120" windowWidth="29040" windowHeight="15720" activeTab="2" xr2:uid="{F0E5C9FA-8923-4A07-87AD-C8184F88F5AB}"/>
  </bookViews>
  <sheets>
    <sheet name="1-1" sheetId="1" r:id="rId1"/>
    <sheet name="工作表1" sheetId="2" r:id="rId2"/>
    <sheet name="工作表3" sheetId="4" r:id="rId3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N7" i="4"/>
  <c r="O7" i="4"/>
  <c r="L28" i="4" s="1"/>
  <c r="R17" i="4" s="1"/>
  <c r="O3" i="4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H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P32" i="2"/>
  <c r="P48" i="2" s="1"/>
  <c r="P33" i="2"/>
  <c r="P49" i="2" s="1"/>
  <c r="P34" i="2"/>
  <c r="P50" i="2" s="1"/>
  <c r="P35" i="2"/>
  <c r="P51" i="2" s="1"/>
  <c r="P36" i="2"/>
  <c r="P52" i="2" s="1"/>
  <c r="P37" i="2"/>
  <c r="P53" i="2" s="1"/>
  <c r="P38" i="2"/>
  <c r="P46" i="2"/>
  <c r="P54" i="2"/>
  <c r="P47" i="2"/>
  <c r="P39" i="2"/>
  <c r="P31" i="2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47" i="2"/>
  <c r="N39" i="2"/>
  <c r="N31" i="2"/>
  <c r="F34" i="2"/>
  <c r="D34" i="2"/>
  <c r="B34" i="2"/>
  <c r="F31" i="2"/>
  <c r="E31" i="2"/>
  <c r="D32" i="2"/>
  <c r="D31" i="2"/>
  <c r="C33" i="2"/>
  <c r="C32" i="2"/>
  <c r="C31" i="2"/>
  <c r="B33" i="2"/>
  <c r="B32" i="2"/>
  <c r="B31" i="2"/>
  <c r="L34" i="4" l="1"/>
  <c r="R20" i="4" s="1"/>
  <c r="L30" i="4"/>
  <c r="R18" i="4" s="1"/>
  <c r="L32" i="4"/>
  <c r="R19" i="4" s="1"/>
  <c r="L24" i="4"/>
  <c r="R15" i="4" s="1"/>
  <c r="L26" i="4"/>
  <c r="R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P45" i="2"/>
  <c r="P44" i="2"/>
  <c r="P43" i="2"/>
  <c r="P42" i="2"/>
  <c r="P41" i="2"/>
  <c r="P40" i="2"/>
  <c r="B24" i="4" l="1"/>
  <c r="A30" i="4"/>
  <c r="A24" i="4"/>
  <c r="A34" i="4"/>
  <c r="M21" i="4"/>
  <c r="A28" i="4"/>
  <c r="A32" i="4"/>
  <c r="A26" i="4"/>
  <c r="E26" i="4" s="1"/>
  <c r="R4" i="4" s="1"/>
  <c r="C34" i="4"/>
  <c r="C28" i="4"/>
  <c r="C26" i="4"/>
  <c r="C32" i="4"/>
  <c r="C30" i="4"/>
  <c r="B28" i="4"/>
  <c r="B34" i="4"/>
  <c r="B32" i="4"/>
  <c r="B30" i="4"/>
  <c r="B26" i="4"/>
  <c r="C24" i="4"/>
  <c r="E32" i="4" l="1"/>
  <c r="R7" i="4" s="1"/>
  <c r="E28" i="4"/>
  <c r="R5" i="4" s="1"/>
  <c r="E34" i="4"/>
  <c r="R8" i="4" s="1"/>
  <c r="E24" i="4"/>
  <c r="R3" i="4" s="1"/>
  <c r="E30" i="4"/>
  <c r="R6" i="4" s="1"/>
  <c r="R55" i="1" l="1"/>
  <c r="Z4" i="2"/>
  <c r="Z5" i="2"/>
  <c r="Z6" i="2"/>
  <c r="Z7" i="2"/>
  <c r="Z8" i="2"/>
  <c r="Z9" i="2"/>
  <c r="Z3" i="2"/>
  <c r="Z2" i="2"/>
  <c r="I29" i="2" l="1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I2" i="2"/>
  <c r="H2" i="2"/>
  <c r="G2" i="2"/>
  <c r="F2" i="2"/>
  <c r="A16" i="2"/>
  <c r="A14" i="2"/>
  <c r="C25" i="2" s="1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L23" i="2" l="1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F25" i="2" s="1"/>
  <c r="O26" i="2" l="1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A12" i="2"/>
  <c r="A21" i="2" s="1"/>
  <c r="B16" i="2"/>
  <c r="B13" i="2"/>
  <c r="B15" i="2"/>
  <c r="B18" i="2"/>
  <c r="B14" i="2"/>
  <c r="Q8" i="2"/>
  <c r="B17" i="2"/>
  <c r="B12" i="2"/>
  <c r="B19" i="2"/>
  <c r="N22" i="2" l="1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5" i="2" s="1"/>
  <c r="D25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D26" i="2" l="1"/>
  <c r="H31" i="2"/>
  <c r="P22" i="2"/>
  <c r="E25" i="2"/>
  <c r="J29" i="2"/>
  <c r="Q24" i="2" s="1"/>
  <c r="N25" i="2"/>
  <c r="Q23" i="2"/>
  <c r="H30" i="2"/>
  <c r="D21" i="2"/>
  <c r="E21" i="2" s="1"/>
  <c r="D24" i="2"/>
  <c r="E24" i="2" s="1"/>
  <c r="B27" i="2"/>
  <c r="E27" i="2" s="1"/>
  <c r="F27" i="2" s="1"/>
  <c r="B28" i="2" l="1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N27" i="2" l="1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<sst xmlns="http://schemas.openxmlformats.org/spreadsheetml/2006/main" count="472" uniqueCount="219">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</sst>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9999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982189</xdr:colOff>
      <xdr:row>34</xdr:row>
      <xdr:rowOff>120444</xdr:rowOff>
    </xdr:from>
    <xdr:to>
      <xdr:col>14</xdr:col>
      <xdr:colOff>745424</xdr:colOff>
      <xdr:row>47</xdr:row>
      <xdr:rowOff>90507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231321</xdr:colOff>
      <xdr:row>26</xdr:row>
      <xdr:rowOff>152398</xdr:rowOff>
    </xdr:from>
    <xdr:to>
      <xdr:col>35</xdr:col>
      <xdr:colOff>163286</xdr:colOff>
      <xdr:row>48</xdr:row>
      <xdr:rowOff>81642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opLeftCell="B1" zoomScale="55" zoomScaleNormal="55" workbookViewId="0">
      <selection activeCell="P6" sqref="P6"/>
    </sheetView>
  </sheetViews>
  <sheetFormatPr defaultRowHeight="16.5" x14ac:dyDescent="0.25"/>
  <cols>
    <col min="2" max="2" width="17.625" bestFit="1" customWidth="1"/>
    <col min="3" max="3" width="19.25" bestFit="1" customWidth="1"/>
    <col min="4" max="4" width="14" bestFit="1" customWidth="1"/>
    <col min="5" max="5" width="18.25" bestFit="1" customWidth="1"/>
    <col min="7" max="7" width="9" customWidth="1"/>
    <col min="9" max="9" width="12.125" customWidth="1"/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  <col min="32" max="32" width="13.625" bestFit="1" customWidth="1"/>
    <col min="33" max="33" width="13.625" customWidth="1"/>
  </cols>
  <sheetData>
    <row r="1" spans="1:35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25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25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25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25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1" cm="1">
        <f t="array" ref="L6">SUM((F2:H9)^2)</f>
        <v>67986.9421</v>
      </c>
      <c r="M6" s="21"/>
      <c r="N6" s="21"/>
      <c r="O6" s="21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25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25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25" thickBot="1" x14ac:dyDescent="0.3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25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2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25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6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25" thickBot="1" x14ac:dyDescent="0.3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5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25" thickBot="1" x14ac:dyDescent="0.3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25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25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25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25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25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25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25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25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25" thickBot="1" x14ac:dyDescent="0.3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25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25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25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25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25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25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25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25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25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25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25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25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20" t="s">
        <v>103</v>
      </c>
      <c r="R41" s="20"/>
      <c r="S41" s="20"/>
    </row>
    <row r="42" spans="2:20" x14ac:dyDescent="0.25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25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25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25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25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25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25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25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25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25">
      <c r="B51">
        <f>B44*B46*B42^2</f>
        <v>59685.413437499992</v>
      </c>
      <c r="C51" s="22" cm="1">
        <f t="array" ref="C51">B46*SUM((C42:C49)^2)</f>
        <v>8127.2251958333327</v>
      </c>
      <c r="D51" s="26" cm="1">
        <f t="array" ref="D51">SUM((D42:F49)^2)</f>
        <v>174.30346666666662</v>
      </c>
      <c r="E51">
        <f>SUM(B51:D51)</f>
        <v>67986.942099999986</v>
      </c>
      <c r="F51" s="24">
        <f>E51-B51</f>
        <v>8301.5286624999935</v>
      </c>
      <c r="Q51" t="s">
        <v>104</v>
      </c>
      <c r="R51" t="s">
        <v>108</v>
      </c>
    </row>
    <row r="52" spans="2:19" ht="17.25" thickBot="1" x14ac:dyDescent="0.3">
      <c r="Q52">
        <f>(L2-K2)*LN(K6)-SUM(Q43:Q50)</f>
        <v>5.2057980668508534</v>
      </c>
      <c r="R52">
        <f>1+1/(3*(K2-1))*(SUM(R43:R50)-1/(L2-K2))</f>
        <v>1.1875</v>
      </c>
    </row>
    <row r="53" spans="2:19" x14ac:dyDescent="0.25">
      <c r="B53" s="32" t="s">
        <v>122</v>
      </c>
      <c r="C53" s="30" t="s">
        <v>128</v>
      </c>
      <c r="D53" s="30" t="s">
        <v>129</v>
      </c>
      <c r="E53" s="30" t="s">
        <v>131</v>
      </c>
      <c r="F53" s="31" t="s">
        <v>132</v>
      </c>
      <c r="G53" s="23"/>
    </row>
    <row r="54" spans="2:19" x14ac:dyDescent="0.25">
      <c r="B54" s="33" t="s">
        <v>123</v>
      </c>
      <c r="C54" s="27">
        <f>B51</f>
        <v>59685.413437499992</v>
      </c>
      <c r="D54" s="27">
        <v>1</v>
      </c>
      <c r="E54" s="27">
        <f>C54/D54</f>
        <v>59685.413437499992</v>
      </c>
      <c r="F54" s="28">
        <f>E54/E56</f>
        <v>5478.758588469459</v>
      </c>
      <c r="G54" s="23"/>
      <c r="Q54" t="s">
        <v>110</v>
      </c>
      <c r="R54" t="s">
        <v>109</v>
      </c>
      <c r="S54" t="s">
        <v>76</v>
      </c>
    </row>
    <row r="55" spans="2:19" x14ac:dyDescent="0.25">
      <c r="B55" s="33" t="s">
        <v>125</v>
      </c>
      <c r="C55" s="27">
        <f>C51</f>
        <v>8127.2251958333327</v>
      </c>
      <c r="D55" s="27">
        <f>B44-1</f>
        <v>7</v>
      </c>
      <c r="E55" s="27">
        <f t="shared" ref="E55:E56" si="69">C55/D55</f>
        <v>1161.0321708333333</v>
      </c>
      <c r="F55" s="28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25">
      <c r="B56" s="33" t="s">
        <v>127</v>
      </c>
      <c r="C56" s="27">
        <f>D51</f>
        <v>174.30346666666662</v>
      </c>
      <c r="D56" s="27">
        <f>B44*(B46-1)</f>
        <v>16</v>
      </c>
      <c r="E56" s="27">
        <f t="shared" si="69"/>
        <v>10.893966666666664</v>
      </c>
      <c r="F56" s="28"/>
    </row>
    <row r="57" spans="2:19" ht="17.25" thickBot="1" x14ac:dyDescent="0.3">
      <c r="B57" s="35" t="s">
        <v>119</v>
      </c>
      <c r="C57" s="36">
        <f>SUM(C54:C56)</f>
        <v>67986.942099999986</v>
      </c>
      <c r="D57" s="36">
        <f>SUM(D54:D56)</f>
        <v>24</v>
      </c>
      <c r="E57" s="36"/>
      <c r="F57" s="37"/>
    </row>
  </sheetData>
  <mergeCells count="1">
    <mergeCell ref="Q41:S41"/>
  </mergeCells>
  <phoneticPr fontId="1" type="noConversion"/>
  <conditionalFormatting sqref="K19:K25">
    <cfRule type="cellIs" dxfId="4" priority="2" operator="lessThan">
      <formula>$L$19</formula>
    </cfRule>
    <cfRule type="cellIs" dxfId="3" priority="3" operator="greaterThan">
      <formula>$M$19</formula>
    </cfRule>
  </conditionalFormatting>
  <conditionalFormatting sqref="S55">
    <cfRule type="containsText" dxfId="2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zoomScale="70" zoomScaleNormal="70" workbookViewId="0">
      <selection activeCell="M15" sqref="M15"/>
    </sheetView>
  </sheetViews>
  <sheetFormatPr defaultRowHeight="16.5" x14ac:dyDescent="0.25"/>
  <cols>
    <col min="1" max="1" width="20" bestFit="1" customWidth="1"/>
    <col min="2" max="2" width="17.75" bestFit="1" customWidth="1"/>
    <col min="3" max="3" width="13" bestFit="1" customWidth="1"/>
    <col min="4" max="4" width="16.375" bestFit="1" customWidth="1"/>
    <col min="5" max="5" width="13.5" bestFit="1" customWidth="1"/>
    <col min="6" max="6" width="8" customWidth="1"/>
    <col min="7" max="7" width="17.125" bestFit="1" customWidth="1"/>
    <col min="8" max="9" width="8" customWidth="1"/>
    <col min="13" max="13" width="17.125" bestFit="1" customWidth="1"/>
  </cols>
  <sheetData>
    <row r="1" spans="1:27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8" t="s">
        <v>4</v>
      </c>
      <c r="K1" t="s">
        <v>5</v>
      </c>
      <c r="L1" s="39" t="s">
        <v>6</v>
      </c>
      <c r="M1" s="64"/>
      <c r="N1" t="s">
        <v>112</v>
      </c>
      <c r="O1" s="39" t="s">
        <v>8</v>
      </c>
      <c r="P1" t="s">
        <v>9</v>
      </c>
      <c r="Q1" t="s">
        <v>105</v>
      </c>
      <c r="S1" s="2" t="s">
        <v>10</v>
      </c>
      <c r="T1" s="2"/>
    </row>
    <row r="2" spans="1:27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40">
        <v>61.43</v>
      </c>
      <c r="K2" s="41">
        <v>58.58</v>
      </c>
      <c r="L2" s="42">
        <v>57.07</v>
      </c>
      <c r="M2" s="65" t="s">
        <v>154</v>
      </c>
      <c r="N2">
        <f>AVERAGE(J2:L2)</f>
        <v>59.026666666666664</v>
      </c>
      <c r="O2" s="39">
        <f>VAR(J2:L2)</f>
        <v>4.9020333333333328</v>
      </c>
      <c r="P2">
        <v>8</v>
      </c>
      <c r="Q2">
        <f>P2*P4</f>
        <v>24</v>
      </c>
      <c r="S2" s="2"/>
      <c r="T2" s="2"/>
      <c r="W2" s="20" t="s">
        <v>169</v>
      </c>
      <c r="X2" s="20"/>
      <c r="Y2" t="s">
        <v>77</v>
      </c>
      <c r="Z2">
        <f>AVERAGE(J2:L9)</f>
        <v>49.868749999999999</v>
      </c>
    </row>
    <row r="3" spans="1:27" x14ac:dyDescent="0.25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3">
        <v>75.62</v>
      </c>
      <c r="K3" s="44">
        <v>77.569999999999993</v>
      </c>
      <c r="L3" s="45">
        <v>75.75</v>
      </c>
      <c r="M3" s="66" t="s">
        <v>161</v>
      </c>
      <c r="N3">
        <f t="shared" ref="N3:N9" si="4">AVERAGE(J3:L3)</f>
        <v>76.313333333333333</v>
      </c>
      <c r="O3" s="39">
        <f t="shared" ref="O3:O9" si="5">VAR(J3:L3)</f>
        <v>1.1886333333333217</v>
      </c>
      <c r="P3" t="s">
        <v>11</v>
      </c>
      <c r="Q3" t="s">
        <v>113</v>
      </c>
      <c r="S3" s="106" t="s">
        <v>12</v>
      </c>
      <c r="T3" s="106"/>
      <c r="W3" t="s">
        <v>164</v>
      </c>
      <c r="X3">
        <v>21.46916666666667</v>
      </c>
      <c r="Y3" t="s">
        <v>79</v>
      </c>
      <c r="Z3" s="73">
        <f>X3/2</f>
        <v>10.734583333333335</v>
      </c>
    </row>
    <row r="4" spans="1:27" x14ac:dyDescent="0.25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6">
        <v>27.51</v>
      </c>
      <c r="K4" s="47">
        <v>34.03</v>
      </c>
      <c r="L4" s="48">
        <v>25.07</v>
      </c>
      <c r="M4" s="67" t="s">
        <v>155</v>
      </c>
      <c r="N4">
        <f t="shared" si="4"/>
        <v>28.870000000000005</v>
      </c>
      <c r="O4" s="39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  <c r="W4" t="s">
        <v>100</v>
      </c>
      <c r="X4">
        <v>1.1041666666666672</v>
      </c>
      <c r="Y4" t="s">
        <v>81</v>
      </c>
      <c r="Z4">
        <f t="shared" ref="Z4:Z9" si="6">X4/2</f>
        <v>0.55208333333333359</v>
      </c>
    </row>
    <row r="5" spans="1:27" x14ac:dyDescent="0.25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9">
        <v>51.37</v>
      </c>
      <c r="K5" s="50">
        <v>48.49</v>
      </c>
      <c r="L5" s="51">
        <v>54.37</v>
      </c>
      <c r="M5" s="68" t="s">
        <v>156</v>
      </c>
      <c r="N5">
        <f t="shared" si="4"/>
        <v>51.41</v>
      </c>
      <c r="O5" s="39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  <c r="W5" t="s">
        <v>101</v>
      </c>
      <c r="X5">
        <v>-8.072499999999998</v>
      </c>
      <c r="Y5" t="s">
        <v>83</v>
      </c>
      <c r="Z5" s="73">
        <f t="shared" si="6"/>
        <v>-4.036249999999999</v>
      </c>
    </row>
    <row r="6" spans="1:27" x14ac:dyDescent="0.25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2">
        <v>24.8</v>
      </c>
      <c r="K6" s="53">
        <v>20.69</v>
      </c>
      <c r="L6" s="54">
        <v>15.41</v>
      </c>
      <c r="M6" s="69" t="s">
        <v>157</v>
      </c>
      <c r="N6">
        <f t="shared" si="4"/>
        <v>20.3</v>
      </c>
      <c r="O6" s="39">
        <f t="shared" si="5"/>
        <v>22.157100000000014</v>
      </c>
      <c r="P6" s="2">
        <f>AVERAGE(O2:O9)</f>
        <v>10.893966666666602</v>
      </c>
      <c r="Q6" s="21" cm="1">
        <f t="array" ref="Q6">SUM((J2:L9)^2)</f>
        <v>67986.9421</v>
      </c>
      <c r="R6" s="21"/>
      <c r="S6" s="2" t="s">
        <v>16</v>
      </c>
      <c r="T6" s="2">
        <v>0.96981745850433798</v>
      </c>
      <c r="W6" t="s">
        <v>102</v>
      </c>
      <c r="X6">
        <v>2.1625000000000001</v>
      </c>
      <c r="Y6" t="s">
        <v>170</v>
      </c>
      <c r="Z6">
        <f t="shared" si="6"/>
        <v>1.08125</v>
      </c>
    </row>
    <row r="7" spans="1:27" x14ac:dyDescent="0.25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5">
        <v>43.58</v>
      </c>
      <c r="K7" s="56">
        <v>44.31</v>
      </c>
      <c r="L7" s="57">
        <v>36.99</v>
      </c>
      <c r="M7" s="70" t="s">
        <v>158</v>
      </c>
      <c r="N7">
        <f t="shared" si="4"/>
        <v>41.626666666666665</v>
      </c>
      <c r="O7" s="39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  <c r="W7" t="s">
        <v>165</v>
      </c>
      <c r="X7">
        <v>28.634166666666669</v>
      </c>
      <c r="Y7" t="s">
        <v>171</v>
      </c>
      <c r="Z7" s="73">
        <f t="shared" si="6"/>
        <v>14.317083333333334</v>
      </c>
    </row>
    <row r="8" spans="1:27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8">
        <v>45.2</v>
      </c>
      <c r="K8" s="59">
        <v>49.53</v>
      </c>
      <c r="L8" s="60">
        <v>50.29</v>
      </c>
      <c r="M8" s="71" t="s">
        <v>159</v>
      </c>
      <c r="N8">
        <f t="shared" si="4"/>
        <v>48.34</v>
      </c>
      <c r="O8" s="39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  <c r="W8" t="s">
        <v>166</v>
      </c>
      <c r="X8">
        <v>1.5558333333333347</v>
      </c>
      <c r="Y8" t="s">
        <v>172</v>
      </c>
      <c r="Z8">
        <f t="shared" si="6"/>
        <v>0.77791666666666737</v>
      </c>
    </row>
    <row r="9" spans="1:27" x14ac:dyDescent="0.2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1">
        <v>70.510000000000005</v>
      </c>
      <c r="K9" s="62">
        <v>74</v>
      </c>
      <c r="L9" s="63">
        <v>74.680000000000007</v>
      </c>
      <c r="M9" s="72" t="s">
        <v>160</v>
      </c>
      <c r="N9">
        <f t="shared" si="4"/>
        <v>73.063333333333333</v>
      </c>
      <c r="O9" s="39">
        <f t="shared" si="5"/>
        <v>5.0052333333333312</v>
      </c>
      <c r="P9" t="s">
        <v>22</v>
      </c>
      <c r="Q9">
        <f>P2*(P4-1)</f>
        <v>16</v>
      </c>
      <c r="W9" t="s">
        <v>167</v>
      </c>
      <c r="X9">
        <v>-0.4641666666666649</v>
      </c>
      <c r="Y9" t="s">
        <v>173</v>
      </c>
      <c r="Z9">
        <f t="shared" si="6"/>
        <v>-0.23208333333333245</v>
      </c>
    </row>
    <row r="10" spans="1:27" ht="17.25" thickBot="1" x14ac:dyDescent="0.3">
      <c r="M10" s="17"/>
      <c r="S10" t="s">
        <v>26</v>
      </c>
    </row>
    <row r="11" spans="1:27" x14ac:dyDescent="0.25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t="s">
        <v>133</v>
      </c>
      <c r="H11">
        <f>$Q$2/2*((J11-$Q$4)^2+(L11-$Q$4)^2)</f>
        <v>2765.5507041666647</v>
      </c>
      <c r="I11" t="s">
        <v>140</v>
      </c>
      <c r="J11">
        <f>AVERAGE(J3:L3,J5:L5,J7:L7,J9:L9)</f>
        <v>60.603333333333332</v>
      </c>
      <c r="K11" t="s">
        <v>141</v>
      </c>
      <c r="L11">
        <f>AVERAGE(J2:L2,J4:L4,J6:L6,J8:L8)</f>
        <v>39.134166666666673</v>
      </c>
      <c r="M11" s="17"/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25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t="s">
        <v>134</v>
      </c>
      <c r="H12">
        <f t="shared" ref="H12:H17" si="7">$Q$2/2*((J12-$Q$4)^2+(L12-$Q$4)^2)</f>
        <v>7.3151041666669183</v>
      </c>
      <c r="I12" t="s">
        <v>142</v>
      </c>
      <c r="J12">
        <f>AVERAGE(J4:L4,J5:L5,J8:L8,J9:L9)</f>
        <v>50.420833333333348</v>
      </c>
      <c r="K12" t="s">
        <v>152</v>
      </c>
      <c r="L12">
        <f>AVERAGE(J2:L2,J3:L3,J6:L6,J7:L7)</f>
        <v>49.316666666666663</v>
      </c>
      <c r="M12" s="17"/>
      <c r="S12" t="s">
        <v>39</v>
      </c>
      <c r="T12">
        <v>7</v>
      </c>
      <c r="U12" s="22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25">
      <c r="A13" t="s">
        <v>9</v>
      </c>
      <c r="B13">
        <f t="shared" ref="B13:B19" si="8">N3-$Q$4</f>
        <v>26.444583333333334</v>
      </c>
      <c r="C13">
        <f t="shared" ref="C13:C19" si="9">J3-$N3</f>
        <v>-0.69333333333332803</v>
      </c>
      <c r="D13">
        <f t="shared" ref="D13:D19" si="10">K3-$N3</f>
        <v>1.2566666666666606</v>
      </c>
      <c r="E13">
        <f t="shared" ref="E13:E19" si="11">L3-$N3</f>
        <v>-0.56333333333333258</v>
      </c>
      <c r="G13" t="s">
        <v>135</v>
      </c>
      <c r="H13">
        <f t="shared" si="7"/>
        <v>390.99153749999914</v>
      </c>
      <c r="I13" t="s">
        <v>143</v>
      </c>
      <c r="J13">
        <f>AVERAGE(J6:L6,J7:L7,J8:L8,J9:L9)</f>
        <v>45.832500000000003</v>
      </c>
      <c r="K13" t="s">
        <v>153</v>
      </c>
      <c r="L13">
        <f>AVERAGE(J2:L2,J3:L3,J4:L4,J5:L5)</f>
        <v>53.904999999999994</v>
      </c>
      <c r="M13" s="17"/>
      <c r="S13" t="s">
        <v>41</v>
      </c>
      <c r="T13">
        <v>16</v>
      </c>
      <c r="U13" s="26">
        <v>174.30346666666688</v>
      </c>
      <c r="V13" s="2">
        <v>10.89396666666668</v>
      </c>
    </row>
    <row r="14" spans="1:27" ht="17.25" thickBot="1" x14ac:dyDescent="0.3">
      <c r="A14">
        <f>P2</f>
        <v>8</v>
      </c>
      <c r="B14">
        <f t="shared" si="8"/>
        <v>-20.998749999999994</v>
      </c>
      <c r="C14">
        <f t="shared" si="9"/>
        <v>-1.360000000000003</v>
      </c>
      <c r="D14">
        <f t="shared" si="10"/>
        <v>5.1599999999999966</v>
      </c>
      <c r="E14">
        <f t="shared" si="11"/>
        <v>-3.8000000000000043</v>
      </c>
      <c r="G14" t="s">
        <v>136</v>
      </c>
      <c r="H14">
        <f t="shared" si="7"/>
        <v>28.058437500000402</v>
      </c>
      <c r="I14" t="s">
        <v>144</v>
      </c>
      <c r="J14">
        <f>AVERAGE(J2:L2,J5:L5,J6:L6,J9:L9)</f>
        <v>50.95000000000001</v>
      </c>
      <c r="K14" t="s">
        <v>145</v>
      </c>
      <c r="L14">
        <f>AVERAGE(J3:L3,J4:L4,J7:L7,J8:L8)</f>
        <v>48.787499999999994</v>
      </c>
      <c r="M14" s="17"/>
      <c r="S14" s="6" t="s">
        <v>43</v>
      </c>
      <c r="T14" s="6">
        <v>23</v>
      </c>
      <c r="U14" s="25">
        <v>8301.528662499999</v>
      </c>
      <c r="V14" s="6"/>
      <c r="W14" s="6"/>
      <c r="X14" s="6"/>
    </row>
    <row r="15" spans="1:27" ht="17.25" thickBot="1" x14ac:dyDescent="0.3">
      <c r="A15" t="s">
        <v>11</v>
      </c>
      <c r="B15">
        <f t="shared" si="8"/>
        <v>1.541249999999998</v>
      </c>
      <c r="C15">
        <f t="shared" si="9"/>
        <v>-3.9999999999999147E-2</v>
      </c>
      <c r="D15">
        <f t="shared" si="10"/>
        <v>-2.9199999999999946</v>
      </c>
      <c r="E15">
        <f t="shared" si="11"/>
        <v>2.9600000000000009</v>
      </c>
      <c r="G15" t="s">
        <v>137</v>
      </c>
      <c r="H15">
        <f t="shared" si="7"/>
        <v>4919.4930041666657</v>
      </c>
      <c r="I15" t="s">
        <v>146</v>
      </c>
      <c r="J15">
        <f>AVERAGE(J2:L2,J3:L3,J8:L8,J9:L9)</f>
        <v>64.185833333333335</v>
      </c>
      <c r="K15" t="s">
        <v>147</v>
      </c>
      <c r="L15">
        <f>AVERAGE(J4:L4,J5:L5,J6:L6,J7:L7)</f>
        <v>35.551666666666669</v>
      </c>
      <c r="M15" s="17"/>
    </row>
    <row r="16" spans="1:27" x14ac:dyDescent="0.25">
      <c r="A16">
        <f>P4</f>
        <v>3</v>
      </c>
      <c r="B16">
        <f t="shared" si="8"/>
        <v>-29.568749999999998</v>
      </c>
      <c r="C16">
        <f t="shared" si="9"/>
        <v>4.5</v>
      </c>
      <c r="D16">
        <f t="shared" si="10"/>
        <v>0.39000000000000057</v>
      </c>
      <c r="E16">
        <f t="shared" si="11"/>
        <v>-4.8900000000000006</v>
      </c>
      <c r="G16" t="s">
        <v>138</v>
      </c>
      <c r="H16">
        <f t="shared" si="7"/>
        <v>14.523704166666649</v>
      </c>
      <c r="I16" t="s">
        <v>148</v>
      </c>
      <c r="J16">
        <f>AVERAGE(J2:L2,J4:L4,J7:L7,J9:L9)</f>
        <v>50.646666666666668</v>
      </c>
      <c r="K16" t="s">
        <v>149</v>
      </c>
      <c r="L16">
        <f>AVERAGE(J3:L3,J5:L5,J6:L6,J8:L8)</f>
        <v>49.090833333333336</v>
      </c>
      <c r="M16" s="17"/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x14ac:dyDescent="0.25">
      <c r="B17">
        <f t="shared" si="8"/>
        <v>-8.2420833333333334</v>
      </c>
      <c r="C17">
        <f t="shared" si="9"/>
        <v>1.9533333333333331</v>
      </c>
      <c r="D17">
        <f t="shared" si="10"/>
        <v>2.6833333333333371</v>
      </c>
      <c r="E17">
        <f t="shared" si="11"/>
        <v>-4.6366666666666632</v>
      </c>
      <c r="G17" t="s">
        <v>139</v>
      </c>
      <c r="H17">
        <f t="shared" si="7"/>
        <v>1.2927041666665713</v>
      </c>
      <c r="I17" t="s">
        <v>150</v>
      </c>
      <c r="J17">
        <f>AVERAGE(J3:L3,J4:L4,J6:L6,J9:L9)</f>
        <v>49.636666666666677</v>
      </c>
      <c r="K17" t="s">
        <v>151</v>
      </c>
      <c r="L17">
        <f>AVERAGE(J2:L2,J5:L5,J7:L7,J8:L8)</f>
        <v>50.100833333333327</v>
      </c>
      <c r="M17" s="17"/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25">
      <c r="B18">
        <f t="shared" si="8"/>
        <v>-1.5287499999999952</v>
      </c>
      <c r="C18">
        <f t="shared" si="9"/>
        <v>-3.1400000000000006</v>
      </c>
      <c r="D18">
        <f t="shared" si="10"/>
        <v>1.1899999999999977</v>
      </c>
      <c r="E18">
        <f t="shared" si="11"/>
        <v>1.9499999999999957</v>
      </c>
      <c r="G18" t="s">
        <v>162</v>
      </c>
      <c r="H18">
        <f>C21</f>
        <v>174.30346666666662</v>
      </c>
      <c r="M18" s="17"/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x14ac:dyDescent="0.25">
      <c r="B19">
        <f t="shared" si="8"/>
        <v>23.194583333333334</v>
      </c>
      <c r="C19">
        <f t="shared" si="9"/>
        <v>-2.5533333333333275</v>
      </c>
      <c r="D19">
        <f t="shared" si="10"/>
        <v>0.93666666666666742</v>
      </c>
      <c r="E19">
        <f t="shared" si="11"/>
        <v>1.6166666666666742</v>
      </c>
      <c r="M19" s="17"/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25" thickBot="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25">
      <c r="A21">
        <f>A14*A16*A12^2</f>
        <v>59685.413437499992</v>
      </c>
      <c r="B21" s="22" cm="1">
        <f t="array" ref="B21">A16*SUM((B12:B19)^2)</f>
        <v>8127.2251958333327</v>
      </c>
      <c r="C21" s="26" cm="1">
        <f t="array" ref="C21">SUM((C12:E19)^2)</f>
        <v>174.30346666666662</v>
      </c>
      <c r="D21">
        <f>SUM(A21:C21)</f>
        <v>67986.942099999986</v>
      </c>
      <c r="E21" s="24">
        <f>D21-A21</f>
        <v>8301.5286624999935</v>
      </c>
      <c r="F21" s="16"/>
      <c r="G21" s="110" t="s">
        <v>122</v>
      </c>
      <c r="H21" s="111" t="s">
        <v>119</v>
      </c>
      <c r="I21" s="111" t="s">
        <v>129</v>
      </c>
      <c r="J21" s="111" t="s">
        <v>130</v>
      </c>
      <c r="K21" s="112" t="s">
        <v>132</v>
      </c>
      <c r="L21" s="113" t="s">
        <v>174</v>
      </c>
      <c r="M21" s="78" t="s">
        <v>122</v>
      </c>
      <c r="N21" s="79" t="s">
        <v>119</v>
      </c>
      <c r="O21" s="79" t="s">
        <v>129</v>
      </c>
      <c r="P21" s="79" t="s">
        <v>130</v>
      </c>
      <c r="Q21" s="80" t="s">
        <v>132</v>
      </c>
      <c r="R21" s="81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25" thickBot="1" x14ac:dyDescent="0.3">
      <c r="G22" s="114" t="s">
        <v>32</v>
      </c>
      <c r="H22" s="115">
        <f>H11</f>
        <v>2765.5507041666647</v>
      </c>
      <c r="I22" s="115">
        <v>1</v>
      </c>
      <c r="J22" s="115">
        <f>H22/I22</f>
        <v>2765.5507041666647</v>
      </c>
      <c r="K22" s="116">
        <f>J22/$J$29</f>
        <v>253.86076429154963</v>
      </c>
      <c r="L22" s="117">
        <f>_xlfn.F.INV.RT(0.1,I22,$I$29)</f>
        <v>3.0481098110878739</v>
      </c>
      <c r="M22" s="125" t="s">
        <v>32</v>
      </c>
      <c r="N22" s="83">
        <f>H22</f>
        <v>2765.5507041666647</v>
      </c>
      <c r="O22" s="83">
        <v>1</v>
      </c>
      <c r="P22" s="83">
        <f>N22/O22</f>
        <v>2765.5507041666647</v>
      </c>
      <c r="Q22" s="84">
        <f>P22/$J$29</f>
        <v>253.86076429154963</v>
      </c>
      <c r="R22" s="85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25">
      <c r="A23" s="78" t="s">
        <v>122</v>
      </c>
      <c r="B23" s="79" t="s">
        <v>128</v>
      </c>
      <c r="C23" s="79" t="s">
        <v>129</v>
      </c>
      <c r="D23" s="79" t="s">
        <v>131</v>
      </c>
      <c r="E23" s="80" t="s">
        <v>132</v>
      </c>
      <c r="F23" s="81" t="s">
        <v>174</v>
      </c>
      <c r="G23" s="114" t="s">
        <v>38</v>
      </c>
      <c r="H23" s="115">
        <f t="shared" ref="H23:H29" si="12">H12</f>
        <v>7.3151041666669183</v>
      </c>
      <c r="I23" s="115">
        <v>1</v>
      </c>
      <c r="J23" s="115">
        <f t="shared" ref="J23:J29" si="13">H23/I23</f>
        <v>7.3151041666669183</v>
      </c>
      <c r="K23" s="116">
        <f t="shared" ref="K23:K28" si="14">J23/$J$29</f>
        <v>0.67148215067057793</v>
      </c>
      <c r="L23" s="117">
        <f t="shared" ref="L23:L28" si="15">_xlfn.F.INV.RT(0.1,I23,$I$29)</f>
        <v>3.0481098110878739</v>
      </c>
      <c r="M23" s="125" t="s">
        <v>40</v>
      </c>
      <c r="N23" s="83">
        <f>H24</f>
        <v>390.99153749999914</v>
      </c>
      <c r="O23" s="83">
        <v>1</v>
      </c>
      <c r="P23" s="83">
        <f t="shared" ref="P23:P24" si="16">N23/O23</f>
        <v>390.99153749999914</v>
      </c>
      <c r="Q23" s="84">
        <f t="shared" ref="Q23:Q24" si="17">P23/$J$29</f>
        <v>35.890649334952919</v>
      </c>
      <c r="R23" s="85">
        <f t="shared" ref="R23:R24" si="18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25" thickBot="1" x14ac:dyDescent="0.3">
      <c r="A24" s="82" t="s">
        <v>123</v>
      </c>
      <c r="B24" s="83">
        <f>A21</f>
        <v>59685.413437499992</v>
      </c>
      <c r="C24" s="83">
        <v>1</v>
      </c>
      <c r="D24" s="83">
        <f>B24/C24</f>
        <v>59685.413437499992</v>
      </c>
      <c r="E24" s="84">
        <f>D24/D26</f>
        <v>5478.758588469459</v>
      </c>
      <c r="F24" s="85">
        <f>_xlfn.F.INV.RT(0.1,C24,$C$26)</f>
        <v>3.0481098110878739</v>
      </c>
      <c r="G24" s="114" t="s">
        <v>40</v>
      </c>
      <c r="H24" s="115">
        <f t="shared" si="12"/>
        <v>390.99153749999914</v>
      </c>
      <c r="I24" s="115">
        <v>1</v>
      </c>
      <c r="J24" s="115">
        <f t="shared" si="13"/>
        <v>390.99153749999914</v>
      </c>
      <c r="K24" s="116">
        <f t="shared" si="14"/>
        <v>35.890649334952919</v>
      </c>
      <c r="L24" s="117">
        <f t="shared" si="15"/>
        <v>3.0481098110878739</v>
      </c>
      <c r="M24" s="125" t="s">
        <v>44</v>
      </c>
      <c r="N24" s="83">
        <f>H26</f>
        <v>4919.4930041666657</v>
      </c>
      <c r="O24" s="83">
        <v>1</v>
      </c>
      <c r="P24" s="83">
        <f t="shared" si="16"/>
        <v>4919.4930041666657</v>
      </c>
      <c r="Q24" s="84">
        <f t="shared" si="17"/>
        <v>451.57959030839703</v>
      </c>
      <c r="R24" s="85">
        <f t="shared" si="18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25">
      <c r="A25" s="82" t="s">
        <v>125</v>
      </c>
      <c r="B25" s="83">
        <f>B21</f>
        <v>8127.2251958333327</v>
      </c>
      <c r="C25" s="83">
        <f>A14-1</f>
        <v>7</v>
      </c>
      <c r="D25" s="83">
        <f t="shared" ref="D25:D26" si="19">B25/C25</f>
        <v>1161.0321708333333</v>
      </c>
      <c r="E25" s="84">
        <f>D25/D26</f>
        <v>106.5757043654133</v>
      </c>
      <c r="F25" s="85">
        <f>_xlfn.F.INV.RT(0.1,C25,$C$26)</f>
        <v>2.1280026088875497</v>
      </c>
      <c r="G25" s="114" t="s">
        <v>42</v>
      </c>
      <c r="H25" s="115">
        <f t="shared" si="12"/>
        <v>28.058437500000402</v>
      </c>
      <c r="I25" s="115">
        <v>1</v>
      </c>
      <c r="J25" s="115">
        <f t="shared" si="13"/>
        <v>28.058437500000402</v>
      </c>
      <c r="K25" s="116">
        <f t="shared" si="14"/>
        <v>2.5755942126988098</v>
      </c>
      <c r="L25" s="117">
        <f t="shared" si="15"/>
        <v>3.0481098110878739</v>
      </c>
      <c r="M25" s="125" t="s">
        <v>168</v>
      </c>
      <c r="N25" s="83">
        <f>H29</f>
        <v>174.30346666666662</v>
      </c>
      <c r="O25" s="83">
        <f>I29</f>
        <v>16</v>
      </c>
      <c r="P25" s="83">
        <f>N25/O25</f>
        <v>10.893966666666664</v>
      </c>
      <c r="Q25" s="84" t="s">
        <v>175</v>
      </c>
      <c r="R25" s="85" t="s">
        <v>176</v>
      </c>
    </row>
    <row r="26" spans="1:27" ht="17.25" thickBot="1" x14ac:dyDescent="0.3">
      <c r="A26" s="82" t="s">
        <v>127</v>
      </c>
      <c r="B26" s="83">
        <f>C21</f>
        <v>174.30346666666662</v>
      </c>
      <c r="C26" s="83">
        <f>A14*(A16-1)</f>
        <v>16</v>
      </c>
      <c r="D26" s="83">
        <f t="shared" si="19"/>
        <v>10.893966666666664</v>
      </c>
      <c r="E26" s="84" t="s">
        <v>175</v>
      </c>
      <c r="F26" s="85" t="s">
        <v>176</v>
      </c>
      <c r="G26" s="114" t="s">
        <v>44</v>
      </c>
      <c r="H26" s="115">
        <f t="shared" si="12"/>
        <v>4919.4930041666657</v>
      </c>
      <c r="I26" s="115">
        <v>1</v>
      </c>
      <c r="J26" s="115">
        <f t="shared" si="13"/>
        <v>4919.4930041666657</v>
      </c>
      <c r="K26" s="116">
        <f t="shared" si="14"/>
        <v>451.57959030839703</v>
      </c>
      <c r="L26" s="117">
        <f t="shared" si="15"/>
        <v>3.0481098110878739</v>
      </c>
      <c r="M26" s="126" t="s">
        <v>163</v>
      </c>
      <c r="N26" s="87">
        <f>SUM(N22:N25)</f>
        <v>8250.3387124999954</v>
      </c>
      <c r="O26" s="87">
        <f>SUM(O22:O25)</f>
        <v>19</v>
      </c>
      <c r="P26" s="87"/>
      <c r="Q26" s="88">
        <f>SUM(N22:N24)/N26</f>
        <v>0.97887317445493705</v>
      </c>
      <c r="R26" s="89">
        <f>Q26^0.5</f>
        <v>0.98938019712087277</v>
      </c>
    </row>
    <row r="27" spans="1:27" ht="17.25" thickBot="1" x14ac:dyDescent="0.3">
      <c r="A27" s="86" t="s">
        <v>119</v>
      </c>
      <c r="B27" s="87">
        <f>SUM(B24:B26)</f>
        <v>67986.942099999986</v>
      </c>
      <c r="C27" s="87">
        <f>SUM(C24:C26)</f>
        <v>24</v>
      </c>
      <c r="D27" s="87"/>
      <c r="E27" s="88">
        <f>(B24+B25)/B27</f>
        <v>0.99743622140836563</v>
      </c>
      <c r="F27" s="89">
        <f>E27^0.5</f>
        <v>0.9987172880291828</v>
      </c>
      <c r="G27" s="114" t="s">
        <v>45</v>
      </c>
      <c r="H27" s="115">
        <f t="shared" si="12"/>
        <v>14.523704166666649</v>
      </c>
      <c r="I27" s="115">
        <v>1</v>
      </c>
      <c r="J27" s="115">
        <f t="shared" si="13"/>
        <v>14.523704166666649</v>
      </c>
      <c r="K27" s="116">
        <f t="shared" si="14"/>
        <v>1.3331878654545775</v>
      </c>
      <c r="L27" s="117">
        <f t="shared" si="15"/>
        <v>3.0481098110878739</v>
      </c>
      <c r="M27" s="125" t="s">
        <v>178</v>
      </c>
      <c r="N27" s="90">
        <f>1-(N25/O25)/(N26/O26)</f>
        <v>0.97491189466523775</v>
      </c>
      <c r="O27" s="90"/>
      <c r="P27" s="90"/>
      <c r="Q27" s="90"/>
      <c r="R27" s="90"/>
    </row>
    <row r="28" spans="1:27" x14ac:dyDescent="0.25">
      <c r="A28" s="82" t="s">
        <v>178</v>
      </c>
      <c r="B28" s="90">
        <f>1-(B26/C26)/(B27/C27)</f>
        <v>0.99615433211254845</v>
      </c>
      <c r="C28" s="90"/>
      <c r="D28" s="90"/>
      <c r="E28" s="90"/>
      <c r="F28" s="90"/>
      <c r="G28" s="114" t="s">
        <v>54</v>
      </c>
      <c r="H28" s="115">
        <f t="shared" si="12"/>
        <v>1.2927041666665713</v>
      </c>
      <c r="I28" s="115">
        <v>1</v>
      </c>
      <c r="J28" s="115">
        <f t="shared" si="13"/>
        <v>1.2927041666665713</v>
      </c>
      <c r="K28" s="116">
        <f t="shared" si="14"/>
        <v>0.11866239416924092</v>
      </c>
      <c r="L28" s="117">
        <f t="shared" si="15"/>
        <v>3.0481098110878739</v>
      </c>
    </row>
    <row r="29" spans="1:27" ht="17.25" thickBot="1" x14ac:dyDescent="0.3">
      <c r="G29" s="114" t="s">
        <v>168</v>
      </c>
      <c r="H29" s="115">
        <f t="shared" si="12"/>
        <v>174.30346666666662</v>
      </c>
      <c r="I29" s="115">
        <f>P2*(P4-1)</f>
        <v>16</v>
      </c>
      <c r="J29" s="115">
        <f t="shared" si="13"/>
        <v>10.893966666666664</v>
      </c>
      <c r="K29" s="116" t="s">
        <v>175</v>
      </c>
      <c r="L29" s="117" t="s">
        <v>176</v>
      </c>
    </row>
    <row r="30" spans="1:27" ht="17.25" thickBot="1" x14ac:dyDescent="0.3">
      <c r="A30" s="94" t="s">
        <v>121</v>
      </c>
      <c r="B30" s="95" t="s">
        <v>119</v>
      </c>
      <c r="C30" s="95" t="s">
        <v>129</v>
      </c>
      <c r="D30" s="95" t="s">
        <v>130</v>
      </c>
      <c r="E30" s="95" t="s">
        <v>132</v>
      </c>
      <c r="F30" s="96" t="s">
        <v>174</v>
      </c>
      <c r="G30" s="118" t="s">
        <v>163</v>
      </c>
      <c r="H30" s="119">
        <f>SUM(H22:H29)</f>
        <v>8301.5286624999972</v>
      </c>
      <c r="I30" s="119">
        <f>SUM(I22:I29)</f>
        <v>23</v>
      </c>
      <c r="J30" s="119"/>
      <c r="K30" s="118">
        <f>SUM(H22,H24,H26)/H30</f>
        <v>0.97283712122981925</v>
      </c>
      <c r="L30" s="120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21" t="s">
        <v>10</v>
      </c>
      <c r="T30" s="121"/>
    </row>
    <row r="31" spans="1:27" ht="17.25" thickBot="1" x14ac:dyDescent="0.3">
      <c r="A31" s="97" t="s">
        <v>124</v>
      </c>
      <c r="B31" s="98">
        <f>B21</f>
        <v>8127.2251958333327</v>
      </c>
      <c r="C31" s="98">
        <f>A14-1</f>
        <v>7</v>
      </c>
      <c r="D31" s="98">
        <f>B31/C31</f>
        <v>1161.0321708333333</v>
      </c>
      <c r="E31" s="98">
        <f>D31/D32</f>
        <v>106.5757043654133</v>
      </c>
      <c r="F31" s="99">
        <f>_xlfn.F.INV.RT(0.1,C31,C32)</f>
        <v>2.1280026088875497</v>
      </c>
      <c r="G31" s="116" t="s">
        <v>178</v>
      </c>
      <c r="H31" s="98">
        <f>1-(H29/I29)/(H30/I30)</f>
        <v>0.96981745850433809</v>
      </c>
      <c r="I31" s="121"/>
      <c r="J31" s="121"/>
      <c r="K31" s="121"/>
      <c r="L31" s="121"/>
      <c r="M31" s="107" t="s">
        <v>179</v>
      </c>
      <c r="N31" s="27">
        <f>C2</f>
        <v>-1</v>
      </c>
      <c r="O31" s="27">
        <f>E2</f>
        <v>-1</v>
      </c>
      <c r="P31" s="27">
        <f>G2</f>
        <v>1</v>
      </c>
      <c r="Q31" s="27">
        <v>61.43</v>
      </c>
      <c r="S31" s="121"/>
      <c r="T31" s="121"/>
    </row>
    <row r="32" spans="1:27" x14ac:dyDescent="0.25">
      <c r="A32" s="97" t="s">
        <v>126</v>
      </c>
      <c r="B32" s="98">
        <f>C21</f>
        <v>174.30346666666662</v>
      </c>
      <c r="C32" s="98">
        <f>A14*(A16-1)</f>
        <v>16</v>
      </c>
      <c r="D32" s="98">
        <f>B32/C32</f>
        <v>10.893966666666664</v>
      </c>
      <c r="E32" s="98"/>
      <c r="F32" s="99"/>
      <c r="M32" s="107"/>
      <c r="N32" s="27">
        <f t="shared" ref="N32:N38" si="20">C3</f>
        <v>1</v>
      </c>
      <c r="O32" s="27">
        <f t="shared" ref="O32:O38" si="21">E3</f>
        <v>-1</v>
      </c>
      <c r="P32" s="27">
        <f t="shared" ref="P32:P38" si="22">G3</f>
        <v>1</v>
      </c>
      <c r="Q32" s="27">
        <v>75.62</v>
      </c>
      <c r="S32" s="122" t="s">
        <v>12</v>
      </c>
      <c r="T32" s="122"/>
    </row>
    <row r="33" spans="1:27" x14ac:dyDescent="0.25">
      <c r="A33" s="100" t="s">
        <v>163</v>
      </c>
      <c r="B33" s="101">
        <f>B31+B32</f>
        <v>8301.528662499999</v>
      </c>
      <c r="C33" s="101">
        <f>SUM(C31:C32)</f>
        <v>23</v>
      </c>
      <c r="D33" s="101"/>
      <c r="E33" s="101"/>
      <c r="F33" s="102"/>
      <c r="M33" s="107"/>
      <c r="N33" s="27">
        <f t="shared" si="20"/>
        <v>-1</v>
      </c>
      <c r="O33" s="27">
        <f t="shared" si="21"/>
        <v>-1</v>
      </c>
      <c r="P33" s="27">
        <f t="shared" si="22"/>
        <v>-1</v>
      </c>
      <c r="Q33" s="27">
        <v>27.51</v>
      </c>
      <c r="S33" s="123" t="s">
        <v>13</v>
      </c>
      <c r="T33" s="123">
        <v>0.98632505860381514</v>
      </c>
    </row>
    <row r="34" spans="1:27" ht="17.25" thickBot="1" x14ac:dyDescent="0.3">
      <c r="A34" s="103" t="s">
        <v>175</v>
      </c>
      <c r="B34" s="104">
        <f>B31/B33</f>
        <v>0.97900344939432216</v>
      </c>
      <c r="C34" s="104" t="s">
        <v>176</v>
      </c>
      <c r="D34" s="104">
        <f>B34^0.5</f>
        <v>0.98944603157237543</v>
      </c>
      <c r="E34" s="104" t="s">
        <v>177</v>
      </c>
      <c r="F34" s="105">
        <f>1-(B32/C32)/(B33/C33)</f>
        <v>0.96981745850433809</v>
      </c>
      <c r="G34" s="27"/>
      <c r="H34" s="27"/>
      <c r="I34" s="27"/>
      <c r="J34" s="27"/>
      <c r="M34" s="107"/>
      <c r="N34" s="27">
        <f t="shared" si="20"/>
        <v>1</v>
      </c>
      <c r="O34" s="27">
        <f t="shared" si="21"/>
        <v>-1</v>
      </c>
      <c r="P34" s="27">
        <f t="shared" si="22"/>
        <v>-1</v>
      </c>
      <c r="Q34" s="27">
        <v>51.37</v>
      </c>
      <c r="S34" s="123" t="s">
        <v>15</v>
      </c>
      <c r="T34" s="123">
        <v>0.97283712122981936</v>
      </c>
    </row>
    <row r="35" spans="1:27" x14ac:dyDescent="0.25">
      <c r="B35" s="27"/>
      <c r="C35" s="27"/>
      <c r="D35" s="27"/>
      <c r="E35" s="27"/>
      <c r="F35" s="27"/>
      <c r="G35" s="27"/>
      <c r="H35" s="27"/>
      <c r="I35" s="27"/>
      <c r="J35" s="27"/>
      <c r="M35" s="107"/>
      <c r="N35" s="27">
        <f t="shared" si="20"/>
        <v>-1</v>
      </c>
      <c r="O35" s="27">
        <f t="shared" si="21"/>
        <v>1</v>
      </c>
      <c r="P35" s="27">
        <f t="shared" si="22"/>
        <v>-1</v>
      </c>
      <c r="Q35" s="27">
        <v>24.8</v>
      </c>
      <c r="S35" s="123" t="s">
        <v>16</v>
      </c>
      <c r="T35" s="123">
        <v>0.96876268941429233</v>
      </c>
    </row>
    <row r="36" spans="1:27" x14ac:dyDescent="0.25">
      <c r="B36" s="27"/>
      <c r="C36" s="77"/>
      <c r="D36" s="77"/>
      <c r="E36" s="77"/>
      <c r="F36" s="77"/>
      <c r="G36" s="77"/>
      <c r="H36" s="27"/>
      <c r="I36" s="27"/>
      <c r="J36" s="27"/>
      <c r="M36" s="107"/>
      <c r="N36" s="27">
        <f t="shared" si="20"/>
        <v>1</v>
      </c>
      <c r="O36" s="27">
        <f t="shared" si="21"/>
        <v>1</v>
      </c>
      <c r="P36" s="27">
        <f t="shared" si="22"/>
        <v>-1</v>
      </c>
      <c r="Q36" s="27">
        <v>43.58</v>
      </c>
      <c r="S36" s="123" t="s">
        <v>47</v>
      </c>
      <c r="T36" s="123">
        <v>3.3577776628796219</v>
      </c>
    </row>
    <row r="37" spans="1:27" ht="17.25" thickBot="1" x14ac:dyDescent="0.3">
      <c r="B37" s="27"/>
      <c r="C37" s="74"/>
      <c r="D37" s="74"/>
      <c r="E37" s="74"/>
      <c r="F37" s="74"/>
      <c r="G37" s="74"/>
      <c r="H37" s="27"/>
      <c r="I37" s="27"/>
      <c r="J37" s="27"/>
      <c r="M37" s="107"/>
      <c r="N37" s="27">
        <f t="shared" si="20"/>
        <v>-1</v>
      </c>
      <c r="O37" s="27">
        <f t="shared" si="21"/>
        <v>1</v>
      </c>
      <c r="P37" s="27">
        <f t="shared" si="22"/>
        <v>1</v>
      </c>
      <c r="Q37" s="27">
        <v>45.2</v>
      </c>
      <c r="S37" s="124" t="s">
        <v>21</v>
      </c>
      <c r="T37" s="124">
        <v>24</v>
      </c>
    </row>
    <row r="38" spans="1:27" x14ac:dyDescent="0.25">
      <c r="B38" s="27"/>
      <c r="C38" s="74"/>
      <c r="D38" s="74"/>
      <c r="E38" s="74"/>
      <c r="F38" s="74"/>
      <c r="G38" s="74"/>
      <c r="H38" s="27"/>
      <c r="I38" s="27"/>
      <c r="J38" s="27"/>
      <c r="M38" s="108"/>
      <c r="N38" s="18">
        <f t="shared" si="20"/>
        <v>1</v>
      </c>
      <c r="O38" s="18">
        <f t="shared" si="21"/>
        <v>1</v>
      </c>
      <c r="P38" s="18">
        <f t="shared" si="22"/>
        <v>1</v>
      </c>
      <c r="Q38" s="18">
        <v>70.510000000000005</v>
      </c>
    </row>
    <row r="39" spans="1:27" ht="17.25" thickBot="1" x14ac:dyDescent="0.3">
      <c r="B39" s="27"/>
      <c r="C39" s="27"/>
      <c r="D39" s="27"/>
      <c r="E39" s="27"/>
      <c r="F39" s="27"/>
      <c r="G39" s="27"/>
      <c r="H39" s="27"/>
      <c r="I39" s="27"/>
      <c r="J39" s="27"/>
      <c r="M39" s="109" t="s">
        <v>179</v>
      </c>
      <c r="N39" s="91">
        <f>N31</f>
        <v>-1</v>
      </c>
      <c r="O39" s="91">
        <f>O31</f>
        <v>-1</v>
      </c>
      <c r="P39" s="91">
        <f>P31</f>
        <v>1</v>
      </c>
      <c r="Q39" s="91">
        <v>58.58</v>
      </c>
      <c r="S39" t="s">
        <v>26</v>
      </c>
    </row>
    <row r="40" spans="1:27" x14ac:dyDescent="0.25">
      <c r="B40" s="27"/>
      <c r="C40" s="27"/>
      <c r="D40" s="27"/>
      <c r="E40" s="27"/>
      <c r="F40" s="27"/>
      <c r="G40" s="27"/>
      <c r="H40" s="27"/>
      <c r="I40" s="27"/>
      <c r="J40" s="27"/>
      <c r="M40" s="107"/>
      <c r="N40" s="27">
        <f t="shared" ref="N40:P46" si="23">N32</f>
        <v>1</v>
      </c>
      <c r="O40" s="27">
        <f t="shared" si="23"/>
        <v>-1</v>
      </c>
      <c r="P40" s="27">
        <f t="shared" si="23"/>
        <v>1</v>
      </c>
      <c r="Q40" s="27">
        <v>77.569999999999993</v>
      </c>
      <c r="S40" s="76"/>
      <c r="T40" s="76" t="s">
        <v>33</v>
      </c>
      <c r="U40" s="76" t="s">
        <v>34</v>
      </c>
      <c r="V40" s="76" t="s">
        <v>35</v>
      </c>
      <c r="W40" s="76" t="s">
        <v>36</v>
      </c>
      <c r="X40" s="76" t="s">
        <v>37</v>
      </c>
    </row>
    <row r="41" spans="1:27" x14ac:dyDescent="0.25">
      <c r="B41" s="27"/>
      <c r="C41" s="27"/>
      <c r="D41" s="27"/>
      <c r="E41" s="27"/>
      <c r="F41" s="27"/>
      <c r="G41" s="27"/>
      <c r="H41" s="27"/>
      <c r="I41" s="27"/>
      <c r="J41" s="27"/>
      <c r="M41" s="107"/>
      <c r="N41" s="27">
        <f t="shared" si="23"/>
        <v>-1</v>
      </c>
      <c r="O41" s="27">
        <f t="shared" si="23"/>
        <v>-1</v>
      </c>
      <c r="P41" s="27">
        <f t="shared" si="23"/>
        <v>-1</v>
      </c>
      <c r="Q41" s="27">
        <v>34.03</v>
      </c>
      <c r="S41" s="74" t="s">
        <v>39</v>
      </c>
      <c r="T41" s="74">
        <v>3</v>
      </c>
      <c r="U41" s="74">
        <v>8076.0352458333318</v>
      </c>
      <c r="V41" s="74">
        <v>2692.0117486111108</v>
      </c>
      <c r="W41" s="74">
        <v>238.76632749687312</v>
      </c>
      <c r="X41" s="74">
        <v>7.9899884231460721E-16</v>
      </c>
    </row>
    <row r="42" spans="1:27" x14ac:dyDescent="0.25">
      <c r="M42" s="107"/>
      <c r="N42" s="27">
        <f t="shared" si="23"/>
        <v>1</v>
      </c>
      <c r="O42" s="27">
        <f t="shared" si="23"/>
        <v>-1</v>
      </c>
      <c r="P42" s="27">
        <f t="shared" si="23"/>
        <v>-1</v>
      </c>
      <c r="Q42" s="27">
        <v>48.49</v>
      </c>
      <c r="R42" s="77"/>
      <c r="S42" s="74" t="s">
        <v>41</v>
      </c>
      <c r="T42" s="74">
        <v>20</v>
      </c>
      <c r="U42" s="74">
        <v>225.49341666666675</v>
      </c>
      <c r="V42" s="74">
        <v>11.274670833333337</v>
      </c>
      <c r="W42" s="74"/>
      <c r="X42" s="74"/>
    </row>
    <row r="43" spans="1:27" ht="17.25" thickBot="1" x14ac:dyDescent="0.3">
      <c r="M43" s="107"/>
      <c r="N43" s="27">
        <f t="shared" si="23"/>
        <v>-1</v>
      </c>
      <c r="O43" s="27">
        <f t="shared" si="23"/>
        <v>1</v>
      </c>
      <c r="P43" s="27">
        <f t="shared" si="23"/>
        <v>-1</v>
      </c>
      <c r="Q43" s="27">
        <v>20.69</v>
      </c>
      <c r="R43" s="74"/>
      <c r="S43" s="75" t="s">
        <v>43</v>
      </c>
      <c r="T43" s="75">
        <v>23</v>
      </c>
      <c r="U43" s="75">
        <v>8301.528662499999</v>
      </c>
      <c r="V43" s="75"/>
      <c r="W43" s="75"/>
      <c r="X43" s="75"/>
    </row>
    <row r="44" spans="1:27" ht="17.25" thickBot="1" x14ac:dyDescent="0.3">
      <c r="M44" s="107"/>
      <c r="N44" s="27">
        <f t="shared" si="23"/>
        <v>1</v>
      </c>
      <c r="O44" s="27">
        <f t="shared" si="23"/>
        <v>1</v>
      </c>
      <c r="P44" s="27">
        <f t="shared" si="23"/>
        <v>-1</v>
      </c>
      <c r="Q44" s="27">
        <v>44.31</v>
      </c>
      <c r="R44" s="74"/>
    </row>
    <row r="45" spans="1:27" x14ac:dyDescent="0.25">
      <c r="M45" s="107"/>
      <c r="N45" s="27">
        <f t="shared" si="23"/>
        <v>-1</v>
      </c>
      <c r="O45" s="27">
        <f t="shared" si="23"/>
        <v>1</v>
      </c>
      <c r="P45" s="27">
        <f t="shared" si="23"/>
        <v>1</v>
      </c>
      <c r="Q45" s="27">
        <v>49.53</v>
      </c>
      <c r="R45" s="74"/>
      <c r="S45" s="76"/>
      <c r="T45" s="76" t="s">
        <v>46</v>
      </c>
      <c r="U45" s="76" t="s">
        <v>47</v>
      </c>
      <c r="V45" s="76" t="s">
        <v>48</v>
      </c>
      <c r="W45" s="76" t="s">
        <v>49</v>
      </c>
      <c r="X45" s="76" t="s">
        <v>50</v>
      </c>
      <c r="Y45" s="76" t="s">
        <v>51</v>
      </c>
      <c r="Z45" s="76" t="s">
        <v>180</v>
      </c>
      <c r="AA45" s="76" t="s">
        <v>181</v>
      </c>
    </row>
    <row r="46" spans="1:27" x14ac:dyDescent="0.25">
      <c r="M46" s="108"/>
      <c r="N46" s="18">
        <f t="shared" si="23"/>
        <v>1</v>
      </c>
      <c r="O46" s="18">
        <f t="shared" si="23"/>
        <v>1</v>
      </c>
      <c r="P46" s="18">
        <f t="shared" si="23"/>
        <v>1</v>
      </c>
      <c r="Q46" s="18">
        <v>74</v>
      </c>
      <c r="R46" s="74"/>
      <c r="S46" s="74" t="s">
        <v>55</v>
      </c>
      <c r="T46" s="74">
        <v>49.868750000000006</v>
      </c>
      <c r="U46" s="74">
        <v>0.68540349531417566</v>
      </c>
      <c r="V46" s="74">
        <v>72.758237069014569</v>
      </c>
      <c r="W46" s="74">
        <v>1.0069842215203724E-25</v>
      </c>
      <c r="X46" s="74">
        <v>48.439023362146372</v>
      </c>
      <c r="Y46" s="74">
        <v>51.298476637853639</v>
      </c>
      <c r="Z46" s="74">
        <v>48.439023362146372</v>
      </c>
      <c r="AA46" s="74">
        <v>51.298476637853639</v>
      </c>
    </row>
    <row r="47" spans="1:27" x14ac:dyDescent="0.25">
      <c r="M47" s="20" t="s">
        <v>179</v>
      </c>
      <c r="N47">
        <f>N39</f>
        <v>-1</v>
      </c>
      <c r="O47">
        <f>O39</f>
        <v>-1</v>
      </c>
      <c r="P47">
        <f>P31</f>
        <v>1</v>
      </c>
      <c r="Q47" s="27">
        <v>57.07</v>
      </c>
      <c r="R47" s="27"/>
      <c r="S47" s="74" t="s">
        <v>58</v>
      </c>
      <c r="T47" s="74">
        <v>10.734583333333335</v>
      </c>
      <c r="U47" s="74">
        <v>0.68540349531417566</v>
      </c>
      <c r="V47" s="74">
        <v>15.661699140318522</v>
      </c>
      <c r="W47" s="74">
        <v>1.0827628580791364E-12</v>
      </c>
      <c r="X47" s="74">
        <v>9.3048566954797032</v>
      </c>
      <c r="Y47" s="74">
        <v>12.164309971186967</v>
      </c>
      <c r="Z47" s="74">
        <v>9.3048566954797032</v>
      </c>
      <c r="AA47" s="74">
        <v>12.164309971186967</v>
      </c>
    </row>
    <row r="48" spans="1:27" x14ac:dyDescent="0.25">
      <c r="M48" s="20"/>
      <c r="N48">
        <f t="shared" ref="N48:O54" si="24">N40</f>
        <v>1</v>
      </c>
      <c r="O48">
        <f t="shared" si="24"/>
        <v>-1</v>
      </c>
      <c r="P48">
        <f t="shared" ref="P48:P54" si="25">P32</f>
        <v>1</v>
      </c>
      <c r="Q48" s="27">
        <v>75.75</v>
      </c>
      <c r="R48" s="27"/>
      <c r="S48" s="74" t="s">
        <v>62</v>
      </c>
      <c r="T48" s="74">
        <v>-4.0362499999999972</v>
      </c>
      <c r="U48" s="74">
        <v>0.68540349531417544</v>
      </c>
      <c r="V48" s="74">
        <v>-5.8888669631745314</v>
      </c>
      <c r="W48" s="74">
        <v>9.2515289397680043E-6</v>
      </c>
      <c r="X48" s="74">
        <v>-5.4659766378536272</v>
      </c>
      <c r="Y48" s="74">
        <v>-2.6065233621463668</v>
      </c>
      <c r="Z48" s="74">
        <v>-5.4659766378536272</v>
      </c>
      <c r="AA48" s="74">
        <v>-2.6065233621463668</v>
      </c>
    </row>
    <row r="49" spans="13:27" ht="17.25" thickBot="1" x14ac:dyDescent="0.3">
      <c r="M49" s="20"/>
      <c r="N49">
        <f t="shared" si="24"/>
        <v>-1</v>
      </c>
      <c r="O49">
        <f t="shared" si="24"/>
        <v>-1</v>
      </c>
      <c r="P49">
        <f t="shared" si="25"/>
        <v>-1</v>
      </c>
      <c r="Q49" s="27">
        <v>25.07</v>
      </c>
      <c r="R49" s="27"/>
      <c r="S49" s="75" t="s">
        <v>66</v>
      </c>
      <c r="T49" s="75">
        <v>14.317083333333333</v>
      </c>
      <c r="U49" s="75">
        <v>0.68540349531417566</v>
      </c>
      <c r="V49" s="75">
        <v>20.888547302739767</v>
      </c>
      <c r="W49" s="75">
        <v>4.7024726858451465E-15</v>
      </c>
      <c r="X49" s="75">
        <v>12.887356695479703</v>
      </c>
      <c r="Y49" s="75">
        <v>15.746809971186963</v>
      </c>
      <c r="Z49" s="75">
        <v>12.887356695479703</v>
      </c>
      <c r="AA49" s="75">
        <v>15.746809971186963</v>
      </c>
    </row>
    <row r="50" spans="13:27" x14ac:dyDescent="0.25">
      <c r="M50" s="20"/>
      <c r="N50">
        <f t="shared" si="24"/>
        <v>1</v>
      </c>
      <c r="O50">
        <f t="shared" si="24"/>
        <v>-1</v>
      </c>
      <c r="P50">
        <f t="shared" si="25"/>
        <v>-1</v>
      </c>
      <c r="Q50" s="27">
        <v>54.37</v>
      </c>
      <c r="R50" s="27"/>
    </row>
    <row r="51" spans="13:27" x14ac:dyDescent="0.25">
      <c r="M51" s="20"/>
      <c r="N51">
        <f t="shared" si="24"/>
        <v>-1</v>
      </c>
      <c r="O51">
        <f t="shared" si="24"/>
        <v>1</v>
      </c>
      <c r="P51">
        <f t="shared" si="25"/>
        <v>-1</v>
      </c>
      <c r="Q51">
        <v>15.41</v>
      </c>
    </row>
    <row r="52" spans="13:27" x14ac:dyDescent="0.25">
      <c r="M52" s="20"/>
      <c r="N52">
        <f t="shared" si="24"/>
        <v>1</v>
      </c>
      <c r="O52">
        <f t="shared" si="24"/>
        <v>1</v>
      </c>
      <c r="P52">
        <f t="shared" si="25"/>
        <v>-1</v>
      </c>
      <c r="Q52">
        <v>36.99</v>
      </c>
    </row>
    <row r="53" spans="13:27" x14ac:dyDescent="0.25">
      <c r="M53" s="20"/>
      <c r="N53">
        <f t="shared" si="24"/>
        <v>-1</v>
      </c>
      <c r="O53">
        <f t="shared" si="24"/>
        <v>1</v>
      </c>
      <c r="P53">
        <f t="shared" si="25"/>
        <v>1</v>
      </c>
      <c r="Q53">
        <v>50.29</v>
      </c>
    </row>
    <row r="54" spans="13:27" x14ac:dyDescent="0.25">
      <c r="M54" s="20"/>
      <c r="N54">
        <f t="shared" si="24"/>
        <v>1</v>
      </c>
      <c r="O54">
        <f t="shared" si="24"/>
        <v>1</v>
      </c>
      <c r="P54">
        <f t="shared" si="25"/>
        <v>1</v>
      </c>
      <c r="Q54">
        <v>74.680000000000007</v>
      </c>
    </row>
  </sheetData>
  <mergeCells count="4">
    <mergeCell ref="W2:X2"/>
    <mergeCell ref="M31:M38"/>
    <mergeCell ref="M39:M46"/>
    <mergeCell ref="M47:M54"/>
  </mergeCells>
  <phoneticPr fontId="1" type="noConversion"/>
  <conditionalFormatting sqref="K22:K28">
    <cfRule type="cellIs" dxfId="1" priority="2" operator="greaterThan">
      <formula>$L$22</formula>
    </cfRule>
  </conditionalFormatting>
  <conditionalFormatting sqref="Q22:Q2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V34"/>
  <sheetViews>
    <sheetView tabSelected="1" topLeftCell="A4" zoomScaleNormal="100" workbookViewId="0">
      <selection activeCell="F26" sqref="F26"/>
    </sheetView>
  </sheetViews>
  <sheetFormatPr defaultRowHeight="16.5" x14ac:dyDescent="0.25"/>
  <cols>
    <col min="3" max="12" width="9" customWidth="1"/>
    <col min="15" max="15" width="11.75" customWidth="1"/>
    <col min="17" max="17" width="16.75" bestFit="1" customWidth="1"/>
  </cols>
  <sheetData>
    <row r="1" spans="1:22" ht="17.25" thickBot="1" x14ac:dyDescent="0.3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30" t="s">
        <v>187</v>
      </c>
      <c r="N1" s="5" t="s">
        <v>188</v>
      </c>
      <c r="O1" s="3" t="s">
        <v>189</v>
      </c>
      <c r="Q1" t="s">
        <v>187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30">
        <f t="shared" ref="M2:M19" si="2">10*LOG10(K2^2/L2^2)</f>
        <v>34.866131758820949</v>
      </c>
      <c r="N2" s="5" t="s">
        <v>9</v>
      </c>
      <c r="O2" s="3" t="s">
        <v>9</v>
      </c>
      <c r="Q2" s="32" t="s">
        <v>122</v>
      </c>
      <c r="R2" s="30" t="s">
        <v>119</v>
      </c>
      <c r="S2" s="30" t="s">
        <v>129</v>
      </c>
      <c r="T2" s="30" t="s">
        <v>130</v>
      </c>
      <c r="U2" s="30" t="s">
        <v>132</v>
      </c>
      <c r="V2" s="31" t="s">
        <v>174</v>
      </c>
    </row>
    <row r="3" spans="1:22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30">
        <f t="shared" si="2"/>
        <v>34.880962165031875</v>
      </c>
      <c r="N3" s="5">
        <v>18</v>
      </c>
      <c r="O3" s="3">
        <f>18</f>
        <v>18</v>
      </c>
      <c r="Q3" s="33" t="s">
        <v>190</v>
      </c>
      <c r="R3" s="27">
        <f>E24</f>
        <v>81.56784307394885</v>
      </c>
      <c r="S3" s="27">
        <v>2</v>
      </c>
      <c r="T3" s="27"/>
      <c r="U3" s="27"/>
      <c r="V3" s="28"/>
    </row>
    <row r="4" spans="1:22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30">
        <f t="shared" si="2"/>
        <v>39.675797239784998</v>
      </c>
      <c r="N4" s="5" t="s">
        <v>11</v>
      </c>
      <c r="O4" s="3" t="s">
        <v>11</v>
      </c>
      <c r="Q4" s="33" t="s">
        <v>191</v>
      </c>
      <c r="R4" s="27">
        <f>E26</f>
        <v>174.73674565798535</v>
      </c>
      <c r="S4" s="27">
        <v>2</v>
      </c>
      <c r="T4" s="27"/>
      <c r="U4" s="27"/>
      <c r="V4" s="28"/>
    </row>
    <row r="5" spans="1:22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30">
        <f t="shared" si="2"/>
        <v>46.921678295653393</v>
      </c>
      <c r="N5" s="5">
        <v>1</v>
      </c>
      <c r="O5" s="3">
        <v>3</v>
      </c>
      <c r="Q5" s="33" t="s">
        <v>192</v>
      </c>
      <c r="R5" s="27">
        <f>E28</f>
        <v>38.711288673239395</v>
      </c>
      <c r="S5" s="27">
        <v>2</v>
      </c>
      <c r="T5" s="27"/>
      <c r="U5" s="27"/>
      <c r="V5" s="28"/>
    </row>
    <row r="6" spans="1:22" x14ac:dyDescent="0.25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30">
        <f t="shared" si="2"/>
        <v>41.005955010313386</v>
      </c>
      <c r="N6" s="5" t="s">
        <v>105</v>
      </c>
      <c r="O6" s="3" t="s">
        <v>105</v>
      </c>
      <c r="Q6" s="33" t="s">
        <v>193</v>
      </c>
      <c r="R6" s="27">
        <f>E30</f>
        <v>117.1146523333019</v>
      </c>
      <c r="S6" s="17">
        <v>2</v>
      </c>
      <c r="T6" s="27"/>
      <c r="U6" s="27"/>
      <c r="V6" s="28"/>
    </row>
    <row r="7" spans="1:22" x14ac:dyDescent="0.25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30">
        <f t="shared" si="2"/>
        <v>34.110685078975358</v>
      </c>
      <c r="N7" s="5">
        <f>N3*N5</f>
        <v>18</v>
      </c>
      <c r="O7" s="3">
        <f>O3*O5</f>
        <v>54</v>
      </c>
      <c r="Q7" s="33" t="s">
        <v>194</v>
      </c>
      <c r="R7" s="27">
        <f>E32</f>
        <v>573.32057693741103</v>
      </c>
      <c r="S7" s="17">
        <v>2</v>
      </c>
      <c r="T7" s="27"/>
      <c r="U7" s="27"/>
      <c r="V7" s="28"/>
    </row>
    <row r="8" spans="1:22" x14ac:dyDescent="0.25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30">
        <f t="shared" si="2"/>
        <v>52.054330830149752</v>
      </c>
      <c r="Q8" s="33" t="s">
        <v>132</v>
      </c>
      <c r="R8" s="27">
        <f>E34</f>
        <v>9.9659815459927596</v>
      </c>
      <c r="S8" s="17">
        <v>2</v>
      </c>
      <c r="T8" s="27"/>
      <c r="U8" s="27"/>
      <c r="V8" s="28"/>
    </row>
    <row r="9" spans="1:22" x14ac:dyDescent="0.25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30">
        <f t="shared" si="2"/>
        <v>27.605139312389344</v>
      </c>
      <c r="Q9" s="33" t="s">
        <v>168</v>
      </c>
      <c r="R9" s="27"/>
      <c r="S9" s="27"/>
      <c r="T9" s="27"/>
      <c r="U9" s="27"/>
      <c r="V9" s="28"/>
    </row>
    <row r="10" spans="1:22" x14ac:dyDescent="0.25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30">
        <f t="shared" si="2"/>
        <v>45.985595164418541</v>
      </c>
      <c r="Q10" s="93" t="s">
        <v>163</v>
      </c>
      <c r="R10" s="91"/>
      <c r="S10" s="91"/>
      <c r="T10" s="91"/>
      <c r="U10" s="91"/>
      <c r="V10" s="92"/>
    </row>
    <row r="11" spans="1:22" ht="17.25" thickBot="1" x14ac:dyDescent="0.3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30">
        <f t="shared" si="2"/>
        <v>44.77475363828033</v>
      </c>
      <c r="Q11" s="34"/>
      <c r="R11" s="6"/>
      <c r="S11" s="6"/>
      <c r="T11" s="6"/>
      <c r="U11" s="6"/>
      <c r="V11" s="29"/>
    </row>
    <row r="12" spans="1:22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30">
        <f t="shared" si="2"/>
        <v>45.903535532871814</v>
      </c>
    </row>
    <row r="13" spans="1:22" ht="17.25" thickBot="1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30">
        <f t="shared" si="2"/>
        <v>37.547614394875183</v>
      </c>
      <c r="Q13" t="s">
        <v>217</v>
      </c>
    </row>
    <row r="14" spans="1:22" x14ac:dyDescent="0.25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30">
        <f t="shared" si="2"/>
        <v>37.197495663907716</v>
      </c>
      <c r="Q14" s="32" t="s">
        <v>122</v>
      </c>
      <c r="R14" s="30" t="s">
        <v>119</v>
      </c>
      <c r="S14" s="30" t="s">
        <v>129</v>
      </c>
      <c r="T14" s="30" t="s">
        <v>130</v>
      </c>
      <c r="U14" s="30" t="s">
        <v>132</v>
      </c>
      <c r="V14" s="31" t="s">
        <v>174</v>
      </c>
    </row>
    <row r="15" spans="1:22" x14ac:dyDescent="0.25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30">
        <f t="shared" si="2"/>
        <v>45.499333710234126</v>
      </c>
      <c r="Q15" s="33" t="s">
        <v>190</v>
      </c>
      <c r="R15" s="27">
        <f>L24</f>
        <v>11504394.481481489</v>
      </c>
      <c r="S15" s="27">
        <v>2</v>
      </c>
      <c r="T15" s="27"/>
      <c r="U15" s="27"/>
      <c r="V15" s="28"/>
    </row>
    <row r="16" spans="1:22" x14ac:dyDescent="0.25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30">
        <f t="shared" si="2"/>
        <v>36.255720134339221</v>
      </c>
      <c r="Q16" s="33" t="s">
        <v>191</v>
      </c>
      <c r="R16" s="27">
        <f>L26</f>
        <v>21897229.148148157</v>
      </c>
      <c r="S16" s="27">
        <v>2</v>
      </c>
      <c r="T16" s="27"/>
      <c r="U16" s="27"/>
      <c r="V16" s="28"/>
    </row>
    <row r="17" spans="1:22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30">
        <f t="shared" si="2"/>
        <v>53.863818299568003</v>
      </c>
      <c r="Q17" s="33" t="s">
        <v>192</v>
      </c>
      <c r="R17" s="27">
        <f>L28</f>
        <v>11053419.148148151</v>
      </c>
      <c r="S17" s="27">
        <v>2</v>
      </c>
      <c r="T17" s="27"/>
      <c r="U17" s="27"/>
      <c r="V17" s="28"/>
    </row>
    <row r="18" spans="1:22" x14ac:dyDescent="0.25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30">
        <f t="shared" si="2"/>
        <v>29.245916237207055</v>
      </c>
      <c r="Q18" s="33" t="s">
        <v>193</v>
      </c>
      <c r="R18" s="27">
        <f>L30</f>
        <v>18775153.925925925</v>
      </c>
      <c r="S18" s="27">
        <v>2</v>
      </c>
      <c r="T18" s="27"/>
      <c r="U18" s="27"/>
      <c r="V18" s="28"/>
    </row>
    <row r="19" spans="1:22" x14ac:dyDescent="0.25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30">
        <f t="shared" si="2"/>
        <v>57.504472774037666</v>
      </c>
      <c r="Q19" s="33" t="s">
        <v>194</v>
      </c>
      <c r="R19" s="27">
        <f>L32</f>
        <v>852755.70370370476</v>
      </c>
      <c r="S19" s="27">
        <v>2</v>
      </c>
      <c r="T19" s="27"/>
      <c r="U19" s="27"/>
      <c r="V19" s="28"/>
    </row>
    <row r="20" spans="1:22" x14ac:dyDescent="0.25">
      <c r="H20" s="3"/>
      <c r="I20" s="3"/>
      <c r="J20" s="3" t="s">
        <v>7</v>
      </c>
      <c r="M20" s="130" t="s">
        <v>7</v>
      </c>
      <c r="Q20" s="33" t="s">
        <v>132</v>
      </c>
      <c r="R20" s="27">
        <f>L34</f>
        <v>4453178.9259259272</v>
      </c>
      <c r="S20" s="27">
        <v>2</v>
      </c>
      <c r="T20" s="27"/>
      <c r="U20" s="27"/>
      <c r="V20" s="28"/>
    </row>
    <row r="21" spans="1:22" x14ac:dyDescent="0.25">
      <c r="H21" s="129"/>
      <c r="I21" s="129"/>
      <c r="J21" s="129">
        <f>AVERAGE(H2:J19)</f>
        <v>3577.0925925925926</v>
      </c>
      <c r="M21" s="130">
        <f>AVERAGE(M2:M19)</f>
        <v>41.383274180047714</v>
      </c>
      <c r="Q21" s="33" t="s">
        <v>168</v>
      </c>
      <c r="R21" s="27"/>
      <c r="S21" s="27"/>
      <c r="T21" s="27"/>
      <c r="U21" s="27"/>
      <c r="V21" s="28"/>
    </row>
    <row r="22" spans="1:22" x14ac:dyDescent="0.25">
      <c r="A22" s="127" t="s">
        <v>188</v>
      </c>
      <c r="B22" s="127"/>
      <c r="C22" s="127"/>
      <c r="D22" s="127"/>
      <c r="E22" s="127"/>
      <c r="F22" s="127"/>
      <c r="H22" s="128" t="s">
        <v>189</v>
      </c>
      <c r="I22" s="128"/>
      <c r="J22" s="128"/>
      <c r="K22" s="128"/>
      <c r="L22" s="128"/>
      <c r="Q22" s="93" t="s">
        <v>163</v>
      </c>
      <c r="R22" s="91"/>
      <c r="S22" s="91"/>
      <c r="T22" s="91"/>
      <c r="U22" s="91"/>
      <c r="V22" s="92"/>
    </row>
    <row r="23" spans="1:22" ht="17.25" thickBot="1" x14ac:dyDescent="0.3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Q23" s="34"/>
      <c r="R23" s="6"/>
      <c r="S23" s="6"/>
      <c r="T23" s="6"/>
      <c r="U23" s="6"/>
      <c r="V23" s="29"/>
    </row>
    <row r="24" spans="1:22" x14ac:dyDescent="0.25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2" x14ac:dyDescent="0.25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2" x14ac:dyDescent="0.25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2" x14ac:dyDescent="0.25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2" x14ac:dyDescent="0.25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2" x14ac:dyDescent="0.25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2" x14ac:dyDescent="0.25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2" x14ac:dyDescent="0.25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2" x14ac:dyDescent="0.25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25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2">
    <mergeCell ref="H22:L22"/>
    <mergeCell ref="A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1-1</vt:lpstr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2024-05-23T10:11:52Z</dcterms:modified>
</cp:coreProperties>
</file>