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12\"/>
    </mc:Choice>
  </mc:AlternateContent>
  <bookViews>
    <workbookView xWindow="0" yWindow="0" windowWidth="23040" windowHeight="9345" firstSheet="4" activeTab="15"/>
  </bookViews>
  <sheets>
    <sheet name="example" sheetId="3" r:id="rId1"/>
    <sheet name="1" sheetId="1" r:id="rId2"/>
    <sheet name="1-anova" sheetId="5" r:id="rId3"/>
    <sheet name="工作表5" sheetId="14" r:id="rId4"/>
    <sheet name="工作表6" sheetId="15" r:id="rId5"/>
    <sheet name="工作表7" sheetId="16" r:id="rId6"/>
    <sheet name="2" sheetId="2" r:id="rId7"/>
    <sheet name="2-anova" sheetId="6" r:id="rId8"/>
    <sheet name="工作表9" sheetId="9" r:id="rId9"/>
    <sheet name="工作表1" sheetId="10" r:id="rId10"/>
    <sheet name="工作表4" sheetId="13" r:id="rId11"/>
    <sheet name="3" sheetId="7" r:id="rId12"/>
    <sheet name="工作表12" sheetId="20" r:id="rId13"/>
    <sheet name="工作表13" sheetId="21" r:id="rId14"/>
    <sheet name="工作表14" sheetId="22" r:id="rId15"/>
    <sheet name="4" sheetId="17" r:id="rId16"/>
    <sheet name="4-anov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7" l="1"/>
  <c r="P3" i="17"/>
  <c r="Q3" i="17"/>
  <c r="O4" i="17"/>
  <c r="P4" i="17"/>
  <c r="Q4" i="17"/>
  <c r="O5" i="17"/>
  <c r="P5" i="17"/>
  <c r="Q5" i="17"/>
  <c r="O6" i="17"/>
  <c r="P6" i="17"/>
  <c r="Q6" i="17"/>
  <c r="O7" i="17"/>
  <c r="P7" i="17"/>
  <c r="Q7" i="17"/>
  <c r="O8" i="17"/>
  <c r="P8" i="17"/>
  <c r="Q8" i="17"/>
  <c r="O9" i="17"/>
  <c r="P9" i="17"/>
  <c r="Q9" i="17"/>
  <c r="O10" i="17"/>
  <c r="P10" i="17"/>
  <c r="Q10" i="17"/>
  <c r="O11" i="17"/>
  <c r="P11" i="17"/>
  <c r="Q11" i="17"/>
  <c r="O12" i="17"/>
  <c r="P12" i="17"/>
  <c r="Q12" i="17"/>
  <c r="O13" i="17"/>
  <c r="P13" i="17"/>
  <c r="Q13" i="17"/>
  <c r="O14" i="17"/>
  <c r="P14" i="17"/>
  <c r="Q14" i="17"/>
  <c r="O15" i="17"/>
  <c r="P15" i="17"/>
  <c r="Q15" i="17"/>
  <c r="O16" i="17"/>
  <c r="P16" i="17"/>
  <c r="Q16" i="17"/>
  <c r="O17" i="17"/>
  <c r="P17" i="17"/>
  <c r="Q17" i="17"/>
  <c r="O18" i="17"/>
  <c r="P18" i="17"/>
  <c r="Q18" i="17"/>
  <c r="O19" i="17"/>
  <c r="P19" i="17"/>
  <c r="Q19" i="17"/>
  <c r="O20" i="17"/>
  <c r="P20" i="17"/>
  <c r="Q20" i="17"/>
  <c r="O21" i="17"/>
  <c r="P21" i="17"/>
  <c r="Q21" i="17"/>
  <c r="O22" i="17"/>
  <c r="P22" i="17"/>
  <c r="Q22" i="17"/>
  <c r="O23" i="17"/>
  <c r="P23" i="17"/>
  <c r="Q23" i="17"/>
  <c r="O24" i="17"/>
  <c r="P24" i="17"/>
  <c r="Q24" i="17"/>
  <c r="O25" i="17"/>
  <c r="P25" i="17"/>
  <c r="Q25" i="17"/>
  <c r="O26" i="17"/>
  <c r="P26" i="17"/>
  <c r="Q26" i="17"/>
  <c r="O27" i="17"/>
  <c r="P27" i="17"/>
  <c r="Q27" i="17"/>
  <c r="O28" i="17"/>
  <c r="P28" i="17"/>
  <c r="Q28" i="17"/>
  <c r="O29" i="17"/>
  <c r="P29" i="17"/>
  <c r="Q29" i="17"/>
  <c r="O30" i="17"/>
  <c r="P30" i="17"/>
  <c r="Q30" i="17"/>
  <c r="O31" i="17"/>
  <c r="P31" i="17"/>
  <c r="Q31" i="17"/>
  <c r="O32" i="17"/>
  <c r="P32" i="17"/>
  <c r="Q32" i="17"/>
  <c r="O33" i="17"/>
  <c r="P33" i="17"/>
  <c r="Q33" i="17"/>
  <c r="O34" i="17"/>
  <c r="P34" i="17"/>
  <c r="Q34" i="17"/>
  <c r="O35" i="17"/>
  <c r="P35" i="17"/>
  <c r="Q35" i="17"/>
  <c r="O36" i="17"/>
  <c r="P36" i="17"/>
  <c r="Q36" i="17"/>
  <c r="O37" i="17"/>
  <c r="P37" i="17"/>
  <c r="Q37" i="17"/>
  <c r="O38" i="17"/>
  <c r="P38" i="17"/>
  <c r="Q38" i="17"/>
  <c r="O39" i="17"/>
  <c r="P39" i="17"/>
  <c r="Q39" i="17"/>
  <c r="O40" i="17"/>
  <c r="P40" i="17"/>
  <c r="Q40" i="17"/>
  <c r="O41" i="17"/>
  <c r="P41" i="17"/>
  <c r="Q41" i="17"/>
  <c r="O42" i="17"/>
  <c r="P42" i="17"/>
  <c r="Q42" i="17"/>
  <c r="O43" i="17"/>
  <c r="P43" i="17"/>
  <c r="Q43" i="17"/>
  <c r="O44" i="17"/>
  <c r="P44" i="17"/>
  <c r="Q44" i="17"/>
  <c r="O45" i="17"/>
  <c r="P45" i="17"/>
  <c r="Q45" i="17"/>
  <c r="O46" i="17"/>
  <c r="P46" i="17"/>
  <c r="Q46" i="17"/>
  <c r="O47" i="17"/>
  <c r="P47" i="17"/>
  <c r="Q47" i="17"/>
  <c r="O48" i="17"/>
  <c r="P48" i="17"/>
  <c r="Q48" i="17"/>
  <c r="O49" i="17"/>
  <c r="P49" i="17"/>
  <c r="Q49" i="17"/>
  <c r="O50" i="17"/>
  <c r="P50" i="17"/>
  <c r="Q50" i="17"/>
  <c r="O51" i="17"/>
  <c r="P51" i="17"/>
  <c r="Q51" i="17"/>
  <c r="O52" i="17"/>
  <c r="P52" i="17"/>
  <c r="Q52" i="17"/>
  <c r="O53" i="17"/>
  <c r="P53" i="17"/>
  <c r="Q53" i="17"/>
  <c r="O54" i="17"/>
  <c r="P54" i="17"/>
  <c r="Q54" i="17"/>
  <c r="O55" i="17"/>
  <c r="P55" i="17"/>
  <c r="Q55" i="17"/>
  <c r="O56" i="17"/>
  <c r="P56" i="17"/>
  <c r="Q56" i="17"/>
  <c r="O57" i="17"/>
  <c r="P57" i="17"/>
  <c r="Q57" i="17"/>
  <c r="O58" i="17"/>
  <c r="P58" i="17"/>
  <c r="Q58" i="17"/>
  <c r="O59" i="17"/>
  <c r="P59" i="17"/>
  <c r="Q59" i="17"/>
  <c r="O60" i="17"/>
  <c r="P60" i="17"/>
  <c r="Q60" i="17"/>
  <c r="O61" i="17"/>
  <c r="P61" i="17"/>
  <c r="Q61" i="17"/>
  <c r="O62" i="17"/>
  <c r="P62" i="17"/>
  <c r="Q62" i="17"/>
  <c r="O63" i="17"/>
  <c r="P63" i="17"/>
  <c r="Q63" i="17"/>
  <c r="O64" i="17"/>
  <c r="P64" i="17"/>
  <c r="Q64" i="17"/>
  <c r="O65" i="17"/>
  <c r="P65" i="17"/>
  <c r="Q65" i="17"/>
  <c r="O66" i="17"/>
  <c r="P66" i="17"/>
  <c r="Q66" i="17"/>
  <c r="O67" i="17"/>
  <c r="P67" i="17"/>
  <c r="Q67" i="17"/>
  <c r="O68" i="17"/>
  <c r="P68" i="17"/>
  <c r="Q68" i="17"/>
  <c r="O69" i="17"/>
  <c r="P69" i="17"/>
  <c r="Q69" i="17"/>
  <c r="O70" i="17"/>
  <c r="P70" i="17"/>
  <c r="Q70" i="17"/>
  <c r="O71" i="17"/>
  <c r="P71" i="17"/>
  <c r="Q71" i="17"/>
  <c r="O72" i="17"/>
  <c r="P72" i="17"/>
  <c r="Q72" i="17"/>
  <c r="O73" i="17"/>
  <c r="P73" i="17"/>
  <c r="Q73" i="17"/>
  <c r="O74" i="17"/>
  <c r="P74" i="17"/>
  <c r="Q74" i="17"/>
  <c r="O75" i="17"/>
  <c r="P75" i="17"/>
  <c r="Q75" i="17"/>
  <c r="O76" i="17"/>
  <c r="P76" i="17"/>
  <c r="Q76" i="17"/>
  <c r="O77" i="17"/>
  <c r="P77" i="17"/>
  <c r="Q77" i="17"/>
  <c r="O78" i="17"/>
  <c r="P78" i="17"/>
  <c r="Q78" i="17"/>
  <c r="O79" i="17"/>
  <c r="P79" i="17"/>
  <c r="Q79" i="17"/>
  <c r="O80" i="17"/>
  <c r="P80" i="17"/>
  <c r="Q80" i="17"/>
  <c r="O81" i="17"/>
  <c r="P81" i="17"/>
  <c r="Q81" i="17"/>
  <c r="O82" i="17"/>
  <c r="P82" i="17"/>
  <c r="Q82" i="17"/>
  <c r="O83" i="17"/>
  <c r="P83" i="17"/>
  <c r="Q83" i="17"/>
  <c r="O84" i="17"/>
  <c r="P84" i="17"/>
  <c r="Q84" i="17"/>
  <c r="O85" i="17"/>
  <c r="P85" i="17"/>
  <c r="Q85" i="17"/>
  <c r="O86" i="17"/>
  <c r="P86" i="17"/>
  <c r="Q86" i="17"/>
  <c r="O87" i="17"/>
  <c r="P87" i="17"/>
  <c r="Q87" i="17"/>
  <c r="O88" i="17"/>
  <c r="P88" i="17"/>
  <c r="Q88" i="17"/>
  <c r="O89" i="17"/>
  <c r="P89" i="17"/>
  <c r="Q89" i="17"/>
  <c r="O90" i="17"/>
  <c r="P90" i="17"/>
  <c r="Q90" i="17"/>
  <c r="O91" i="17"/>
  <c r="P91" i="17"/>
  <c r="Q91" i="17"/>
  <c r="O92" i="17"/>
  <c r="P92" i="17"/>
  <c r="Q92" i="17"/>
  <c r="O93" i="17"/>
  <c r="P93" i="17"/>
  <c r="Q93" i="17"/>
  <c r="O94" i="17"/>
  <c r="P94" i="17"/>
  <c r="Q94" i="17"/>
  <c r="O95" i="17"/>
  <c r="P95" i="17"/>
  <c r="Q95" i="17"/>
  <c r="O96" i="17"/>
  <c r="P96" i="17"/>
  <c r="Q96" i="17"/>
  <c r="O97" i="17"/>
  <c r="P97" i="17"/>
  <c r="Q97" i="17"/>
  <c r="O98" i="17"/>
  <c r="P98" i="17"/>
  <c r="Q98" i="17"/>
  <c r="O99" i="17"/>
  <c r="P99" i="17"/>
  <c r="Q99" i="17"/>
  <c r="O100" i="17"/>
  <c r="P100" i="17"/>
  <c r="Q100" i="17"/>
  <c r="O101" i="17"/>
  <c r="P101" i="17"/>
  <c r="Q101" i="17"/>
  <c r="Q2" i="17"/>
  <c r="P2" i="17"/>
  <c r="O2" i="17"/>
  <c r="I3" i="17"/>
  <c r="J3" i="17"/>
  <c r="K3" i="17"/>
  <c r="L3" i="17"/>
  <c r="M3" i="17"/>
  <c r="N3" i="17"/>
  <c r="I4" i="17"/>
  <c r="J4" i="17"/>
  <c r="K4" i="17"/>
  <c r="L4" i="17"/>
  <c r="M4" i="17"/>
  <c r="N4" i="17"/>
  <c r="I5" i="17"/>
  <c r="J5" i="17"/>
  <c r="K5" i="17"/>
  <c r="L5" i="17"/>
  <c r="M5" i="17"/>
  <c r="N5" i="17"/>
  <c r="I6" i="17"/>
  <c r="J6" i="17"/>
  <c r="K6" i="17"/>
  <c r="L6" i="17"/>
  <c r="M6" i="17"/>
  <c r="N6" i="17"/>
  <c r="I7" i="17"/>
  <c r="J7" i="17"/>
  <c r="K7" i="17"/>
  <c r="L7" i="17"/>
  <c r="M7" i="17"/>
  <c r="N7" i="17"/>
  <c r="I8" i="17"/>
  <c r="J8" i="17"/>
  <c r="K8" i="17"/>
  <c r="L8" i="17"/>
  <c r="M8" i="17"/>
  <c r="N8" i="17"/>
  <c r="I9" i="17"/>
  <c r="J9" i="17"/>
  <c r="K9" i="17"/>
  <c r="L9" i="17"/>
  <c r="M9" i="17"/>
  <c r="N9" i="17"/>
  <c r="I10" i="17"/>
  <c r="J10" i="17"/>
  <c r="K10" i="17"/>
  <c r="L10" i="17"/>
  <c r="M10" i="17"/>
  <c r="N10" i="17"/>
  <c r="I11" i="17"/>
  <c r="J11" i="17"/>
  <c r="K11" i="17"/>
  <c r="L11" i="17"/>
  <c r="M11" i="17"/>
  <c r="N11" i="17"/>
  <c r="I12" i="17"/>
  <c r="J12" i="17"/>
  <c r="K12" i="17"/>
  <c r="L12" i="17"/>
  <c r="M12" i="17"/>
  <c r="N12" i="17"/>
  <c r="I13" i="17"/>
  <c r="J13" i="17"/>
  <c r="K13" i="17"/>
  <c r="L13" i="17"/>
  <c r="M13" i="17"/>
  <c r="N13" i="17"/>
  <c r="I14" i="17"/>
  <c r="J14" i="17"/>
  <c r="K14" i="17"/>
  <c r="L14" i="17"/>
  <c r="M14" i="17"/>
  <c r="N14" i="17"/>
  <c r="I15" i="17"/>
  <c r="J15" i="17"/>
  <c r="K15" i="17"/>
  <c r="L15" i="17"/>
  <c r="M15" i="17"/>
  <c r="N15" i="17"/>
  <c r="I16" i="17"/>
  <c r="J16" i="17"/>
  <c r="K16" i="17"/>
  <c r="L16" i="17"/>
  <c r="M16" i="17"/>
  <c r="N16" i="17"/>
  <c r="I17" i="17"/>
  <c r="J17" i="17"/>
  <c r="K17" i="17"/>
  <c r="L17" i="17"/>
  <c r="M17" i="17"/>
  <c r="N17" i="17"/>
  <c r="I18" i="17"/>
  <c r="J18" i="17"/>
  <c r="K18" i="17"/>
  <c r="L18" i="17"/>
  <c r="M18" i="17"/>
  <c r="N18" i="17"/>
  <c r="I19" i="17"/>
  <c r="J19" i="17"/>
  <c r="K19" i="17"/>
  <c r="L19" i="17"/>
  <c r="M19" i="17"/>
  <c r="N19" i="17"/>
  <c r="I20" i="17"/>
  <c r="J20" i="17"/>
  <c r="K20" i="17"/>
  <c r="L20" i="17"/>
  <c r="M20" i="17"/>
  <c r="N20" i="17"/>
  <c r="I21" i="17"/>
  <c r="J21" i="17"/>
  <c r="K21" i="17"/>
  <c r="L21" i="17"/>
  <c r="M21" i="17"/>
  <c r="N21" i="17"/>
  <c r="I22" i="17"/>
  <c r="J22" i="17"/>
  <c r="K22" i="17"/>
  <c r="L22" i="17"/>
  <c r="M22" i="17"/>
  <c r="N22" i="17"/>
  <c r="I23" i="17"/>
  <c r="J23" i="17"/>
  <c r="K23" i="17"/>
  <c r="L23" i="17"/>
  <c r="M23" i="17"/>
  <c r="N23" i="17"/>
  <c r="I24" i="17"/>
  <c r="J24" i="17"/>
  <c r="K24" i="17"/>
  <c r="L24" i="17"/>
  <c r="M24" i="17"/>
  <c r="N24" i="17"/>
  <c r="I25" i="17"/>
  <c r="J25" i="17"/>
  <c r="K25" i="17"/>
  <c r="L25" i="17"/>
  <c r="M25" i="17"/>
  <c r="N25" i="17"/>
  <c r="I26" i="17"/>
  <c r="J26" i="17"/>
  <c r="K26" i="17"/>
  <c r="L26" i="17"/>
  <c r="M26" i="17"/>
  <c r="N26" i="17"/>
  <c r="I27" i="17"/>
  <c r="J27" i="17"/>
  <c r="K27" i="17"/>
  <c r="L27" i="17"/>
  <c r="M27" i="17"/>
  <c r="N27" i="17"/>
  <c r="I28" i="17"/>
  <c r="J28" i="17"/>
  <c r="K28" i="17"/>
  <c r="L28" i="17"/>
  <c r="M28" i="17"/>
  <c r="N28" i="17"/>
  <c r="I29" i="17"/>
  <c r="J29" i="17"/>
  <c r="K29" i="17"/>
  <c r="L29" i="17"/>
  <c r="M29" i="17"/>
  <c r="N29" i="17"/>
  <c r="I30" i="17"/>
  <c r="J30" i="17"/>
  <c r="K30" i="17"/>
  <c r="L30" i="17"/>
  <c r="M30" i="17"/>
  <c r="N30" i="17"/>
  <c r="I31" i="17"/>
  <c r="J31" i="17"/>
  <c r="K31" i="17"/>
  <c r="L31" i="17"/>
  <c r="M31" i="17"/>
  <c r="N31" i="17"/>
  <c r="I32" i="17"/>
  <c r="J32" i="17"/>
  <c r="K32" i="17"/>
  <c r="L32" i="17"/>
  <c r="M32" i="17"/>
  <c r="N32" i="17"/>
  <c r="I33" i="17"/>
  <c r="J33" i="17"/>
  <c r="K33" i="17"/>
  <c r="L33" i="17"/>
  <c r="M33" i="17"/>
  <c r="N33" i="17"/>
  <c r="I34" i="17"/>
  <c r="J34" i="17"/>
  <c r="K34" i="17"/>
  <c r="L34" i="17"/>
  <c r="M34" i="17"/>
  <c r="N34" i="17"/>
  <c r="I35" i="17"/>
  <c r="J35" i="17"/>
  <c r="K35" i="17"/>
  <c r="L35" i="17"/>
  <c r="M35" i="17"/>
  <c r="N35" i="17"/>
  <c r="I36" i="17"/>
  <c r="J36" i="17"/>
  <c r="K36" i="17"/>
  <c r="L36" i="17"/>
  <c r="M36" i="17"/>
  <c r="N36" i="17"/>
  <c r="I37" i="17"/>
  <c r="J37" i="17"/>
  <c r="K37" i="17"/>
  <c r="L37" i="17"/>
  <c r="M37" i="17"/>
  <c r="N37" i="17"/>
  <c r="I38" i="17"/>
  <c r="J38" i="17"/>
  <c r="K38" i="17"/>
  <c r="L38" i="17"/>
  <c r="M38" i="17"/>
  <c r="N38" i="17"/>
  <c r="I39" i="17"/>
  <c r="J39" i="17"/>
  <c r="K39" i="17"/>
  <c r="L39" i="17"/>
  <c r="M39" i="17"/>
  <c r="N39" i="17"/>
  <c r="I40" i="17"/>
  <c r="J40" i="17"/>
  <c r="K40" i="17"/>
  <c r="L40" i="17"/>
  <c r="M40" i="17"/>
  <c r="N40" i="17"/>
  <c r="I41" i="17"/>
  <c r="J41" i="17"/>
  <c r="K41" i="17"/>
  <c r="L41" i="17"/>
  <c r="M41" i="17"/>
  <c r="N41" i="17"/>
  <c r="I42" i="17"/>
  <c r="J42" i="17"/>
  <c r="K42" i="17"/>
  <c r="L42" i="17"/>
  <c r="M42" i="17"/>
  <c r="N42" i="17"/>
  <c r="I43" i="17"/>
  <c r="J43" i="17"/>
  <c r="K43" i="17"/>
  <c r="L43" i="17"/>
  <c r="M43" i="17"/>
  <c r="N43" i="17"/>
  <c r="I44" i="17"/>
  <c r="J44" i="17"/>
  <c r="K44" i="17"/>
  <c r="L44" i="17"/>
  <c r="M44" i="17"/>
  <c r="N44" i="17"/>
  <c r="I45" i="17"/>
  <c r="J45" i="17"/>
  <c r="K45" i="17"/>
  <c r="L45" i="17"/>
  <c r="M45" i="17"/>
  <c r="N45" i="17"/>
  <c r="I46" i="17"/>
  <c r="J46" i="17"/>
  <c r="K46" i="17"/>
  <c r="L46" i="17"/>
  <c r="M46" i="17"/>
  <c r="N46" i="17"/>
  <c r="I47" i="17"/>
  <c r="J47" i="17"/>
  <c r="K47" i="17"/>
  <c r="L47" i="17"/>
  <c r="M47" i="17"/>
  <c r="N47" i="17"/>
  <c r="I48" i="17"/>
  <c r="J48" i="17"/>
  <c r="K48" i="17"/>
  <c r="L48" i="17"/>
  <c r="M48" i="17"/>
  <c r="N48" i="17"/>
  <c r="I49" i="17"/>
  <c r="J49" i="17"/>
  <c r="K49" i="17"/>
  <c r="L49" i="17"/>
  <c r="M49" i="17"/>
  <c r="N49" i="17"/>
  <c r="I50" i="17"/>
  <c r="J50" i="17"/>
  <c r="K50" i="17"/>
  <c r="L50" i="17"/>
  <c r="M50" i="17"/>
  <c r="N50" i="17"/>
  <c r="I51" i="17"/>
  <c r="J51" i="17"/>
  <c r="K51" i="17"/>
  <c r="L51" i="17"/>
  <c r="M51" i="17"/>
  <c r="N51" i="17"/>
  <c r="I52" i="17"/>
  <c r="J52" i="17"/>
  <c r="K52" i="17"/>
  <c r="L52" i="17"/>
  <c r="M52" i="17"/>
  <c r="N52" i="17"/>
  <c r="I53" i="17"/>
  <c r="J53" i="17"/>
  <c r="K53" i="17"/>
  <c r="L53" i="17"/>
  <c r="M53" i="17"/>
  <c r="N53" i="17"/>
  <c r="I54" i="17"/>
  <c r="J54" i="17"/>
  <c r="K54" i="17"/>
  <c r="L54" i="17"/>
  <c r="M54" i="17"/>
  <c r="N54" i="17"/>
  <c r="I55" i="17"/>
  <c r="J55" i="17"/>
  <c r="K55" i="17"/>
  <c r="L55" i="17"/>
  <c r="M55" i="17"/>
  <c r="N55" i="17"/>
  <c r="I56" i="17"/>
  <c r="J56" i="17"/>
  <c r="K56" i="17"/>
  <c r="L56" i="17"/>
  <c r="M56" i="17"/>
  <c r="N56" i="17"/>
  <c r="I57" i="17"/>
  <c r="J57" i="17"/>
  <c r="K57" i="17"/>
  <c r="L57" i="17"/>
  <c r="M57" i="17"/>
  <c r="N57" i="17"/>
  <c r="I58" i="17"/>
  <c r="J58" i="17"/>
  <c r="K58" i="17"/>
  <c r="L58" i="17"/>
  <c r="M58" i="17"/>
  <c r="N58" i="17"/>
  <c r="I59" i="17"/>
  <c r="J59" i="17"/>
  <c r="K59" i="17"/>
  <c r="L59" i="17"/>
  <c r="M59" i="17"/>
  <c r="N59" i="17"/>
  <c r="I60" i="17"/>
  <c r="J60" i="17"/>
  <c r="K60" i="17"/>
  <c r="L60" i="17"/>
  <c r="M60" i="17"/>
  <c r="N60" i="17"/>
  <c r="I61" i="17"/>
  <c r="J61" i="17"/>
  <c r="K61" i="17"/>
  <c r="L61" i="17"/>
  <c r="M61" i="17"/>
  <c r="N61" i="17"/>
  <c r="I62" i="17"/>
  <c r="J62" i="17"/>
  <c r="K62" i="17"/>
  <c r="L62" i="17"/>
  <c r="M62" i="17"/>
  <c r="N62" i="17"/>
  <c r="I63" i="17"/>
  <c r="J63" i="17"/>
  <c r="K63" i="17"/>
  <c r="L63" i="17"/>
  <c r="M63" i="17"/>
  <c r="N63" i="17"/>
  <c r="I64" i="17"/>
  <c r="J64" i="17"/>
  <c r="K64" i="17"/>
  <c r="L64" i="17"/>
  <c r="M64" i="17"/>
  <c r="N64" i="17"/>
  <c r="I65" i="17"/>
  <c r="J65" i="17"/>
  <c r="K65" i="17"/>
  <c r="L65" i="17"/>
  <c r="M65" i="17"/>
  <c r="N65" i="17"/>
  <c r="I66" i="17"/>
  <c r="J66" i="17"/>
  <c r="K66" i="17"/>
  <c r="L66" i="17"/>
  <c r="M66" i="17"/>
  <c r="N66" i="17"/>
  <c r="I67" i="17"/>
  <c r="J67" i="17"/>
  <c r="K67" i="17"/>
  <c r="L67" i="17"/>
  <c r="M67" i="17"/>
  <c r="N67" i="17"/>
  <c r="I68" i="17"/>
  <c r="J68" i="17"/>
  <c r="K68" i="17"/>
  <c r="L68" i="17"/>
  <c r="M68" i="17"/>
  <c r="N68" i="17"/>
  <c r="I69" i="17"/>
  <c r="J69" i="17"/>
  <c r="K69" i="17"/>
  <c r="L69" i="17"/>
  <c r="M69" i="17"/>
  <c r="N69" i="17"/>
  <c r="I70" i="17"/>
  <c r="J70" i="17"/>
  <c r="K70" i="17"/>
  <c r="L70" i="17"/>
  <c r="M70" i="17"/>
  <c r="N70" i="17"/>
  <c r="I71" i="17"/>
  <c r="J71" i="17"/>
  <c r="K71" i="17"/>
  <c r="L71" i="17"/>
  <c r="M71" i="17"/>
  <c r="N71" i="17"/>
  <c r="I72" i="17"/>
  <c r="J72" i="17"/>
  <c r="K72" i="17"/>
  <c r="L72" i="17"/>
  <c r="M72" i="17"/>
  <c r="N72" i="17"/>
  <c r="I73" i="17"/>
  <c r="J73" i="17"/>
  <c r="K73" i="17"/>
  <c r="L73" i="17"/>
  <c r="M73" i="17"/>
  <c r="N73" i="17"/>
  <c r="I74" i="17"/>
  <c r="J74" i="17"/>
  <c r="K74" i="17"/>
  <c r="L74" i="17"/>
  <c r="M74" i="17"/>
  <c r="N74" i="17"/>
  <c r="I75" i="17"/>
  <c r="J75" i="17"/>
  <c r="K75" i="17"/>
  <c r="L75" i="17"/>
  <c r="M75" i="17"/>
  <c r="N75" i="17"/>
  <c r="I76" i="17"/>
  <c r="J76" i="17"/>
  <c r="K76" i="17"/>
  <c r="L76" i="17"/>
  <c r="M76" i="17"/>
  <c r="N76" i="17"/>
  <c r="I77" i="17"/>
  <c r="J77" i="17"/>
  <c r="K77" i="17"/>
  <c r="L77" i="17"/>
  <c r="M77" i="17"/>
  <c r="N77" i="17"/>
  <c r="I78" i="17"/>
  <c r="J78" i="17"/>
  <c r="K78" i="17"/>
  <c r="L78" i="17"/>
  <c r="M78" i="17"/>
  <c r="N78" i="17"/>
  <c r="I79" i="17"/>
  <c r="J79" i="17"/>
  <c r="K79" i="17"/>
  <c r="L79" i="17"/>
  <c r="M79" i="17"/>
  <c r="N79" i="17"/>
  <c r="I80" i="17"/>
  <c r="J80" i="17"/>
  <c r="K80" i="17"/>
  <c r="L80" i="17"/>
  <c r="M80" i="17"/>
  <c r="N80" i="17"/>
  <c r="I81" i="17"/>
  <c r="J81" i="17"/>
  <c r="K81" i="17"/>
  <c r="L81" i="17"/>
  <c r="M81" i="17"/>
  <c r="N81" i="17"/>
  <c r="I82" i="17"/>
  <c r="J82" i="17"/>
  <c r="K82" i="17"/>
  <c r="L82" i="17"/>
  <c r="M82" i="17"/>
  <c r="N82" i="17"/>
  <c r="I83" i="17"/>
  <c r="J83" i="17"/>
  <c r="K83" i="17"/>
  <c r="L83" i="17"/>
  <c r="M83" i="17"/>
  <c r="N83" i="17"/>
  <c r="I84" i="17"/>
  <c r="J84" i="17"/>
  <c r="K84" i="17"/>
  <c r="L84" i="17"/>
  <c r="M84" i="17"/>
  <c r="N84" i="17"/>
  <c r="I85" i="17"/>
  <c r="J85" i="17"/>
  <c r="K85" i="17"/>
  <c r="L85" i="17"/>
  <c r="M85" i="17"/>
  <c r="N85" i="17"/>
  <c r="I86" i="17"/>
  <c r="J86" i="17"/>
  <c r="K86" i="17"/>
  <c r="L86" i="17"/>
  <c r="M86" i="17"/>
  <c r="N86" i="17"/>
  <c r="I87" i="17"/>
  <c r="J87" i="17"/>
  <c r="K87" i="17"/>
  <c r="L87" i="17"/>
  <c r="M87" i="17"/>
  <c r="N87" i="17"/>
  <c r="I88" i="17"/>
  <c r="J88" i="17"/>
  <c r="K88" i="17"/>
  <c r="L88" i="17"/>
  <c r="M88" i="17"/>
  <c r="N88" i="17"/>
  <c r="I89" i="17"/>
  <c r="J89" i="17"/>
  <c r="K89" i="17"/>
  <c r="L89" i="17"/>
  <c r="M89" i="17"/>
  <c r="N89" i="17"/>
  <c r="I90" i="17"/>
  <c r="J90" i="17"/>
  <c r="K90" i="17"/>
  <c r="L90" i="17"/>
  <c r="M90" i="17"/>
  <c r="N90" i="17"/>
  <c r="I91" i="17"/>
  <c r="J91" i="17"/>
  <c r="K91" i="17"/>
  <c r="L91" i="17"/>
  <c r="M91" i="17"/>
  <c r="N91" i="17"/>
  <c r="I92" i="17"/>
  <c r="J92" i="17"/>
  <c r="K92" i="17"/>
  <c r="L92" i="17"/>
  <c r="M92" i="17"/>
  <c r="N92" i="17"/>
  <c r="I93" i="17"/>
  <c r="J93" i="17"/>
  <c r="K93" i="17"/>
  <c r="L93" i="17"/>
  <c r="M93" i="17"/>
  <c r="N93" i="17"/>
  <c r="I94" i="17"/>
  <c r="J94" i="17"/>
  <c r="K94" i="17"/>
  <c r="L94" i="17"/>
  <c r="M94" i="17"/>
  <c r="N94" i="17"/>
  <c r="I95" i="17"/>
  <c r="J95" i="17"/>
  <c r="K95" i="17"/>
  <c r="L95" i="17"/>
  <c r="M95" i="17"/>
  <c r="N95" i="17"/>
  <c r="I96" i="17"/>
  <c r="J96" i="17"/>
  <c r="K96" i="17"/>
  <c r="L96" i="17"/>
  <c r="M96" i="17"/>
  <c r="N96" i="17"/>
  <c r="I97" i="17"/>
  <c r="J97" i="17"/>
  <c r="K97" i="17"/>
  <c r="L97" i="17"/>
  <c r="M97" i="17"/>
  <c r="N97" i="17"/>
  <c r="I98" i="17"/>
  <c r="J98" i="17"/>
  <c r="K98" i="17"/>
  <c r="L98" i="17"/>
  <c r="M98" i="17"/>
  <c r="N98" i="17"/>
  <c r="I99" i="17"/>
  <c r="J99" i="17"/>
  <c r="K99" i="17"/>
  <c r="L99" i="17"/>
  <c r="M99" i="17"/>
  <c r="N99" i="17"/>
  <c r="I100" i="17"/>
  <c r="J100" i="17"/>
  <c r="K100" i="17"/>
  <c r="L100" i="17"/>
  <c r="M100" i="17"/>
  <c r="N100" i="17"/>
  <c r="I101" i="17"/>
  <c r="J101" i="17"/>
  <c r="K101" i="17"/>
  <c r="L101" i="17"/>
  <c r="M101" i="17"/>
  <c r="N101" i="17"/>
  <c r="N2" i="17"/>
  <c r="M2" i="17"/>
  <c r="L2" i="17"/>
  <c r="K2" i="1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22" i="7"/>
  <c r="R22" i="7"/>
  <c r="G52" i="7"/>
  <c r="G53" i="7"/>
  <c r="G54" i="7"/>
  <c r="G55" i="7"/>
  <c r="G56" i="7"/>
  <c r="G51" i="7"/>
  <c r="J2" i="17"/>
  <c r="I2" i="17"/>
  <c r="F81" i="2"/>
  <c r="F82" i="2"/>
  <c r="F83" i="2"/>
  <c r="F84" i="2"/>
  <c r="F85" i="2"/>
  <c r="G85" i="2" s="1"/>
  <c r="F86" i="2"/>
  <c r="F87" i="2"/>
  <c r="F88" i="2"/>
  <c r="G88" i="2" s="1"/>
  <c r="F89" i="2"/>
  <c r="G89" i="2" s="1"/>
  <c r="F80" i="2"/>
  <c r="G80" i="2" s="1"/>
  <c r="G81" i="2"/>
  <c r="G82" i="2"/>
  <c r="G83" i="2"/>
  <c r="G86" i="2"/>
  <c r="G87" i="2"/>
  <c r="L2" i="2"/>
  <c r="M2" i="2"/>
  <c r="N2" i="2"/>
  <c r="O2" i="2"/>
  <c r="P2" i="2"/>
  <c r="G84" i="2"/>
  <c r="T2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I2" i="1"/>
  <c r="A15" i="1"/>
  <c r="M2" i="1"/>
  <c r="C28" i="1"/>
  <c r="U12" i="1"/>
  <c r="C25" i="1"/>
  <c r="U2" i="1"/>
  <c r="I44" i="1"/>
  <c r="I42" i="1"/>
  <c r="G41" i="1"/>
  <c r="C15" i="1"/>
  <c r="L2" i="1"/>
  <c r="B15" i="1"/>
  <c r="R23" i="7" l="1"/>
  <c r="S23" i="7"/>
  <c r="U23" i="7"/>
  <c r="W23" i="7"/>
  <c r="X23" i="7"/>
  <c r="Y23" i="7"/>
  <c r="AA23" i="7"/>
  <c r="AC23" i="7"/>
  <c r="AD23" i="7"/>
  <c r="AF23" i="7"/>
  <c r="AG23" i="7"/>
  <c r="AI23" i="7"/>
  <c r="R24" i="7"/>
  <c r="S24" i="7"/>
  <c r="V24" i="7"/>
  <c r="W24" i="7"/>
  <c r="X24" i="7"/>
  <c r="Z24" i="7"/>
  <c r="AB24" i="7"/>
  <c r="AC24" i="7"/>
  <c r="AE24" i="7"/>
  <c r="AF24" i="7"/>
  <c r="AH24" i="7"/>
  <c r="AI24" i="7"/>
  <c r="R25" i="7"/>
  <c r="T25" i="7"/>
  <c r="U25" i="7"/>
  <c r="V25" i="7"/>
  <c r="Y25" i="7"/>
  <c r="Z25" i="7"/>
  <c r="AA25" i="7"/>
  <c r="AC25" i="7"/>
  <c r="AD25" i="7"/>
  <c r="AF25" i="7"/>
  <c r="AH25" i="7"/>
  <c r="AI25" i="7"/>
  <c r="R26" i="7"/>
  <c r="T26" i="7"/>
  <c r="U26" i="7"/>
  <c r="W26" i="7"/>
  <c r="X26" i="7"/>
  <c r="Y26" i="7"/>
  <c r="AB26" i="7"/>
  <c r="AC26" i="7"/>
  <c r="AE26" i="7"/>
  <c r="AF26" i="7"/>
  <c r="AG26" i="7"/>
  <c r="AH26" i="7"/>
  <c r="R27" i="7"/>
  <c r="T27" i="7"/>
  <c r="V27" i="7"/>
  <c r="W27" i="7"/>
  <c r="X27" i="7"/>
  <c r="Z27" i="7"/>
  <c r="AA27" i="7"/>
  <c r="AB27" i="7"/>
  <c r="AD27" i="7"/>
  <c r="AE27" i="7"/>
  <c r="AG27" i="7"/>
  <c r="AI27" i="7"/>
  <c r="S28" i="7"/>
  <c r="T28" i="7"/>
  <c r="U28" i="7"/>
  <c r="V28" i="7"/>
  <c r="X28" i="7"/>
  <c r="Y28" i="7"/>
  <c r="AA28" i="7"/>
  <c r="AB28" i="7"/>
  <c r="AE28" i="7"/>
  <c r="AF28" i="7"/>
  <c r="AH28" i="7"/>
  <c r="AI28" i="7"/>
  <c r="S29" i="7"/>
  <c r="T29" i="7"/>
  <c r="U29" i="7"/>
  <c r="W29" i="7"/>
  <c r="X29" i="7"/>
  <c r="Z29" i="7"/>
  <c r="AA29" i="7"/>
  <c r="AC29" i="7"/>
  <c r="AD29" i="7"/>
  <c r="AE29" i="7"/>
  <c r="AG29" i="7"/>
  <c r="AH29" i="7"/>
  <c r="S30" i="7"/>
  <c r="T30" i="7"/>
  <c r="V30" i="7"/>
  <c r="W30" i="7"/>
  <c r="Y30" i="7"/>
  <c r="Z30" i="7"/>
  <c r="AB30" i="7"/>
  <c r="AC30" i="7"/>
  <c r="AD30" i="7"/>
  <c r="AF30" i="7"/>
  <c r="AG30" i="7"/>
  <c r="AI30" i="7"/>
  <c r="R31" i="7"/>
  <c r="S31" i="7"/>
  <c r="U31" i="7"/>
  <c r="V31" i="7"/>
  <c r="X31" i="7"/>
  <c r="Z31" i="7"/>
  <c r="AB31" i="7"/>
  <c r="AC31" i="7"/>
  <c r="AD31" i="7"/>
  <c r="AF31" i="7"/>
  <c r="AG31" i="7"/>
  <c r="AH31" i="7"/>
  <c r="R32" i="7"/>
  <c r="S32" i="7"/>
  <c r="U32" i="7"/>
  <c r="W32" i="7"/>
  <c r="Y32" i="7"/>
  <c r="Z32" i="7"/>
  <c r="AA32" i="7"/>
  <c r="AB32" i="7"/>
  <c r="AE32" i="7"/>
  <c r="AF32" i="7"/>
  <c r="AG32" i="7"/>
  <c r="AI32" i="7"/>
  <c r="R33" i="7"/>
  <c r="S33" i="7"/>
  <c r="V33" i="7"/>
  <c r="W33" i="7"/>
  <c r="X33" i="7"/>
  <c r="Y33" i="7"/>
  <c r="AA33" i="7"/>
  <c r="AC33" i="7"/>
  <c r="AD33" i="7"/>
  <c r="AE33" i="7"/>
  <c r="AH33" i="7"/>
  <c r="AI33" i="7"/>
  <c r="R34" i="7"/>
  <c r="T34" i="7"/>
  <c r="U34" i="7"/>
  <c r="V34" i="7"/>
  <c r="X34" i="7"/>
  <c r="Y34" i="7"/>
  <c r="AB34" i="7"/>
  <c r="AC34" i="7"/>
  <c r="AD34" i="7"/>
  <c r="AE34" i="7"/>
  <c r="AG34" i="7"/>
  <c r="AI34" i="7"/>
  <c r="R35" i="7"/>
  <c r="T35" i="7"/>
  <c r="U35" i="7"/>
  <c r="W35" i="7"/>
  <c r="X35" i="7"/>
  <c r="Z35" i="7"/>
  <c r="AA35" i="7"/>
  <c r="AB35" i="7"/>
  <c r="AD35" i="7"/>
  <c r="AF35" i="7"/>
  <c r="AH35" i="7"/>
  <c r="AI35" i="7"/>
  <c r="R36" i="7"/>
  <c r="T36" i="7"/>
  <c r="V36" i="7"/>
  <c r="W36" i="7"/>
  <c r="Y36" i="7"/>
  <c r="Z36" i="7"/>
  <c r="AA36" i="7"/>
  <c r="AC36" i="7"/>
  <c r="AE36" i="7"/>
  <c r="AF36" i="7"/>
  <c r="AG36" i="7"/>
  <c r="AH36" i="7"/>
  <c r="S37" i="7"/>
  <c r="T37" i="7"/>
  <c r="U37" i="7"/>
  <c r="V37" i="7"/>
  <c r="X37" i="7"/>
  <c r="Z37" i="7"/>
  <c r="AA37" i="7"/>
  <c r="AC37" i="7"/>
  <c r="AE37" i="7"/>
  <c r="AF37" i="7"/>
  <c r="AG37" i="7"/>
  <c r="AI37" i="7"/>
  <c r="S38" i="7"/>
  <c r="T38" i="7"/>
  <c r="U38" i="7"/>
  <c r="W38" i="7"/>
  <c r="Y38" i="7"/>
  <c r="Z38" i="7"/>
  <c r="AB38" i="7"/>
  <c r="AC38" i="7"/>
  <c r="AD38" i="7"/>
  <c r="AE38" i="7"/>
  <c r="AH38" i="7"/>
  <c r="AI38" i="7"/>
  <c r="S39" i="7"/>
  <c r="T39" i="7"/>
  <c r="V39" i="7"/>
  <c r="W39" i="7"/>
  <c r="X39" i="7"/>
  <c r="Y39" i="7"/>
  <c r="AA39" i="7"/>
  <c r="AB39" i="7"/>
  <c r="AD39" i="7"/>
  <c r="AF39" i="7"/>
  <c r="AG39" i="7"/>
  <c r="AH39" i="7"/>
  <c r="AH22" i="7"/>
  <c r="AG22" i="7"/>
  <c r="AE22" i="7"/>
  <c r="AD22" i="7"/>
  <c r="AB22" i="7"/>
  <c r="AA22" i="7"/>
  <c r="Z22" i="7"/>
  <c r="Y22" i="7"/>
  <c r="V22" i="7"/>
  <c r="U22" i="7"/>
  <c r="S22" i="7"/>
  <c r="O39" i="7" l="1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AC3" i="7"/>
  <c r="AD3" i="7"/>
  <c r="AC4" i="7"/>
  <c r="AD4" i="7"/>
  <c r="AE4" i="7" s="1"/>
  <c r="AC5" i="7"/>
  <c r="AD5" i="7"/>
  <c r="AC6" i="7"/>
  <c r="AD6" i="7"/>
  <c r="AC7" i="7"/>
  <c r="AD7" i="7"/>
  <c r="AC8" i="7"/>
  <c r="AD8" i="7"/>
  <c r="AC9" i="7"/>
  <c r="AD9" i="7"/>
  <c r="AC10" i="7"/>
  <c r="AD10" i="7"/>
  <c r="AC11" i="7"/>
  <c r="AD11" i="7"/>
  <c r="AC12" i="7"/>
  <c r="AD12" i="7"/>
  <c r="AC13" i="7"/>
  <c r="AD13" i="7"/>
  <c r="AC14" i="7"/>
  <c r="AD14" i="7"/>
  <c r="AC15" i="7"/>
  <c r="AD15" i="7"/>
  <c r="AC16" i="7"/>
  <c r="AD16" i="7"/>
  <c r="AC17" i="7"/>
  <c r="AD17" i="7"/>
  <c r="AC18" i="7"/>
  <c r="AD18" i="7"/>
  <c r="AC19" i="7"/>
  <c r="AD19" i="7"/>
  <c r="AD2" i="7"/>
  <c r="AC2" i="7"/>
  <c r="P40" i="7" l="1"/>
  <c r="AE5" i="7"/>
  <c r="AE16" i="7"/>
  <c r="AE2" i="7"/>
  <c r="AE13" i="7"/>
  <c r="AE8" i="7"/>
  <c r="AE11" i="7"/>
  <c r="AE9" i="7"/>
  <c r="AE14" i="7"/>
  <c r="AE19" i="7"/>
  <c r="AE17" i="7"/>
  <c r="AE12" i="7"/>
  <c r="AE18" i="7"/>
  <c r="AE15" i="7"/>
  <c r="AE10" i="7"/>
  <c r="AE7" i="7"/>
  <c r="AE6" i="7"/>
  <c r="AE3" i="7"/>
  <c r="AJ24" i="7" l="1"/>
  <c r="AJ25" i="7"/>
  <c r="AJ22" i="7"/>
  <c r="AJ29" i="7"/>
  <c r="AJ26" i="7"/>
  <c r="AJ33" i="7"/>
  <c r="AJ37" i="7"/>
  <c r="AJ38" i="7"/>
  <c r="AJ30" i="7"/>
  <c r="AJ34" i="7"/>
  <c r="AJ35" i="7"/>
  <c r="AJ28" i="7"/>
  <c r="AJ31" i="7"/>
  <c r="AJ39" i="7"/>
  <c r="AJ36" i="7"/>
  <c r="AJ27" i="7"/>
  <c r="AJ32" i="7"/>
  <c r="AJ23" i="7"/>
  <c r="R37" i="7"/>
  <c r="AD37" i="7"/>
  <c r="AH37" i="7"/>
  <c r="AB37" i="7"/>
  <c r="Y37" i="7"/>
  <c r="W37" i="7"/>
  <c r="V23" i="7"/>
  <c r="Z23" i="7"/>
  <c r="AH23" i="7"/>
  <c r="T23" i="7"/>
  <c r="AB23" i="7"/>
  <c r="AE23" i="7"/>
  <c r="X25" i="7"/>
  <c r="AB25" i="7"/>
  <c r="W25" i="7"/>
  <c r="AG25" i="7"/>
  <c r="S25" i="7"/>
  <c r="AE25" i="7"/>
  <c r="T32" i="7"/>
  <c r="X32" i="7"/>
  <c r="V32" i="7"/>
  <c r="AD32" i="7"/>
  <c r="AH32" i="7"/>
  <c r="AC32" i="7"/>
  <c r="Z33" i="7"/>
  <c r="T33" i="7"/>
  <c r="AB33" i="7"/>
  <c r="AF33" i="7"/>
  <c r="U33" i="7"/>
  <c r="AG33" i="7"/>
  <c r="AH27" i="7"/>
  <c r="AF27" i="7"/>
  <c r="U27" i="7"/>
  <c r="Y27" i="7"/>
  <c r="AC27" i="7"/>
  <c r="S27" i="7"/>
  <c r="X38" i="7"/>
  <c r="AF38" i="7"/>
  <c r="R38" i="7"/>
  <c r="V38" i="7"/>
  <c r="AA38" i="7"/>
  <c r="AG38" i="7"/>
  <c r="X30" i="7"/>
  <c r="R30" i="7"/>
  <c r="AH30" i="7"/>
  <c r="U30" i="7"/>
  <c r="AA30" i="7"/>
  <c r="AE30" i="7"/>
  <c r="AC28" i="7"/>
  <c r="R28" i="7"/>
  <c r="Z28" i="7"/>
  <c r="AD28" i="7"/>
  <c r="AG28" i="7"/>
  <c r="W28" i="7"/>
  <c r="AA31" i="7"/>
  <c r="T31" i="7"/>
  <c r="AE31" i="7"/>
  <c r="Y31" i="7"/>
  <c r="W31" i="7"/>
  <c r="AI31" i="7"/>
  <c r="X36" i="7"/>
  <c r="AB36" i="7"/>
  <c r="U36" i="7"/>
  <c r="AD36" i="7"/>
  <c r="S36" i="7"/>
  <c r="AI36" i="7"/>
  <c r="V35" i="7"/>
  <c r="S35" i="7"/>
  <c r="AE35" i="7"/>
  <c r="Y35" i="7"/>
  <c r="AC35" i="7"/>
  <c r="AG35" i="7"/>
  <c r="R39" i="7"/>
  <c r="Z39" i="7"/>
  <c r="AI39" i="7"/>
  <c r="U39" i="7"/>
  <c r="AC39" i="7"/>
  <c r="AE39" i="7"/>
  <c r="V26" i="7"/>
  <c r="Z26" i="7"/>
  <c r="AD26" i="7"/>
  <c r="S26" i="7"/>
  <c r="AA26" i="7"/>
  <c r="AI26" i="7"/>
  <c r="R29" i="7"/>
  <c r="V29" i="7"/>
  <c r="AI29" i="7"/>
  <c r="AB29" i="7"/>
  <c r="AF29" i="7"/>
  <c r="Y29" i="7"/>
  <c r="AF34" i="7"/>
  <c r="Z34" i="7"/>
  <c r="AH34" i="7"/>
  <c r="S34" i="7"/>
  <c r="W34" i="7"/>
  <c r="AA34" i="7"/>
  <c r="AC22" i="7"/>
  <c r="AF22" i="7"/>
  <c r="AI22" i="7"/>
  <c r="W22" i="7"/>
  <c r="X22" i="7"/>
  <c r="T22" i="7"/>
  <c r="T24" i="7"/>
  <c r="U24" i="7"/>
  <c r="AG24" i="7"/>
  <c r="AD24" i="7"/>
  <c r="AA24" i="7"/>
  <c r="AA40" i="7" s="1"/>
  <c r="B46" i="7" s="1"/>
  <c r="Y24" i="7"/>
  <c r="D22" i="2"/>
  <c r="B22" i="2"/>
  <c r="C90" i="2"/>
  <c r="C81" i="2"/>
  <c r="C82" i="2"/>
  <c r="C83" i="2"/>
  <c r="C84" i="2"/>
  <c r="C85" i="2"/>
  <c r="C86" i="2"/>
  <c r="C87" i="2"/>
  <c r="C88" i="2"/>
  <c r="C89" i="2"/>
  <c r="C80" i="2"/>
  <c r="N3" i="2"/>
  <c r="AA23" i="2" s="1"/>
  <c r="N4" i="2"/>
  <c r="Z24" i="2" s="1"/>
  <c r="N5" i="2"/>
  <c r="AA25" i="2" s="1"/>
  <c r="N6" i="2"/>
  <c r="N7" i="2"/>
  <c r="Z27" i="2" s="1"/>
  <c r="N8" i="2"/>
  <c r="AA28" i="2" s="1"/>
  <c r="N9" i="2"/>
  <c r="Z29" i="2" s="1"/>
  <c r="N10" i="2"/>
  <c r="N11" i="2"/>
  <c r="Z31" i="2" s="1"/>
  <c r="N12" i="2"/>
  <c r="AA32" i="2" s="1"/>
  <c r="N13" i="2"/>
  <c r="N14" i="2"/>
  <c r="Z34" i="2" s="1"/>
  <c r="N15" i="2"/>
  <c r="AA35" i="2" s="1"/>
  <c r="N16" i="2"/>
  <c r="Z36" i="2" s="1"/>
  <c r="N17" i="2"/>
  <c r="AA37" i="2" s="1"/>
  <c r="F3" i="2"/>
  <c r="J23" i="2" s="1"/>
  <c r="G3" i="2"/>
  <c r="L23" i="2" s="1"/>
  <c r="H3" i="2"/>
  <c r="N23" i="2" s="1"/>
  <c r="I3" i="2"/>
  <c r="J3" i="2"/>
  <c r="S23" i="2" s="1"/>
  <c r="K3" i="2"/>
  <c r="L3" i="2"/>
  <c r="W23" i="2" s="1"/>
  <c r="M3" i="2"/>
  <c r="O3" i="2"/>
  <c r="AB23" i="2" s="1"/>
  <c r="P3" i="2"/>
  <c r="F4" i="2"/>
  <c r="J24" i="2" s="1"/>
  <c r="G4" i="2"/>
  <c r="M24" i="2" s="1"/>
  <c r="H4" i="2"/>
  <c r="I4" i="2"/>
  <c r="J4" i="2"/>
  <c r="R24" i="2" s="1"/>
  <c r="K4" i="2"/>
  <c r="U24" i="2" s="1"/>
  <c r="L4" i="2"/>
  <c r="M4" i="2"/>
  <c r="Y24" i="2" s="1"/>
  <c r="O4" i="2"/>
  <c r="AC24" i="2" s="1"/>
  <c r="P4" i="2"/>
  <c r="AD24" i="2" s="1"/>
  <c r="F5" i="2"/>
  <c r="K25" i="2" s="1"/>
  <c r="G5" i="2"/>
  <c r="L25" i="2" s="1"/>
  <c r="H5" i="2"/>
  <c r="N25" i="2" s="1"/>
  <c r="I5" i="2"/>
  <c r="P25" i="2" s="1"/>
  <c r="J5" i="2"/>
  <c r="R25" i="2" s="1"/>
  <c r="K5" i="2"/>
  <c r="U25" i="2" s="1"/>
  <c r="L5" i="2"/>
  <c r="V25" i="2" s="1"/>
  <c r="M5" i="2"/>
  <c r="X25" i="2" s="1"/>
  <c r="O5" i="2"/>
  <c r="AC25" i="2" s="1"/>
  <c r="P5" i="2"/>
  <c r="AE25" i="2" s="1"/>
  <c r="F6" i="2"/>
  <c r="G6" i="2"/>
  <c r="H6" i="2"/>
  <c r="O26" i="2" s="1"/>
  <c r="I6" i="2"/>
  <c r="P26" i="2" s="1"/>
  <c r="J6" i="2"/>
  <c r="K6" i="2"/>
  <c r="T26" i="2" s="1"/>
  <c r="L6" i="2"/>
  <c r="W26" i="2" s="1"/>
  <c r="M6" i="2"/>
  <c r="X26" i="2" s="1"/>
  <c r="O6" i="2"/>
  <c r="AC26" i="2" s="1"/>
  <c r="P6" i="2"/>
  <c r="AD26" i="2" s="1"/>
  <c r="F7" i="2"/>
  <c r="J27" i="2" s="1"/>
  <c r="G7" i="2"/>
  <c r="H7" i="2"/>
  <c r="I7" i="2"/>
  <c r="P27" i="2" s="1"/>
  <c r="J7" i="2"/>
  <c r="S27" i="2" s="1"/>
  <c r="K7" i="2"/>
  <c r="T27" i="2" s="1"/>
  <c r="L7" i="2"/>
  <c r="V27" i="2" s="1"/>
  <c r="M7" i="2"/>
  <c r="O7" i="2"/>
  <c r="P7" i="2"/>
  <c r="AE27" i="2" s="1"/>
  <c r="F8" i="2"/>
  <c r="J28" i="2" s="1"/>
  <c r="G8" i="2"/>
  <c r="L28" i="2" s="1"/>
  <c r="H8" i="2"/>
  <c r="I8" i="2"/>
  <c r="Q28" i="2" s="1"/>
  <c r="J8" i="2"/>
  <c r="R28" i="2" s="1"/>
  <c r="K8" i="2"/>
  <c r="T28" i="2" s="1"/>
  <c r="L8" i="2"/>
  <c r="V28" i="2" s="1"/>
  <c r="M8" i="2"/>
  <c r="Y28" i="2" s="1"/>
  <c r="O8" i="2"/>
  <c r="AB28" i="2" s="1"/>
  <c r="P8" i="2"/>
  <c r="F9" i="2"/>
  <c r="K29" i="2" s="1"/>
  <c r="G9" i="2"/>
  <c r="M29" i="2" s="1"/>
  <c r="H9" i="2"/>
  <c r="N29" i="2" s="1"/>
  <c r="I9" i="2"/>
  <c r="J9" i="2"/>
  <c r="R29" i="2" s="1"/>
  <c r="K9" i="2"/>
  <c r="T29" i="2" s="1"/>
  <c r="L9" i="2"/>
  <c r="W29" i="2" s="1"/>
  <c r="M9" i="2"/>
  <c r="X29" i="2" s="1"/>
  <c r="O9" i="2"/>
  <c r="AB29" i="2" s="1"/>
  <c r="P9" i="2"/>
  <c r="AD29" i="2" s="1"/>
  <c r="F10" i="2"/>
  <c r="G10" i="2"/>
  <c r="M30" i="2" s="1"/>
  <c r="H10" i="2"/>
  <c r="N30" i="2" s="1"/>
  <c r="I10" i="2"/>
  <c r="Q30" i="2" s="1"/>
  <c r="J10" i="2"/>
  <c r="R30" i="2" s="1"/>
  <c r="K10" i="2"/>
  <c r="L10" i="2"/>
  <c r="V30" i="2" s="1"/>
  <c r="M10" i="2"/>
  <c r="Y30" i="2" s="1"/>
  <c r="O10" i="2"/>
  <c r="AC30" i="2" s="1"/>
  <c r="P10" i="2"/>
  <c r="AD30" i="2" s="1"/>
  <c r="F11" i="2"/>
  <c r="J31" i="2" s="1"/>
  <c r="G11" i="2"/>
  <c r="L31" i="2" s="1"/>
  <c r="H11" i="2"/>
  <c r="O31" i="2" s="1"/>
  <c r="I11" i="2"/>
  <c r="J11" i="2"/>
  <c r="R31" i="2" s="1"/>
  <c r="K11" i="2"/>
  <c r="T31" i="2" s="1"/>
  <c r="L11" i="2"/>
  <c r="W31" i="2" s="1"/>
  <c r="M11" i="2"/>
  <c r="X31" i="2" s="1"/>
  <c r="O11" i="2"/>
  <c r="P11" i="2"/>
  <c r="AE31" i="2" s="1"/>
  <c r="F12" i="2"/>
  <c r="J32" i="2" s="1"/>
  <c r="G12" i="2"/>
  <c r="M32" i="2" s="1"/>
  <c r="H12" i="2"/>
  <c r="N32" i="2" s="1"/>
  <c r="I12" i="2"/>
  <c r="J12" i="2"/>
  <c r="K12" i="2"/>
  <c r="L12" i="2"/>
  <c r="M12" i="2"/>
  <c r="O12" i="2"/>
  <c r="AB32" i="2" s="1"/>
  <c r="P12" i="2"/>
  <c r="F13" i="2"/>
  <c r="K33" i="2" s="1"/>
  <c r="G13" i="2"/>
  <c r="L33" i="2" s="1"/>
  <c r="H13" i="2"/>
  <c r="O33" i="2" s="1"/>
  <c r="I13" i="2"/>
  <c r="P33" i="2" s="1"/>
  <c r="J13" i="2"/>
  <c r="S33" i="2" s="1"/>
  <c r="K13" i="2"/>
  <c r="T33" i="2" s="1"/>
  <c r="L13" i="2"/>
  <c r="V33" i="2" s="1"/>
  <c r="M13" i="2"/>
  <c r="O13" i="2"/>
  <c r="AB33" i="2" s="1"/>
  <c r="P13" i="2"/>
  <c r="AD33" i="2" s="1"/>
  <c r="F14" i="2"/>
  <c r="G14" i="2"/>
  <c r="H14" i="2"/>
  <c r="N34" i="2" s="1"/>
  <c r="I14" i="2"/>
  <c r="P34" i="2" s="1"/>
  <c r="J14" i="2"/>
  <c r="R34" i="2" s="1"/>
  <c r="K14" i="2"/>
  <c r="L14" i="2"/>
  <c r="M14" i="2"/>
  <c r="Y34" i="2" s="1"/>
  <c r="O14" i="2"/>
  <c r="AB34" i="2" s="1"/>
  <c r="P14" i="2"/>
  <c r="F15" i="2"/>
  <c r="J35" i="2" s="1"/>
  <c r="G15" i="2"/>
  <c r="H15" i="2"/>
  <c r="O35" i="2" s="1"/>
  <c r="I15" i="2"/>
  <c r="P35" i="2" s="1"/>
  <c r="J15" i="2"/>
  <c r="R35" i="2" s="1"/>
  <c r="K15" i="2"/>
  <c r="L15" i="2"/>
  <c r="V35" i="2" s="1"/>
  <c r="M15" i="2"/>
  <c r="X35" i="2" s="1"/>
  <c r="O15" i="2"/>
  <c r="AB35" i="2" s="1"/>
  <c r="P15" i="2"/>
  <c r="AD35" i="2" s="1"/>
  <c r="F16" i="2"/>
  <c r="J36" i="2" s="1"/>
  <c r="G16" i="2"/>
  <c r="L36" i="2" s="1"/>
  <c r="H16" i="2"/>
  <c r="N36" i="2" s="1"/>
  <c r="I16" i="2"/>
  <c r="Q36" i="2" s="1"/>
  <c r="J16" i="2"/>
  <c r="K16" i="2"/>
  <c r="L16" i="2"/>
  <c r="V36" i="2" s="1"/>
  <c r="M16" i="2"/>
  <c r="X36" i="2" s="1"/>
  <c r="O16" i="2"/>
  <c r="AC36" i="2" s="1"/>
  <c r="P16" i="2"/>
  <c r="AD36" i="2" s="1"/>
  <c r="F17" i="2"/>
  <c r="K37" i="2" s="1"/>
  <c r="G17" i="2"/>
  <c r="H17" i="2"/>
  <c r="O37" i="2" s="1"/>
  <c r="I17" i="2"/>
  <c r="J17" i="2"/>
  <c r="S37" i="2" s="1"/>
  <c r="K17" i="2"/>
  <c r="L17" i="2"/>
  <c r="W37" i="2" s="1"/>
  <c r="M17" i="2"/>
  <c r="O17" i="2"/>
  <c r="P17" i="2"/>
  <c r="AE37" i="2" s="1"/>
  <c r="AE22" i="2"/>
  <c r="X22" i="2"/>
  <c r="K2" i="2"/>
  <c r="U22" i="2" s="1"/>
  <c r="J2" i="2"/>
  <c r="S22" i="2" s="1"/>
  <c r="I2" i="2"/>
  <c r="Q22" i="2" s="1"/>
  <c r="H2" i="2"/>
  <c r="O22" i="2" s="1"/>
  <c r="G2" i="2"/>
  <c r="M22" i="2" s="1"/>
  <c r="F2" i="2"/>
  <c r="K22" i="2" s="1"/>
  <c r="D45" i="1"/>
  <c r="G42" i="1" s="1"/>
  <c r="AF25" i="1"/>
  <c r="AE25" i="1"/>
  <c r="AD25" i="1"/>
  <c r="AC25" i="1"/>
  <c r="AF24" i="1"/>
  <c r="AE24" i="1"/>
  <c r="AD24" i="1"/>
  <c r="AC24" i="1"/>
  <c r="AF23" i="1"/>
  <c r="AE23" i="1"/>
  <c r="AD23" i="1"/>
  <c r="AC23" i="1"/>
  <c r="AF22" i="1"/>
  <c r="AE22" i="1"/>
  <c r="AD22" i="1"/>
  <c r="AC22" i="1"/>
  <c r="AF21" i="1"/>
  <c r="AE21" i="1"/>
  <c r="AD21" i="1"/>
  <c r="AC21" i="1"/>
  <c r="AF20" i="1"/>
  <c r="AE20" i="1"/>
  <c r="AD20" i="1"/>
  <c r="AC20" i="1"/>
  <c r="AF19" i="1"/>
  <c r="AE19" i="1"/>
  <c r="AD19" i="1"/>
  <c r="AC19" i="1"/>
  <c r="AF18" i="1"/>
  <c r="AE18" i="1"/>
  <c r="AD18" i="1"/>
  <c r="AC18" i="1"/>
  <c r="AF17" i="1"/>
  <c r="AE17" i="1"/>
  <c r="AD17" i="1"/>
  <c r="AC17" i="1"/>
  <c r="AF16" i="1"/>
  <c r="AE16" i="1"/>
  <c r="AD16" i="1"/>
  <c r="AC16" i="1"/>
  <c r="AF15" i="1"/>
  <c r="AE15" i="1"/>
  <c r="AD15" i="1"/>
  <c r="AC15" i="1"/>
  <c r="AF14" i="1"/>
  <c r="AE14" i="1"/>
  <c r="AD14" i="1"/>
  <c r="AC14" i="1"/>
  <c r="AF13" i="1"/>
  <c r="AE13" i="1"/>
  <c r="AD13" i="1"/>
  <c r="AC13" i="1"/>
  <c r="AF12" i="1"/>
  <c r="AE12" i="1"/>
  <c r="AD12" i="1"/>
  <c r="AC12" i="1"/>
  <c r="AF11" i="1"/>
  <c r="AE11" i="1"/>
  <c r="AD11" i="1"/>
  <c r="AC11" i="1"/>
  <c r="AF10" i="1"/>
  <c r="AE10" i="1"/>
  <c r="AD10" i="1"/>
  <c r="AC10" i="1"/>
  <c r="AF9" i="1"/>
  <c r="AE9" i="1"/>
  <c r="AD9" i="1"/>
  <c r="AC9" i="1"/>
  <c r="AF8" i="1"/>
  <c r="AE8" i="1"/>
  <c r="AD8" i="1"/>
  <c r="AC8" i="1"/>
  <c r="AF7" i="1"/>
  <c r="AE7" i="1"/>
  <c r="AD7" i="1"/>
  <c r="AC7" i="1"/>
  <c r="AF6" i="1"/>
  <c r="AE6" i="1"/>
  <c r="AD6" i="1"/>
  <c r="AC6" i="1"/>
  <c r="AF5" i="1"/>
  <c r="AE5" i="1"/>
  <c r="AD5" i="1"/>
  <c r="AC5" i="1"/>
  <c r="AF4" i="1"/>
  <c r="AE4" i="1"/>
  <c r="AD4" i="1"/>
  <c r="AC4" i="1"/>
  <c r="AF3" i="1"/>
  <c r="AE3" i="1"/>
  <c r="AD3" i="1"/>
  <c r="AC3" i="1"/>
  <c r="AF2" i="1"/>
  <c r="AE2" i="1"/>
  <c r="AD2" i="1"/>
  <c r="AC2" i="1"/>
  <c r="G43" i="1" l="1"/>
  <c r="AD40" i="7"/>
  <c r="B47" i="7" s="1"/>
  <c r="G44" i="1"/>
  <c r="D46" i="1"/>
  <c r="B60" i="7"/>
  <c r="C58" i="7" s="1"/>
  <c r="T40" i="7"/>
  <c r="D43" i="7" s="1"/>
  <c r="AF40" i="7"/>
  <c r="D47" i="7" s="1"/>
  <c r="R40" i="7"/>
  <c r="B43" i="7" s="1"/>
  <c r="X40" i="7"/>
  <c r="B45" i="7" s="1"/>
  <c r="AC40" i="7"/>
  <c r="D46" i="7" s="1"/>
  <c r="Y40" i="7"/>
  <c r="C45" i="7" s="1"/>
  <c r="U40" i="7"/>
  <c r="B44" i="7" s="1"/>
  <c r="W40" i="7"/>
  <c r="D44" i="7" s="1"/>
  <c r="AE40" i="7"/>
  <c r="C47" i="7" s="1"/>
  <c r="Z40" i="7"/>
  <c r="D45" i="7" s="1"/>
  <c r="AI40" i="7"/>
  <c r="D48" i="7" s="1"/>
  <c r="AB40" i="7"/>
  <c r="C46" i="7" s="1"/>
  <c r="V40" i="7"/>
  <c r="C44" i="7" s="1"/>
  <c r="AG40" i="7"/>
  <c r="B48" i="7" s="1"/>
  <c r="S40" i="7"/>
  <c r="C43" i="7" s="1"/>
  <c r="AH40" i="7"/>
  <c r="C48" i="7" s="1"/>
  <c r="AB22" i="2"/>
  <c r="U36" i="2"/>
  <c r="U34" i="2"/>
  <c r="L34" i="2"/>
  <c r="T32" i="2"/>
  <c r="V22" i="2"/>
  <c r="Z22" i="2"/>
  <c r="AC37" i="2"/>
  <c r="Y37" i="2"/>
  <c r="U37" i="2"/>
  <c r="Q37" i="2"/>
  <c r="M37" i="2"/>
  <c r="S36" i="2"/>
  <c r="U35" i="2"/>
  <c r="M35" i="2"/>
  <c r="AE34" i="2"/>
  <c r="W34" i="2"/>
  <c r="Z33" i="2"/>
  <c r="X32" i="2"/>
  <c r="P32" i="2"/>
  <c r="T30" i="2"/>
  <c r="N27" i="2"/>
  <c r="L26" i="2"/>
  <c r="P24" i="2"/>
  <c r="AD23" i="2"/>
  <c r="C91" i="2"/>
  <c r="K34" i="2"/>
  <c r="S32" i="2"/>
  <c r="Q31" i="2"/>
  <c r="Y27" i="2"/>
  <c r="Y23" i="2"/>
  <c r="Q23" i="2"/>
  <c r="V32" i="2"/>
  <c r="Y33" i="2"/>
  <c r="AE32" i="2"/>
  <c r="W32" i="2"/>
  <c r="AC31" i="2"/>
  <c r="AA30" i="2"/>
  <c r="K30" i="2"/>
  <c r="Q29" i="2"/>
  <c r="AE28" i="2"/>
  <c r="O28" i="2"/>
  <c r="AC27" i="2"/>
  <c r="M27" i="2"/>
  <c r="AA26" i="2"/>
  <c r="S26" i="2"/>
  <c r="K26" i="2"/>
  <c r="W24" i="2"/>
  <c r="O24" i="2"/>
  <c r="U23" i="2"/>
  <c r="G26" i="1"/>
  <c r="G27" i="1"/>
  <c r="G28" i="1"/>
  <c r="G29" i="1"/>
  <c r="G30" i="1"/>
  <c r="G31" i="1"/>
  <c r="G25" i="1"/>
  <c r="O2" i="3"/>
  <c r="O3" i="3"/>
  <c r="O4" i="3"/>
  <c r="O1" i="3"/>
  <c r="H2" i="3"/>
  <c r="B11" i="3" s="1"/>
  <c r="H3" i="3"/>
  <c r="B22" i="3" s="1"/>
  <c r="H4" i="3"/>
  <c r="B23" i="3" s="1"/>
  <c r="H1" i="3"/>
  <c r="B20" i="3" s="1"/>
  <c r="A12" i="1"/>
  <c r="A37" i="1" s="1"/>
  <c r="J1" i="3"/>
  <c r="K1" i="3"/>
  <c r="L1" i="3"/>
  <c r="M1" i="3"/>
  <c r="J2" i="3"/>
  <c r="K2" i="3"/>
  <c r="L2" i="3"/>
  <c r="M2" i="3"/>
  <c r="J3" i="3"/>
  <c r="K3" i="3"/>
  <c r="L3" i="3"/>
  <c r="M3" i="3"/>
  <c r="J4" i="3"/>
  <c r="K4" i="3"/>
  <c r="L4" i="3"/>
  <c r="M4" i="3"/>
  <c r="I2" i="3"/>
  <c r="I3" i="3"/>
  <c r="I4" i="3"/>
  <c r="I1" i="3"/>
  <c r="C23" i="2"/>
  <c r="D23" i="2"/>
  <c r="F23" i="2"/>
  <c r="H23" i="2"/>
  <c r="B24" i="2"/>
  <c r="E24" i="2"/>
  <c r="F24" i="2"/>
  <c r="H24" i="2"/>
  <c r="C25" i="2"/>
  <c r="E25" i="2"/>
  <c r="F25" i="2"/>
  <c r="H25" i="2"/>
  <c r="B26" i="2"/>
  <c r="D26" i="2"/>
  <c r="G26" i="2"/>
  <c r="H26" i="2"/>
  <c r="C27" i="2"/>
  <c r="D27" i="2"/>
  <c r="G27" i="2"/>
  <c r="H27" i="2"/>
  <c r="B28" i="2"/>
  <c r="E28" i="2"/>
  <c r="G28" i="2"/>
  <c r="H28" i="2"/>
  <c r="C29" i="2"/>
  <c r="E29" i="2"/>
  <c r="G29" i="2"/>
  <c r="H29" i="2"/>
  <c r="B30" i="2"/>
  <c r="D30" i="2"/>
  <c r="F30" i="2"/>
  <c r="I30" i="2"/>
  <c r="C31" i="2"/>
  <c r="D31" i="2"/>
  <c r="F31" i="2"/>
  <c r="I31" i="2"/>
  <c r="B32" i="2"/>
  <c r="E32" i="2"/>
  <c r="F32" i="2"/>
  <c r="I32" i="2"/>
  <c r="C33" i="2"/>
  <c r="E33" i="2"/>
  <c r="F33" i="2"/>
  <c r="I33" i="2"/>
  <c r="B34" i="2"/>
  <c r="D34" i="2"/>
  <c r="G34" i="2"/>
  <c r="I34" i="2"/>
  <c r="C35" i="2"/>
  <c r="D35" i="2"/>
  <c r="G35" i="2"/>
  <c r="I35" i="2"/>
  <c r="B36" i="2"/>
  <c r="E36" i="2"/>
  <c r="G36" i="2"/>
  <c r="I36" i="2"/>
  <c r="C37" i="2"/>
  <c r="E37" i="2"/>
  <c r="G37" i="2"/>
  <c r="I37" i="2"/>
  <c r="H22" i="2"/>
  <c r="F22" i="2"/>
  <c r="T19" i="2"/>
  <c r="U2" i="2" s="1"/>
  <c r="T18" i="2"/>
  <c r="T3" i="2"/>
  <c r="T4" i="2"/>
  <c r="V24" i="2" s="1"/>
  <c r="T5" i="2"/>
  <c r="T25" i="2" s="1"/>
  <c r="T6" i="2"/>
  <c r="T7" i="2"/>
  <c r="R27" i="2" s="1"/>
  <c r="T8" i="2"/>
  <c r="D28" i="2" s="1"/>
  <c r="T9" i="2"/>
  <c r="L29" i="2" s="1"/>
  <c r="T10" i="2"/>
  <c r="AE30" i="2" s="1"/>
  <c r="T11" i="2"/>
  <c r="P31" i="2" s="1"/>
  <c r="T12" i="2"/>
  <c r="D32" i="2" s="1"/>
  <c r="T13" i="2"/>
  <c r="W33" i="2" s="1"/>
  <c r="T14" i="2"/>
  <c r="V34" i="2" s="1"/>
  <c r="T15" i="2"/>
  <c r="T16" i="2"/>
  <c r="M36" i="2" s="1"/>
  <c r="T17" i="2"/>
  <c r="P37" i="2" s="1"/>
  <c r="P2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" i="2"/>
  <c r="K24" i="2" l="1"/>
  <c r="Q24" i="2"/>
  <c r="R32" i="2"/>
  <c r="U6" i="2"/>
  <c r="M28" i="2"/>
  <c r="Z30" i="2"/>
  <c r="B9" i="3"/>
  <c r="X33" i="2"/>
  <c r="L30" i="2"/>
  <c r="L32" i="2"/>
  <c r="AD28" i="2"/>
  <c r="Q25" i="2"/>
  <c r="T37" i="2"/>
  <c r="D6" i="3"/>
  <c r="Y29" i="2"/>
  <c r="V26" i="2"/>
  <c r="AC22" i="2"/>
  <c r="S29" i="2"/>
  <c r="Z28" i="2"/>
  <c r="X37" i="2"/>
  <c r="J33" i="2"/>
  <c r="AD34" i="2"/>
  <c r="W25" i="2"/>
  <c r="AC28" i="2"/>
  <c r="Z25" i="2"/>
  <c r="Y32" i="2"/>
  <c r="J34" i="2"/>
  <c r="O34" i="2"/>
  <c r="E45" i="7"/>
  <c r="E47" i="7"/>
  <c r="C55" i="7" s="1"/>
  <c r="E55" i="7" s="1"/>
  <c r="E46" i="7"/>
  <c r="C54" i="7" s="1"/>
  <c r="E54" i="7" s="1"/>
  <c r="E44" i="7"/>
  <c r="C52" i="7" s="1"/>
  <c r="E52" i="7" s="1"/>
  <c r="E43" i="7"/>
  <c r="C51" i="7" s="1"/>
  <c r="E48" i="7"/>
  <c r="C56" i="7" s="1"/>
  <c r="E56" i="7" s="1"/>
  <c r="Z35" i="2"/>
  <c r="K35" i="2"/>
  <c r="S35" i="2"/>
  <c r="W35" i="2"/>
  <c r="AE35" i="2"/>
  <c r="R23" i="2"/>
  <c r="Z23" i="2"/>
  <c r="B12" i="3"/>
  <c r="M31" i="2"/>
  <c r="V31" i="2"/>
  <c r="N35" i="2"/>
  <c r="E22" i="2"/>
  <c r="Y22" i="2"/>
  <c r="C22" i="2"/>
  <c r="D36" i="2"/>
  <c r="P36" i="2"/>
  <c r="Y36" i="2"/>
  <c r="D24" i="2"/>
  <c r="AA24" i="2"/>
  <c r="AB24" i="2"/>
  <c r="B8" i="3"/>
  <c r="B21" i="3"/>
  <c r="R22" i="2"/>
  <c r="AE24" i="2"/>
  <c r="O32" i="2"/>
  <c r="N24" i="2"/>
  <c r="N26" i="2"/>
  <c r="N28" i="2"/>
  <c r="AB31" i="2"/>
  <c r="Q27" i="2"/>
  <c r="O25" i="2"/>
  <c r="W27" i="2"/>
  <c r="AC32" i="2"/>
  <c r="U26" i="2"/>
  <c r="AD32" i="2"/>
  <c r="V23" i="2"/>
  <c r="J25" i="2"/>
  <c r="J29" i="2"/>
  <c r="N31" i="2"/>
  <c r="AE33" i="2"/>
  <c r="AA34" i="2"/>
  <c r="O36" i="2"/>
  <c r="AE36" i="2"/>
  <c r="AE23" i="2"/>
  <c r="Y26" i="2"/>
  <c r="Q32" i="2"/>
  <c r="O27" i="2"/>
  <c r="T24" i="2"/>
  <c r="X27" i="2"/>
  <c r="U32" i="2"/>
  <c r="L37" i="2"/>
  <c r="T34" i="2"/>
  <c r="Z37" i="2"/>
  <c r="N37" i="2"/>
  <c r="T36" i="2"/>
  <c r="V37" i="2"/>
  <c r="AD27" i="2"/>
  <c r="Y35" i="2"/>
  <c r="L27" i="2"/>
  <c r="H30" i="2"/>
  <c r="O30" i="2"/>
  <c r="W30" i="2"/>
  <c r="P30" i="2"/>
  <c r="X30" i="2"/>
  <c r="Y25" i="2"/>
  <c r="W28" i="2"/>
  <c r="U31" i="2"/>
  <c r="AA31" i="2"/>
  <c r="S25" i="2"/>
  <c r="K27" i="2"/>
  <c r="K31" i="2"/>
  <c r="S24" i="2"/>
  <c r="K28" i="2"/>
  <c r="Y31" i="2"/>
  <c r="AA29" i="2"/>
  <c r="J26" i="2"/>
  <c r="O29" i="2"/>
  <c r="Z26" i="2"/>
  <c r="U28" i="2"/>
  <c r="P28" i="2"/>
  <c r="AD31" i="2"/>
  <c r="R33" i="2"/>
  <c r="S34" i="2"/>
  <c r="AC35" i="2"/>
  <c r="W36" i="2"/>
  <c r="AD22" i="2"/>
  <c r="Z32" i="2"/>
  <c r="P23" i="2"/>
  <c r="U30" i="2"/>
  <c r="L35" i="2"/>
  <c r="W22" i="2"/>
  <c r="R36" i="2"/>
  <c r="AA22" i="2"/>
  <c r="AC23" i="2"/>
  <c r="AA27" i="2"/>
  <c r="H34" i="2"/>
  <c r="X34" i="2"/>
  <c r="Q34" i="2"/>
  <c r="AC34" i="2"/>
  <c r="B10" i="3"/>
  <c r="B13" i="3"/>
  <c r="D37" i="2"/>
  <c r="J37" i="2"/>
  <c r="R37" i="2"/>
  <c r="AD37" i="2"/>
  <c r="D33" i="2"/>
  <c r="M33" i="2"/>
  <c r="U33" i="2"/>
  <c r="N33" i="2"/>
  <c r="AC33" i="2"/>
  <c r="D29" i="2"/>
  <c r="U29" i="2"/>
  <c r="AC29" i="2"/>
  <c r="V29" i="2"/>
  <c r="D25" i="2"/>
  <c r="M25" i="2"/>
  <c r="AD25" i="2"/>
  <c r="M23" i="2"/>
  <c r="U27" i="2"/>
  <c r="S30" i="2"/>
  <c r="Q33" i="2"/>
  <c r="K23" i="2"/>
  <c r="AB25" i="2"/>
  <c r="AB27" i="2"/>
  <c r="S31" i="2"/>
  <c r="AE26" i="2"/>
  <c r="S28" i="2"/>
  <c r="K32" i="2"/>
  <c r="O23" i="2"/>
  <c r="R26" i="2"/>
  <c r="J30" i="2"/>
  <c r="X23" i="2"/>
  <c r="P29" i="2"/>
  <c r="X24" i="2"/>
  <c r="AB26" i="2"/>
  <c r="X28" i="2"/>
  <c r="AB30" i="2"/>
  <c r="Q35" i="2"/>
  <c r="K36" i="2"/>
  <c r="AA36" i="2"/>
  <c r="T23" i="2"/>
  <c r="Q26" i="2"/>
  <c r="AE29" i="2"/>
  <c r="L24" i="2"/>
  <c r="M26" i="2"/>
  <c r="T35" i="2"/>
  <c r="AA33" i="2"/>
  <c r="AB36" i="2"/>
  <c r="M34" i="2"/>
  <c r="AB37" i="2"/>
  <c r="N22" i="2"/>
  <c r="T22" i="2"/>
  <c r="L22" i="2"/>
  <c r="C28" i="2"/>
  <c r="G22" i="2"/>
  <c r="J22" i="2"/>
  <c r="C36" i="2"/>
  <c r="C32" i="2"/>
  <c r="U15" i="2"/>
  <c r="U11" i="2"/>
  <c r="U7" i="2"/>
  <c r="U3" i="2"/>
  <c r="G24" i="2"/>
  <c r="F28" i="2"/>
  <c r="G33" i="2"/>
  <c r="F27" i="2"/>
  <c r="G23" i="2"/>
  <c r="B23" i="2"/>
  <c r="F36" i="2"/>
  <c r="G32" i="2"/>
  <c r="G25" i="2"/>
  <c r="C24" i="2"/>
  <c r="I22" i="2"/>
  <c r="B35" i="2"/>
  <c r="F35" i="2"/>
  <c r="G31" i="2"/>
  <c r="B31" i="2"/>
  <c r="B27" i="2"/>
  <c r="C34" i="2"/>
  <c r="C30" i="2"/>
  <c r="C26" i="2"/>
  <c r="U10" i="2"/>
  <c r="F37" i="2"/>
  <c r="F34" i="2"/>
  <c r="F29" i="2"/>
  <c r="F26" i="2"/>
  <c r="U17" i="2"/>
  <c r="U9" i="2"/>
  <c r="U5" i="2"/>
  <c r="E35" i="2"/>
  <c r="E34" i="2"/>
  <c r="E31" i="2"/>
  <c r="E30" i="2"/>
  <c r="I29" i="2"/>
  <c r="I28" i="2"/>
  <c r="I27" i="2"/>
  <c r="E27" i="2"/>
  <c r="I26" i="2"/>
  <c r="E26" i="2"/>
  <c r="I25" i="2"/>
  <c r="I24" i="2"/>
  <c r="I23" i="2"/>
  <c r="E23" i="2"/>
  <c r="U16" i="2"/>
  <c r="U12" i="2"/>
  <c r="U8" i="2"/>
  <c r="U4" i="2"/>
  <c r="G30" i="2"/>
  <c r="U14" i="2"/>
  <c r="B37" i="2"/>
  <c r="B33" i="2"/>
  <c r="B29" i="2"/>
  <c r="B25" i="2"/>
  <c r="U13" i="2"/>
  <c r="H37" i="2"/>
  <c r="H36" i="2"/>
  <c r="H35" i="2"/>
  <c r="H33" i="2"/>
  <c r="H32" i="2"/>
  <c r="H31" i="2"/>
  <c r="C53" i="7" l="1"/>
  <c r="E53" i="7" s="1"/>
  <c r="A55" i="2"/>
  <c r="K38" i="2"/>
  <c r="V38" i="2"/>
  <c r="B70" i="2" s="1"/>
  <c r="Z38" i="2"/>
  <c r="P38" i="2"/>
  <c r="V39" i="2"/>
  <c r="M38" i="2"/>
  <c r="C64" i="2"/>
  <c r="K39" i="2"/>
  <c r="D38" i="2"/>
  <c r="U38" i="2"/>
  <c r="AC38" i="2"/>
  <c r="Q38" i="2"/>
  <c r="J38" i="2"/>
  <c r="AB38" i="2"/>
  <c r="W38" i="2"/>
  <c r="G47" i="7"/>
  <c r="G46" i="7"/>
  <c r="G44" i="7"/>
  <c r="I44" i="7"/>
  <c r="I46" i="7"/>
  <c r="I47" i="7"/>
  <c r="G48" i="7"/>
  <c r="G43" i="7"/>
  <c r="I48" i="7"/>
  <c r="G45" i="7"/>
  <c r="H46" i="7"/>
  <c r="H47" i="7"/>
  <c r="H45" i="7"/>
  <c r="H43" i="7"/>
  <c r="H48" i="7"/>
  <c r="H44" i="7"/>
  <c r="I45" i="7"/>
  <c r="I43" i="7"/>
  <c r="B38" i="2"/>
  <c r="T38" i="2"/>
  <c r="S38" i="2"/>
  <c r="AE38" i="2"/>
  <c r="D8" i="3"/>
  <c r="M11" i="3"/>
  <c r="M12" i="3"/>
  <c r="Y38" i="2"/>
  <c r="N38" i="2"/>
  <c r="O38" i="2"/>
  <c r="AD38" i="2"/>
  <c r="R38" i="2"/>
  <c r="D12" i="3"/>
  <c r="L38" i="2"/>
  <c r="X38" i="2"/>
  <c r="M13" i="3"/>
  <c r="M14" i="3"/>
  <c r="D10" i="3"/>
  <c r="AA38" i="2"/>
  <c r="G38" i="2"/>
  <c r="H38" i="2"/>
  <c r="F38" i="2"/>
  <c r="E38" i="2"/>
  <c r="I38" i="2"/>
  <c r="C38" i="2"/>
  <c r="U19" i="2"/>
  <c r="C71" i="2" l="1"/>
  <c r="Y39" i="2"/>
  <c r="B61" i="2"/>
  <c r="D39" i="2"/>
  <c r="B62" i="2"/>
  <c r="F39" i="2"/>
  <c r="B65" i="2"/>
  <c r="L39" i="2"/>
  <c r="C70" i="2"/>
  <c r="D70" i="2" s="1"/>
  <c r="W39" i="2"/>
  <c r="B63" i="2"/>
  <c r="H39" i="2"/>
  <c r="B73" i="2"/>
  <c r="AB39" i="2"/>
  <c r="C65" i="2"/>
  <c r="M39" i="2"/>
  <c r="C61" i="2"/>
  <c r="E39" i="2"/>
  <c r="B68" i="2"/>
  <c r="R39" i="2"/>
  <c r="C74" i="2"/>
  <c r="AE39" i="2"/>
  <c r="B64" i="2"/>
  <c r="D64" i="2" s="1"/>
  <c r="B84" i="2" s="1"/>
  <c r="D84" i="2" s="1"/>
  <c r="J39" i="2"/>
  <c r="C62" i="2"/>
  <c r="G39" i="2"/>
  <c r="C72" i="2"/>
  <c r="AA39" i="2"/>
  <c r="B74" i="2"/>
  <c r="D74" i="2" s="1"/>
  <c r="AD39" i="2"/>
  <c r="C68" i="2"/>
  <c r="D68" i="2" s="1"/>
  <c r="B88" i="2" s="1"/>
  <c r="D88" i="2" s="1"/>
  <c r="S39" i="2"/>
  <c r="C67" i="2"/>
  <c r="Q39" i="2"/>
  <c r="B71" i="2"/>
  <c r="X39" i="2"/>
  <c r="C66" i="2"/>
  <c r="O39" i="2"/>
  <c r="B69" i="2"/>
  <c r="D69" i="2" s="1"/>
  <c r="B89" i="2" s="1"/>
  <c r="D89" i="2" s="1"/>
  <c r="T39" i="2"/>
  <c r="C73" i="2"/>
  <c r="AC39" i="2"/>
  <c r="B67" i="2"/>
  <c r="P39" i="2"/>
  <c r="C63" i="2"/>
  <c r="D63" i="2" s="1"/>
  <c r="B83" i="2" s="1"/>
  <c r="D83" i="2" s="1"/>
  <c r="I39" i="2"/>
  <c r="C60" i="2"/>
  <c r="C39" i="2"/>
  <c r="B66" i="2"/>
  <c r="N39" i="2"/>
  <c r="B60" i="2"/>
  <c r="B39" i="2"/>
  <c r="C69" i="2"/>
  <c r="U39" i="2"/>
  <c r="B72" i="2"/>
  <c r="Z39" i="2"/>
  <c r="E51" i="7"/>
  <c r="C57" i="7"/>
  <c r="E57" i="7" s="1"/>
  <c r="D62" i="2" l="1"/>
  <c r="B82" i="2" s="1"/>
  <c r="D82" i="2" s="1"/>
  <c r="D60" i="2"/>
  <c r="B80" i="2" s="1"/>
  <c r="D80" i="2" s="1"/>
  <c r="D66" i="2"/>
  <c r="B86" i="2" s="1"/>
  <c r="D86" i="2" s="1"/>
  <c r="D67" i="2"/>
  <c r="B87" i="2" s="1"/>
  <c r="D87" i="2" s="1"/>
  <c r="D61" i="2"/>
  <c r="B81" i="2" s="1"/>
  <c r="D81" i="2" s="1"/>
  <c r="D73" i="2"/>
  <c r="D65" i="2"/>
  <c r="B85" i="2" s="1"/>
  <c r="D85" i="2" s="1"/>
  <c r="D71" i="2"/>
  <c r="D72" i="2"/>
  <c r="F53" i="7"/>
  <c r="H53" i="7" s="1"/>
  <c r="F52" i="7"/>
  <c r="H52" i="7" s="1"/>
  <c r="F56" i="7"/>
  <c r="H56" i="7" s="1"/>
  <c r="F55" i="7"/>
  <c r="H55" i="7" s="1"/>
  <c r="F54" i="7"/>
  <c r="H54" i="7" s="1"/>
  <c r="F51" i="7"/>
  <c r="H51" i="7" s="1"/>
  <c r="B90" i="2" l="1"/>
  <c r="D90" i="2" s="1"/>
  <c r="E83" i="2" s="1"/>
  <c r="E86" i="2"/>
  <c r="D76" i="2"/>
  <c r="G61" i="2" s="1"/>
  <c r="E84" i="2"/>
  <c r="E80" i="2"/>
  <c r="X9" i="1"/>
  <c r="W9" i="1"/>
  <c r="V9" i="1"/>
  <c r="U9" i="1"/>
  <c r="X8" i="1"/>
  <c r="W8" i="1"/>
  <c r="V8" i="1"/>
  <c r="U8" i="1"/>
  <c r="X7" i="1"/>
  <c r="W7" i="1"/>
  <c r="V7" i="1"/>
  <c r="U7" i="1"/>
  <c r="X6" i="1"/>
  <c r="W6" i="1"/>
  <c r="V6" i="1"/>
  <c r="U6" i="1"/>
  <c r="X5" i="1"/>
  <c r="W5" i="1"/>
  <c r="V5" i="1"/>
  <c r="U5" i="1"/>
  <c r="X4" i="1"/>
  <c r="W4" i="1"/>
  <c r="V4" i="1"/>
  <c r="U4" i="1"/>
  <c r="X3" i="1"/>
  <c r="W3" i="1"/>
  <c r="V3" i="1"/>
  <c r="U3" i="1"/>
  <c r="X2" i="1"/>
  <c r="W2" i="1"/>
  <c r="V2" i="1"/>
  <c r="C21" i="1"/>
  <c r="C20" i="1"/>
  <c r="C19" i="1"/>
  <c r="M8" i="1"/>
  <c r="H3" i="1"/>
  <c r="M3" i="1" s="1"/>
  <c r="H4" i="1"/>
  <c r="K27" i="1" s="1"/>
  <c r="H5" i="1"/>
  <c r="K28" i="1" s="1"/>
  <c r="H6" i="1"/>
  <c r="K29" i="1" s="1"/>
  <c r="H7" i="1"/>
  <c r="K30" i="1" s="1"/>
  <c r="H8" i="1"/>
  <c r="K31" i="1" s="1"/>
  <c r="H9" i="1"/>
  <c r="K32" i="1" s="1"/>
  <c r="H2" i="1"/>
  <c r="K25" i="1" s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I9" i="1"/>
  <c r="I3" i="1"/>
  <c r="I4" i="1"/>
  <c r="I5" i="1"/>
  <c r="I6" i="1"/>
  <c r="I7" i="1"/>
  <c r="I8" i="1"/>
  <c r="L3" i="1"/>
  <c r="L4" i="1"/>
  <c r="L5" i="1"/>
  <c r="L6" i="1"/>
  <c r="L7" i="1"/>
  <c r="L8" i="1"/>
  <c r="L9" i="1"/>
  <c r="E81" i="2" l="1"/>
  <c r="E87" i="2"/>
  <c r="E90" i="2"/>
  <c r="E89" i="2"/>
  <c r="E82" i="2"/>
  <c r="E85" i="2"/>
  <c r="B91" i="2"/>
  <c r="G63" i="2" s="1"/>
  <c r="E88" i="2"/>
  <c r="N9" i="1"/>
  <c r="O4" i="1"/>
  <c r="M5" i="1"/>
  <c r="N3" i="1"/>
  <c r="B19" i="1"/>
  <c r="D19" i="1" s="1"/>
  <c r="O7" i="1"/>
  <c r="S12" i="1"/>
  <c r="B37" i="1"/>
  <c r="R13" i="1"/>
  <c r="C37" i="1"/>
  <c r="C33" i="1"/>
  <c r="B21" i="1"/>
  <c r="R12" i="1"/>
  <c r="K26" i="1"/>
  <c r="O9" i="1"/>
  <c r="N8" i="1"/>
  <c r="M7" i="1"/>
  <c r="O5" i="1"/>
  <c r="O3" i="1"/>
  <c r="N4" i="1"/>
  <c r="T13" i="1"/>
  <c r="V13" i="1"/>
  <c r="X13" i="1"/>
  <c r="O6" i="1"/>
  <c r="O2" i="1"/>
  <c r="M9" i="1"/>
  <c r="N6" i="1"/>
  <c r="S13" i="1"/>
  <c r="U13" i="1"/>
  <c r="W13" i="1"/>
  <c r="W12" i="1"/>
  <c r="N2" i="1"/>
  <c r="O8" i="1"/>
  <c r="N7" i="1"/>
  <c r="M6" i="1"/>
  <c r="M4" i="1"/>
  <c r="N5" i="1"/>
  <c r="D37" i="1"/>
  <c r="T12" i="1"/>
  <c r="V12" i="1"/>
  <c r="X12" i="1"/>
  <c r="S14" i="1" l="1"/>
  <c r="H19" i="1"/>
  <c r="H18" i="1" s="1"/>
  <c r="C27" i="1"/>
  <c r="T14" i="1"/>
  <c r="C30" i="1"/>
  <c r="W14" i="1"/>
  <c r="R14" i="1"/>
  <c r="C29" i="1"/>
  <c r="E29" i="1" s="1"/>
  <c r="V14" i="1"/>
  <c r="C32" i="1"/>
  <c r="B20" i="1"/>
  <c r="E28" i="1"/>
  <c r="U14" i="1"/>
  <c r="C26" i="1"/>
  <c r="C31" i="1"/>
  <c r="E31" i="1" s="1"/>
  <c r="X14" i="1"/>
  <c r="E30" i="1" l="1"/>
  <c r="C43" i="1"/>
  <c r="E43" i="1" s="1"/>
  <c r="E26" i="1"/>
  <c r="C44" i="1"/>
  <c r="E44" i="1" s="1"/>
  <c r="E25" i="1"/>
  <c r="C41" i="1"/>
  <c r="E27" i="1"/>
  <c r="C42" i="1"/>
  <c r="E42" i="1" s="1"/>
  <c r="E32" i="1"/>
  <c r="F32" i="1" s="1"/>
  <c r="C45" i="1"/>
  <c r="F28" i="1"/>
  <c r="H28" i="1" s="1"/>
  <c r="F29" i="1"/>
  <c r="H29" i="1" s="1"/>
  <c r="H20" i="1"/>
  <c r="D20" i="1"/>
  <c r="E19" i="1" s="1"/>
  <c r="F25" i="1"/>
  <c r="H25" i="1" s="1"/>
  <c r="F27" i="1"/>
  <c r="H27" i="1" s="1"/>
  <c r="F26" i="1" l="1"/>
  <c r="H26" i="1" s="1"/>
  <c r="E45" i="1"/>
  <c r="F42" i="1" s="1"/>
  <c r="C46" i="1"/>
  <c r="E41" i="1"/>
  <c r="F31" i="1"/>
  <c r="H31" i="1" s="1"/>
  <c r="F30" i="1"/>
  <c r="H30" i="1" s="1"/>
  <c r="F43" i="1" l="1"/>
  <c r="F44" i="1"/>
  <c r="F41" i="1"/>
</calcChain>
</file>

<file path=xl/sharedStrings.xml><?xml version="1.0" encoding="utf-8"?>
<sst xmlns="http://schemas.openxmlformats.org/spreadsheetml/2006/main" count="726" uniqueCount="279">
  <si>
    <t>test</t>
    <phoneticPr fontId="2" type="noConversion"/>
  </si>
  <si>
    <t>trial_1</t>
    <phoneticPr fontId="2" type="noConversion"/>
  </si>
  <si>
    <t>trial_2</t>
    <phoneticPr fontId="2" type="noConversion"/>
  </si>
  <si>
    <t>trial_3</t>
    <phoneticPr fontId="2" type="noConversion"/>
  </si>
  <si>
    <t>sum of variation</t>
    <phoneticPr fontId="2" type="noConversion"/>
  </si>
  <si>
    <t>SS</t>
  </si>
  <si>
    <t>SS</t>
    <phoneticPr fontId="2" type="noConversion"/>
  </si>
  <si>
    <t>DOF</t>
    <phoneticPr fontId="2" type="noConversion"/>
  </si>
  <si>
    <t>MS</t>
  </si>
  <si>
    <t>MS</t>
    <phoneticPr fontId="2" type="noConversion"/>
  </si>
  <si>
    <t>F ratio</t>
    <phoneticPr fontId="2" type="noConversion"/>
  </si>
  <si>
    <t>between test</t>
    <phoneticPr fontId="2" type="noConversion"/>
  </si>
  <si>
    <t>pure error</t>
    <phoneticPr fontId="2" type="noConversion"/>
  </si>
  <si>
    <t>SS(total)</t>
    <phoneticPr fontId="2" type="noConversion"/>
  </si>
  <si>
    <t>y bar bar</t>
    <phoneticPr fontId="2" type="noConversion"/>
  </si>
  <si>
    <t>SS(between test)</t>
    <phoneticPr fontId="2" type="noConversion"/>
  </si>
  <si>
    <t>avg</t>
    <phoneticPr fontId="2" type="noConversion"/>
  </si>
  <si>
    <t>trial_1-ybar</t>
    <phoneticPr fontId="2" type="noConversion"/>
  </si>
  <si>
    <t>trial_2-ybar</t>
    <phoneticPr fontId="2" type="noConversion"/>
  </si>
  <si>
    <t>trial_3-ybar</t>
    <phoneticPr fontId="2" type="noConversion"/>
  </si>
  <si>
    <t xml:space="preserve"> </t>
    <phoneticPr fontId="2" type="noConversion"/>
  </si>
  <si>
    <t>m</t>
    <phoneticPr fontId="2" type="noConversion"/>
  </si>
  <si>
    <t>n</t>
    <phoneticPr fontId="2" type="noConversion"/>
  </si>
  <si>
    <t>multiple R</t>
    <phoneticPr fontId="2" type="noConversion"/>
  </si>
  <si>
    <t>R square</t>
    <phoneticPr fontId="2" type="noConversion"/>
  </si>
  <si>
    <t>adjusted R^2</t>
    <phoneticPr fontId="2" type="noConversion"/>
  </si>
  <si>
    <t>ANOVA table for variation source</t>
    <phoneticPr fontId="2" type="noConversion"/>
  </si>
  <si>
    <t>ANOVA table for all factors effects</t>
    <phoneticPr fontId="2" type="noConversion"/>
  </si>
  <si>
    <t>source of variation</t>
    <phoneticPr fontId="2" type="noConversion"/>
  </si>
  <si>
    <t>SUM of square</t>
    <phoneticPr fontId="2" type="noConversion"/>
  </si>
  <si>
    <t>mean square</t>
    <phoneticPr fontId="2" type="noConversion"/>
  </si>
  <si>
    <t>F</t>
  </si>
  <si>
    <t>E1</t>
    <phoneticPr fontId="2" type="noConversion"/>
  </si>
  <si>
    <t>E2</t>
    <phoneticPr fontId="2" type="noConversion"/>
  </si>
  <si>
    <t>E3</t>
    <phoneticPr fontId="2" type="noConversion"/>
  </si>
  <si>
    <t>temp(1)</t>
    <phoneticPr fontId="2" type="noConversion"/>
  </si>
  <si>
    <t>pres(2)</t>
    <phoneticPr fontId="2" type="noConversion"/>
  </si>
  <si>
    <t>time(3)</t>
    <phoneticPr fontId="2" type="noConversion"/>
  </si>
  <si>
    <t>E12</t>
    <phoneticPr fontId="2" type="noConversion"/>
  </si>
  <si>
    <t>E13</t>
    <phoneticPr fontId="2" type="noConversion"/>
  </si>
  <si>
    <t>E23</t>
    <phoneticPr fontId="2" type="noConversion"/>
  </si>
  <si>
    <t>E123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</si>
  <si>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</si>
  <si>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</si>
  <si>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</si>
  <si>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X1X2</t>
    <phoneticPr fontId="2" type="noConversion"/>
  </si>
  <si>
    <t>X1X3</t>
    <phoneticPr fontId="2" type="noConversion"/>
  </si>
  <si>
    <t>X2X3</t>
    <phoneticPr fontId="2" type="noConversion"/>
  </si>
  <si>
    <t>X1X2X3</t>
    <phoneticPr fontId="2" type="noConversion"/>
  </si>
  <si>
    <t>SSE</t>
    <phoneticPr fontId="2" type="noConversion"/>
  </si>
  <si>
    <t>total</t>
    <phoneticPr fontId="2" type="noConversion"/>
  </si>
  <si>
    <t>X1</t>
  </si>
  <si>
    <t>X1</t>
    <phoneticPr fontId="2" type="noConversion"/>
  </si>
  <si>
    <t>X2</t>
  </si>
  <si>
    <t>X2</t>
    <phoneticPr fontId="2" type="noConversion"/>
  </si>
  <si>
    <t>X3</t>
  </si>
  <si>
    <t>X3</t>
    <phoneticPr fontId="2" type="noConversion"/>
  </si>
  <si>
    <t>X1X2</t>
  </si>
  <si>
    <t>X1X2</t>
    <phoneticPr fontId="2" type="noConversion"/>
  </si>
  <si>
    <t>X1X3</t>
  </si>
  <si>
    <t>X1X3</t>
    <phoneticPr fontId="2" type="noConversion"/>
  </si>
  <si>
    <t>X2X3</t>
  </si>
  <si>
    <t>X2X3</t>
    <phoneticPr fontId="2" type="noConversion"/>
  </si>
  <si>
    <t>X1X2X3</t>
  </si>
  <si>
    <t>X1X2X3</t>
    <phoneticPr fontId="2" type="noConversion"/>
  </si>
  <si>
    <t>sum</t>
    <phoneticPr fontId="2" type="noConversion"/>
  </si>
  <si>
    <t>X4</t>
    <phoneticPr fontId="2" type="noConversion"/>
  </si>
  <si>
    <t>Run1</t>
    <phoneticPr fontId="2" type="noConversion"/>
  </si>
  <si>
    <t>Run2</t>
    <phoneticPr fontId="2" type="noConversion"/>
  </si>
  <si>
    <t>S/N smaller</t>
    <phoneticPr fontId="2" type="noConversion"/>
  </si>
  <si>
    <t>(a)</t>
    <phoneticPr fontId="2" type="noConversion"/>
  </si>
  <si>
    <t>DOF of SST</t>
    <phoneticPr fontId="2" type="noConversion"/>
  </si>
  <si>
    <t>(b)</t>
    <phoneticPr fontId="2" type="noConversion"/>
  </si>
  <si>
    <t>sum of square</t>
    <phoneticPr fontId="2" type="noConversion"/>
  </si>
  <si>
    <t>X4</t>
  </si>
  <si>
    <t>X4</t>
    <phoneticPr fontId="2" type="noConversion"/>
  </si>
  <si>
    <t>+</t>
    <phoneticPr fontId="2" type="noConversion"/>
  </si>
  <si>
    <t>-</t>
    <phoneticPr fontId="2" type="noConversion"/>
  </si>
  <si>
    <t>X1+</t>
    <phoneticPr fontId="2" type="noConversion"/>
  </si>
  <si>
    <t>X1-</t>
    <phoneticPr fontId="2" type="noConversion"/>
  </si>
  <si>
    <t>X2+</t>
    <phoneticPr fontId="2" type="noConversion"/>
  </si>
  <si>
    <t>X2-</t>
    <phoneticPr fontId="2" type="noConversion"/>
  </si>
  <si>
    <t>X3+</t>
    <phoneticPr fontId="2" type="noConversion"/>
  </si>
  <si>
    <t>X3-</t>
    <phoneticPr fontId="2" type="noConversion"/>
  </si>
  <si>
    <t>X4+</t>
    <phoneticPr fontId="2" type="noConversion"/>
  </si>
  <si>
    <t>X4-</t>
    <phoneticPr fontId="2" type="noConversion"/>
  </si>
  <si>
    <t>SS(main effect)</t>
    <phoneticPr fontId="2" type="noConversion"/>
  </si>
  <si>
    <t>mean</t>
    <phoneticPr fontId="2" type="noConversion"/>
  </si>
  <si>
    <t>SST cal</t>
    <phoneticPr fontId="2" type="noConversion"/>
  </si>
  <si>
    <t>X1X4</t>
  </si>
  <si>
    <t>X1X4</t>
    <phoneticPr fontId="2" type="noConversion"/>
  </si>
  <si>
    <t>X2X4</t>
  </si>
  <si>
    <t>X2X4</t>
    <phoneticPr fontId="2" type="noConversion"/>
  </si>
  <si>
    <t>X1X2X4</t>
  </si>
  <si>
    <t>X1X2X4</t>
    <phoneticPr fontId="2" type="noConversion"/>
  </si>
  <si>
    <t>X2X3X4</t>
  </si>
  <si>
    <t>X2X3X4</t>
    <phoneticPr fontId="2" type="noConversion"/>
  </si>
  <si>
    <t>X1X2X3X4</t>
  </si>
  <si>
    <t>X1X2X3X4</t>
    <phoneticPr fontId="2" type="noConversion"/>
  </si>
  <si>
    <t>X1X3X4</t>
  </si>
  <si>
    <t>X1X3X4</t>
    <phoneticPr fontId="2" type="noConversion"/>
  </si>
  <si>
    <t>1+</t>
    <phoneticPr fontId="2" type="noConversion"/>
  </si>
  <si>
    <t>1-</t>
    <phoneticPr fontId="2" type="noConversion"/>
  </si>
  <si>
    <t>2+</t>
    <phoneticPr fontId="2" type="noConversion"/>
  </si>
  <si>
    <t>2-</t>
    <phoneticPr fontId="2" type="noConversion"/>
  </si>
  <si>
    <t>X1X2+</t>
    <phoneticPr fontId="2" type="noConversion"/>
  </si>
  <si>
    <t>X1X2-</t>
    <phoneticPr fontId="2" type="noConversion"/>
  </si>
  <si>
    <t>Fcal</t>
    <phoneticPr fontId="2" type="noConversion"/>
  </si>
  <si>
    <t>F_fish</t>
    <phoneticPr fontId="2" type="noConversion"/>
  </si>
  <si>
    <t>significant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</si>
  <si>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</si>
  <si>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</si>
  <si>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</si>
  <si>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B12</t>
    <phoneticPr fontId="2" type="noConversion"/>
  </si>
  <si>
    <t>B13</t>
    <phoneticPr fontId="2" type="noConversion"/>
  </si>
  <si>
    <t>B23</t>
    <phoneticPr fontId="2" type="noConversion"/>
  </si>
  <si>
    <t>B123</t>
    <phoneticPr fontId="2" type="noConversion"/>
  </si>
  <si>
    <t>model</t>
    <phoneticPr fontId="2" type="noConversion"/>
  </si>
  <si>
    <t>b0</t>
    <phoneticPr fontId="2" type="noConversion"/>
  </si>
  <si>
    <t>b1</t>
    <phoneticPr fontId="2" type="noConversion"/>
  </si>
  <si>
    <t>b3</t>
    <phoneticPr fontId="2" type="noConversion"/>
  </si>
  <si>
    <t>b23</t>
    <phoneticPr fontId="2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</si>
  <si>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</si>
  <si>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</si>
  <si>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</si>
  <si>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</si>
  <si>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</si>
  <si>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</si>
  <si>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</si>
  <si>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</si>
  <si>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</si>
  <si>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</si>
  <si>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</si>
  <si>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</si>
  <si>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</si>
  <si>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</si>
  <si>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</si>
  <si>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</si>
  <si>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</si>
  <si>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</si>
  <si>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</si>
  <si>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</si>
  <si>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</si>
  <si>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ANOVA table from model</t>
    <phoneticPr fontId="2" type="noConversion"/>
  </si>
  <si>
    <t>residual</t>
    <phoneticPr fontId="2" type="noConversion"/>
  </si>
  <si>
    <t>source</t>
    <phoneticPr fontId="2" type="noConversion"/>
  </si>
  <si>
    <t>Ffish</t>
    <phoneticPr fontId="2" type="noConversion"/>
  </si>
  <si>
    <t>R^2</t>
    <phoneticPr fontId="2" type="noConversion"/>
  </si>
  <si>
    <t>R^2 adjusted</t>
    <phoneticPr fontId="2" type="noConversion"/>
  </si>
  <si>
    <t>X3X4</t>
  </si>
  <si>
    <t>X3X4</t>
    <phoneticPr fontId="2" type="noConversion"/>
  </si>
  <si>
    <t>X1X3+</t>
    <phoneticPr fontId="2" type="noConversion"/>
  </si>
  <si>
    <t>X1X3-</t>
    <phoneticPr fontId="2" type="noConversion"/>
  </si>
  <si>
    <t>X1X4+</t>
    <phoneticPr fontId="2" type="noConversion"/>
  </si>
  <si>
    <t>X1X4-</t>
    <phoneticPr fontId="2" type="noConversion"/>
  </si>
  <si>
    <t>X2X4+</t>
    <phoneticPr fontId="2" type="noConversion"/>
  </si>
  <si>
    <t>X2X4-</t>
    <phoneticPr fontId="2" type="noConversion"/>
  </si>
  <si>
    <t>X2X3+</t>
    <phoneticPr fontId="2" type="noConversion"/>
  </si>
  <si>
    <t>X2X3-</t>
    <phoneticPr fontId="2" type="noConversion"/>
  </si>
  <si>
    <t>X1X2X3+</t>
    <phoneticPr fontId="2" type="noConversion"/>
  </si>
  <si>
    <t>X3X4+</t>
    <phoneticPr fontId="2" type="noConversion"/>
  </si>
  <si>
    <t>X3X4-</t>
    <phoneticPr fontId="2" type="noConversion"/>
  </si>
  <si>
    <t>X1X2X3-</t>
    <phoneticPr fontId="2" type="noConversion"/>
  </si>
  <si>
    <t>X1X2X4+</t>
    <phoneticPr fontId="2" type="noConversion"/>
  </si>
  <si>
    <t>X1X2X4-</t>
    <phoneticPr fontId="2" type="noConversion"/>
  </si>
  <si>
    <t>X2X3X4+</t>
    <phoneticPr fontId="2" type="noConversion"/>
  </si>
  <si>
    <t>X2X3X4-</t>
    <phoneticPr fontId="2" type="noConversion"/>
  </si>
  <si>
    <t>X1X2X3X4+</t>
    <phoneticPr fontId="2" type="noConversion"/>
  </si>
  <si>
    <t>X1X2X3X4-</t>
    <phoneticPr fontId="2" type="noConversion"/>
  </si>
  <si>
    <t>X1X3X4+</t>
    <phoneticPr fontId="2" type="noConversion"/>
  </si>
  <si>
    <t>X1X3X4-</t>
    <phoneticPr fontId="2" type="noConversion"/>
  </si>
  <si>
    <t>R^2 adj</t>
    <phoneticPr fontId="2" type="noConversion"/>
  </si>
  <si>
    <t>F calculate</t>
    <phoneticPr fontId="2" type="noConversion"/>
  </si>
  <si>
    <t>F fish</t>
    <phoneticPr fontId="2" type="noConversion"/>
  </si>
  <si>
    <t>var</t>
    <phoneticPr fontId="2" type="noConversion"/>
  </si>
  <si>
    <t>expt no.</t>
    <phoneticPr fontId="2" type="noConversion"/>
  </si>
  <si>
    <t>test wafer 1</t>
    <phoneticPr fontId="2" type="noConversion"/>
  </si>
  <si>
    <t>test wafer 3</t>
    <phoneticPr fontId="2" type="noConversion"/>
  </si>
  <si>
    <t>S/N</t>
    <phoneticPr fontId="2" type="noConversion"/>
  </si>
  <si>
    <t>temp</t>
    <phoneticPr fontId="2" type="noConversion"/>
  </si>
  <si>
    <t>pres</t>
    <phoneticPr fontId="2" type="noConversion"/>
  </si>
  <si>
    <t>nitro</t>
    <phoneticPr fontId="2" type="noConversion"/>
  </si>
  <si>
    <t>silane</t>
    <phoneticPr fontId="2" type="noConversion"/>
  </si>
  <si>
    <t>time</t>
    <phoneticPr fontId="2" type="noConversion"/>
  </si>
  <si>
    <t>clean meth</t>
    <phoneticPr fontId="2" type="noConversion"/>
  </si>
  <si>
    <t>X5</t>
  </si>
  <si>
    <t>X5</t>
    <phoneticPr fontId="2" type="noConversion"/>
  </si>
  <si>
    <t>X6</t>
  </si>
  <si>
    <t>X6</t>
    <phoneticPr fontId="2" type="noConversion"/>
  </si>
  <si>
    <t>X1X5</t>
    <phoneticPr fontId="2" type="noConversion"/>
  </si>
  <si>
    <t>X1X6</t>
    <phoneticPr fontId="2" type="noConversion"/>
  </si>
  <si>
    <t>X2X5</t>
    <phoneticPr fontId="2" type="noConversion"/>
  </si>
  <si>
    <t>X2X6</t>
    <phoneticPr fontId="2" type="noConversion"/>
  </si>
  <si>
    <t>X3X5</t>
    <phoneticPr fontId="2" type="noConversion"/>
  </si>
  <si>
    <t>X3X6</t>
    <phoneticPr fontId="2" type="noConversion"/>
  </si>
  <si>
    <t>X4X6</t>
    <phoneticPr fontId="2" type="noConversion"/>
  </si>
  <si>
    <t>X5X6</t>
    <phoneticPr fontId="2" type="noConversion"/>
  </si>
  <si>
    <t>X4X5</t>
    <phoneticPr fontId="2" type="noConversion"/>
  </si>
  <si>
    <t>X1X5</t>
  </si>
  <si>
    <t>X1X6</t>
  </si>
  <si>
    <t>X2X5</t>
  </si>
  <si>
    <t>X2X6</t>
  </si>
  <si>
    <t>X3X5</t>
  </si>
  <si>
    <t>X3X6</t>
  </si>
  <si>
    <t>X4X5</t>
  </si>
  <si>
    <t>X4X6</t>
  </si>
  <si>
    <t>X5X6</t>
  </si>
  <si>
    <t>E1</t>
    <phoneticPr fontId="2" type="noConversion"/>
  </si>
  <si>
    <t>E2</t>
    <phoneticPr fontId="2" type="noConversion"/>
  </si>
  <si>
    <t>E3</t>
    <phoneticPr fontId="2" type="noConversion"/>
  </si>
  <si>
    <t>E4</t>
    <phoneticPr fontId="2" type="noConversion"/>
  </si>
  <si>
    <t>E5</t>
    <phoneticPr fontId="2" type="noConversion"/>
  </si>
  <si>
    <t>E6</t>
    <phoneticPr fontId="2" type="noConversion"/>
  </si>
  <si>
    <t>X1+</t>
    <phoneticPr fontId="2" type="noConversion"/>
  </si>
  <si>
    <t>X10</t>
    <phoneticPr fontId="2" type="noConversion"/>
  </si>
  <si>
    <t>X1-</t>
    <phoneticPr fontId="2" type="noConversion"/>
  </si>
  <si>
    <t>X2+</t>
    <phoneticPr fontId="2" type="noConversion"/>
  </si>
  <si>
    <t>X20</t>
    <phoneticPr fontId="2" type="noConversion"/>
  </si>
  <si>
    <t>X2-</t>
    <phoneticPr fontId="2" type="noConversion"/>
  </si>
  <si>
    <t>X3+</t>
    <phoneticPr fontId="2" type="noConversion"/>
  </si>
  <si>
    <t>X30</t>
    <phoneticPr fontId="2" type="noConversion"/>
  </si>
  <si>
    <t>X3-</t>
    <phoneticPr fontId="2" type="noConversion"/>
  </si>
  <si>
    <t>X4+</t>
    <phoneticPr fontId="2" type="noConversion"/>
  </si>
  <si>
    <t>X40</t>
    <phoneticPr fontId="2" type="noConversion"/>
  </si>
  <si>
    <t>X4-</t>
    <phoneticPr fontId="2" type="noConversion"/>
  </si>
  <si>
    <t>X5+</t>
    <phoneticPr fontId="2" type="noConversion"/>
  </si>
  <si>
    <t>X50</t>
    <phoneticPr fontId="2" type="noConversion"/>
  </si>
  <si>
    <t>X5-</t>
    <phoneticPr fontId="2" type="noConversion"/>
  </si>
  <si>
    <t>X6+</t>
    <phoneticPr fontId="2" type="noConversion"/>
  </si>
  <si>
    <t>X60</t>
    <phoneticPr fontId="2" type="noConversion"/>
  </si>
  <si>
    <t>X6-</t>
    <phoneticPr fontId="2" type="noConversion"/>
  </si>
  <si>
    <t>avg</t>
    <phoneticPr fontId="2" type="noConversion"/>
  </si>
  <si>
    <t>source</t>
    <phoneticPr fontId="2" type="noConversion"/>
  </si>
  <si>
    <t>between test</t>
    <phoneticPr fontId="2" type="noConversion"/>
  </si>
  <si>
    <t>SS(total)</t>
    <phoneticPr fontId="2" type="noConversion"/>
  </si>
  <si>
    <t>SS</t>
    <phoneticPr fontId="2" type="noConversion"/>
  </si>
  <si>
    <t>DOF</t>
    <phoneticPr fontId="2" type="noConversion"/>
  </si>
  <si>
    <t>MS</t>
    <phoneticPr fontId="2" type="noConversion"/>
  </si>
  <si>
    <t>F ratio</t>
    <phoneticPr fontId="2" type="noConversion"/>
  </si>
  <si>
    <t>SSE</t>
    <phoneticPr fontId="2" type="noConversion"/>
  </si>
  <si>
    <t>F cal</t>
    <phoneticPr fontId="2" type="noConversion"/>
  </si>
  <si>
    <t>avg</t>
  </si>
  <si>
    <t>S/N smaller</t>
    <phoneticPr fontId="2" type="noConversion"/>
  </si>
  <si>
    <t>trial</t>
    <phoneticPr fontId="2" type="noConversion"/>
  </si>
  <si>
    <t>SUM</t>
    <phoneticPr fontId="2" type="noConversion"/>
  </si>
  <si>
    <t>AVG</t>
    <phoneticPr fontId="2" type="noConversion"/>
  </si>
  <si>
    <t>+</t>
  </si>
  <si>
    <t>-</t>
  </si>
  <si>
    <t>DOF</t>
  </si>
  <si>
    <t>SS</t>
    <phoneticPr fontId="2" type="noConversion"/>
  </si>
  <si>
    <t>significant</t>
    <phoneticPr fontId="2" type="noConversion"/>
  </si>
  <si>
    <t>下限 90.0%</t>
  </si>
  <si>
    <t>上限 90.0%</t>
  </si>
  <si>
    <t>INN</t>
  </si>
  <si>
    <t>MARGIN</t>
  </si>
  <si>
    <t>ROOMS</t>
  </si>
  <si>
    <t>NEAREST</t>
  </si>
  <si>
    <t>OFFICE</t>
  </si>
  <si>
    <t>COLLEGE</t>
  </si>
  <si>
    <t>INCOME</t>
  </si>
  <si>
    <t>DISTTWN</t>
  </si>
  <si>
    <t>trial</t>
    <phoneticPr fontId="2" type="noConversion"/>
  </si>
  <si>
    <t>average of 6</t>
    <phoneticPr fontId="2" type="noConversion"/>
  </si>
  <si>
    <t>room^2</t>
  </si>
  <si>
    <t>room^2</t>
    <phoneticPr fontId="2" type="noConversion"/>
  </si>
  <si>
    <t>nearest^2</t>
  </si>
  <si>
    <t>nearest^2</t>
    <phoneticPr fontId="2" type="noConversion"/>
  </si>
  <si>
    <t>significant</t>
    <phoneticPr fontId="2" type="noConversion"/>
  </si>
  <si>
    <t>office^2</t>
  </si>
  <si>
    <t>office^2</t>
    <phoneticPr fontId="2" type="noConversion"/>
  </si>
  <si>
    <t>college^2</t>
  </si>
  <si>
    <t>college^2</t>
    <phoneticPr fontId="2" type="noConversion"/>
  </si>
  <si>
    <t>income^2</t>
  </si>
  <si>
    <t>income^2</t>
    <phoneticPr fontId="2" type="noConversion"/>
  </si>
  <si>
    <t>distwn^2</t>
  </si>
  <si>
    <t>distwn^2</t>
    <phoneticPr fontId="2" type="noConversion"/>
  </si>
  <si>
    <t>room*near</t>
    <phoneticPr fontId="2" type="noConversion"/>
  </si>
  <si>
    <t>room*office</t>
    <phoneticPr fontId="2" type="noConversion"/>
  </si>
  <si>
    <t>room*college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</si>
</sst>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2" borderId="9" xfId="0" applyFont="1" applyFill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2" borderId="16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Continuous" vertical="center"/>
    </xf>
    <xf numFmtId="0" fontId="1" fillId="4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5" xfId="0" applyFont="1" applyFill="1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26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24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19" xfId="0" applyFont="1" applyFill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1" fillId="0" borderId="37" xfId="0" applyFont="1" applyBorder="1">
      <alignment vertical="center"/>
    </xf>
    <xf numFmtId="0" fontId="1" fillId="0" borderId="38" xfId="0" applyFont="1" applyBorder="1">
      <alignment vertical="center"/>
    </xf>
    <xf numFmtId="0" fontId="1" fillId="4" borderId="4" xfId="0" applyFont="1" applyFill="1" applyBorder="1">
      <alignment vertical="center"/>
    </xf>
    <xf numFmtId="0" fontId="1" fillId="4" borderId="34" xfId="0" applyFont="1" applyFill="1" applyBorder="1">
      <alignment vertical="center"/>
    </xf>
    <xf numFmtId="0" fontId="1" fillId="8" borderId="3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1" fillId="8" borderId="19" xfId="0" applyFont="1" applyFill="1" applyBorder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76" fontId="1" fillId="0" borderId="4" xfId="0" applyNumberFormat="1" applyFont="1" applyBorder="1">
      <alignment vertical="center"/>
    </xf>
    <xf numFmtId="176" fontId="1" fillId="0" borderId="3" xfId="0" applyNumberFormat="1" applyFont="1" applyBorder="1">
      <alignment vertical="center"/>
    </xf>
    <xf numFmtId="176" fontId="1" fillId="0" borderId="19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76" fontId="4" fillId="0" borderId="24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6" fontId="1" fillId="0" borderId="39" xfId="0" applyNumberFormat="1" applyFont="1" applyBorder="1">
      <alignment vertical="center"/>
    </xf>
    <xf numFmtId="176" fontId="1" fillId="0" borderId="40" xfId="0" applyNumberFormat="1" applyFont="1" applyBorder="1">
      <alignment vertical="center"/>
    </xf>
    <xf numFmtId="176" fontId="1" fillId="0" borderId="41" xfId="0" applyNumberFormat="1" applyFont="1" applyBorder="1">
      <alignment vertical="center"/>
    </xf>
    <xf numFmtId="176" fontId="1" fillId="0" borderId="36" xfId="0" applyNumberFormat="1" applyFont="1" applyBorder="1">
      <alignment vertical="center"/>
    </xf>
    <xf numFmtId="176" fontId="1" fillId="4" borderId="37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0" borderId="33" xfId="0" applyNumberFormat="1" applyFont="1" applyBorder="1">
      <alignment vertical="center"/>
    </xf>
    <xf numFmtId="176" fontId="1" fillId="0" borderId="34" xfId="0" applyNumberFormat="1" applyFont="1" applyBorder="1">
      <alignment vertical="center"/>
    </xf>
    <xf numFmtId="176" fontId="1" fillId="0" borderId="35" xfId="0" applyNumberFormat="1" applyFont="1" applyBorder="1">
      <alignment vertical="center"/>
    </xf>
    <xf numFmtId="176" fontId="1" fillId="0" borderId="2" xfId="0" applyNumberFormat="1" applyFont="1" applyBorder="1">
      <alignment vertical="center"/>
    </xf>
    <xf numFmtId="176" fontId="1" fillId="0" borderId="9" xfId="0" applyNumberFormat="1" applyFont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protection locked="0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42" xfId="0" applyFont="1" applyBorder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>
      <alignment vertical="center"/>
    </xf>
    <xf numFmtId="0" fontId="1" fillId="2" borderId="23" xfId="0" applyFont="1" applyFill="1" applyBorder="1">
      <alignment vertical="center"/>
    </xf>
    <xf numFmtId="0" fontId="1" fillId="5" borderId="25" xfId="0" applyFont="1" applyFill="1" applyBorder="1">
      <alignment vertical="center"/>
    </xf>
    <xf numFmtId="0" fontId="1" fillId="5" borderId="13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4" fillId="7" borderId="13" xfId="0" applyFont="1" applyFill="1" applyBorder="1">
      <alignment vertical="center"/>
    </xf>
    <xf numFmtId="0" fontId="4" fillId="0" borderId="14" xfId="0" applyFont="1" applyBorder="1">
      <alignment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9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76" fontId="1" fillId="0" borderId="27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76" fontId="4" fillId="0" borderId="44" xfId="0" applyNumberFormat="1" applyFont="1" applyFill="1" applyBorder="1" applyAlignment="1">
      <alignment horizontal="center" vertical="center"/>
    </xf>
    <xf numFmtId="176" fontId="4" fillId="0" borderId="37" xfId="0" applyNumberFormat="1" applyFont="1" applyFill="1" applyBorder="1" applyAlignment="1">
      <alignment horizontal="center" vertical="center"/>
    </xf>
    <xf numFmtId="176" fontId="4" fillId="0" borderId="38" xfId="0" applyNumberFormat="1" applyFont="1" applyFill="1" applyBorder="1" applyAlignment="1">
      <alignment horizontal="center" vertical="center"/>
    </xf>
    <xf numFmtId="0" fontId="0" fillId="4" borderId="0" xfId="0" applyNumberFormat="1" applyFill="1" applyAlignment="1" applyProtection="1">
      <alignment horizontal="right"/>
      <protection locked="0"/>
    </xf>
    <xf numFmtId="0" fontId="0" fillId="4" borderId="0" xfId="0" applyFill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424746</xdr:colOff>
      <xdr:row>20</xdr:row>
      <xdr:rowOff>18219</xdr:rowOff>
    </xdr:from>
    <xdr:to>
      <xdr:col>26</xdr:col>
      <xdr:colOff>377525</xdr:colOff>
      <xdr:row>43</xdr:row>
      <xdr:rowOff>102829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8599" y="4108366"/>
          <a:ext cx="10284602" cy="477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372770</xdr:colOff>
      <xdr:row>57</xdr:row>
      <xdr:rowOff>164180</xdr:rowOff>
    </xdr:from>
    <xdr:to>
      <xdr:col>24</xdr:col>
      <xdr:colOff>671027</xdr:colOff>
      <xdr:row>82</xdr:row>
      <xdr:rowOff>134471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1388" y="11739856"/>
          <a:ext cx="7593286" cy="50689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414617</xdr:colOff>
      <xdr:row>42</xdr:row>
      <xdr:rowOff>170327</xdr:rowOff>
    </xdr:from>
    <xdr:to>
      <xdr:col>26</xdr:col>
      <xdr:colOff>315030</xdr:colOff>
      <xdr:row>60</xdr:row>
      <xdr:rowOff>201705</xdr:rowOff>
    </xdr:to>
    <xdr:grpSp>
      <xdr:nvGrpSpPr>
        <xdr:cNvPr id="4" name="群組 3"/>
        <xdr:cNvGrpSpPr/>
      </xdr:nvGrpSpPr>
      <xdr:grpSpPr>
        <a:xfrm>
          <a:off x="11109831" y="8742827"/>
          <a:ext cx="9520663" cy="3705307"/>
          <a:chOff x="7728857" y="1136469"/>
          <a:chExt cx="8134598" cy="3778407"/>
        </a:xfrm>
      </xdr:grpSpPr>
      <xdr:pic>
        <xdr:nvPicPr>
          <xdr:cNvPr id="2" name="圖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728857" y="1136469"/>
            <a:ext cx="7933959" cy="1468889"/>
          </a:xfrm>
          <a:prstGeom prst="rect">
            <a:avLst/>
          </a:prstGeom>
        </xdr:spPr>
      </xdr:pic>
      <xdr:pic>
        <xdr:nvPicPr>
          <xdr:cNvPr id="3" name="圖片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146473" y="2513119"/>
            <a:ext cx="7716982" cy="2401757"/>
          </a:xfrm>
          <a:prstGeom prst="rect">
            <a:avLst/>
          </a:prstGeom>
        </xdr:spPr>
      </xdr:pic>
    </xdr:grpSp>
    <xdr:clientData/>
  </xdr:twoCellAnchor>
  <xdr:twoCellAnchor editAs="oneCell">
    <xdr:from>
      <xdr:col>28</xdr:col>
      <xdr:colOff>515984</xdr:colOff>
      <xdr:row>41</xdr:row>
      <xdr:rowOff>8709</xdr:rowOff>
    </xdr:from>
    <xdr:to>
      <xdr:col>33</xdr:col>
      <xdr:colOff>447360</xdr:colOff>
      <xdr:row>61</xdr:row>
      <xdr:rowOff>51396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84784" y="8521338"/>
          <a:ext cx="3180762" cy="3961222"/>
        </a:xfrm>
        <a:prstGeom prst="rect">
          <a:avLst/>
        </a:prstGeom>
      </xdr:spPr>
    </xdr:pic>
    <xdr:clientData/>
  </xdr:twoCellAnchor>
  <xdr:twoCellAnchor editAs="oneCell">
    <xdr:from>
      <xdr:col>16</xdr:col>
      <xdr:colOff>123265</xdr:colOff>
      <xdr:row>61</xdr:row>
      <xdr:rowOff>134471</xdr:rowOff>
    </xdr:from>
    <xdr:to>
      <xdr:col>24</xdr:col>
      <xdr:colOff>41985</xdr:colOff>
      <xdr:row>87</xdr:row>
      <xdr:rowOff>23451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60206" y="13155706"/>
          <a:ext cx="6057143" cy="51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466723</xdr:colOff>
      <xdr:row>8</xdr:row>
      <xdr:rowOff>177616</xdr:rowOff>
    </xdr:from>
    <xdr:to>
      <xdr:col>29</xdr:col>
      <xdr:colOff>589333</xdr:colOff>
      <xdr:row>30</xdr:row>
      <xdr:rowOff>2249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8547" y="1880910"/>
          <a:ext cx="9692433" cy="4508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20" sqref="B20"/>
    </sheetView>
  </sheetViews>
  <sheetFormatPr defaultRowHeight="16.5" x14ac:dyDescent="0.25"/>
  <cols>
    <col min="2" max="2" width="10.375" bestFit="1" customWidth="1"/>
    <col min="4" max="4" width="10.375" bestFit="1" customWidth="1"/>
  </cols>
  <sheetData>
    <row r="1" spans="1:15" x14ac:dyDescent="0.25">
      <c r="A1">
        <v>-1</v>
      </c>
      <c r="B1">
        <v>-1</v>
      </c>
      <c r="C1">
        <v>11</v>
      </c>
      <c r="D1">
        <v>7</v>
      </c>
      <c r="E1">
        <v>10</v>
      </c>
      <c r="F1">
        <v>15</v>
      </c>
      <c r="G1">
        <v>7</v>
      </c>
      <c r="H1" s="20">
        <f>AVERAGE(C1:G1)</f>
        <v>10</v>
      </c>
      <c r="I1">
        <f>C1-$C$6</f>
        <v>-18.75</v>
      </c>
      <c r="J1">
        <f t="shared" ref="J1:M4" si="0">D1-$C$6</f>
        <v>-22.75</v>
      </c>
      <c r="K1">
        <f t="shared" si="0"/>
        <v>-19.75</v>
      </c>
      <c r="L1">
        <f t="shared" si="0"/>
        <v>-14.75</v>
      </c>
      <c r="M1">
        <f t="shared" si="0"/>
        <v>-22.75</v>
      </c>
      <c r="O1">
        <f>A1*B1</f>
        <v>1</v>
      </c>
    </row>
    <row r="2" spans="1:15" x14ac:dyDescent="0.25">
      <c r="A2">
        <v>1</v>
      </c>
      <c r="B2">
        <v>-1</v>
      </c>
      <c r="C2">
        <v>48</v>
      </c>
      <c r="D2">
        <v>43</v>
      </c>
      <c r="E2">
        <v>52</v>
      </c>
      <c r="F2">
        <v>55</v>
      </c>
      <c r="G2">
        <v>47</v>
      </c>
      <c r="H2" s="20">
        <f>AVERAGE(C2:G2)</f>
        <v>49</v>
      </c>
      <c r="I2">
        <f>C2-$C$6</f>
        <v>18.25</v>
      </c>
      <c r="J2">
        <f t="shared" si="0"/>
        <v>13.25</v>
      </c>
      <c r="K2">
        <f t="shared" si="0"/>
        <v>22.25</v>
      </c>
      <c r="L2">
        <f t="shared" si="0"/>
        <v>25.25</v>
      </c>
      <c r="M2">
        <f t="shared" si="0"/>
        <v>17.25</v>
      </c>
      <c r="O2">
        <f>A2*B2</f>
        <v>-1</v>
      </c>
    </row>
    <row r="3" spans="1:15" x14ac:dyDescent="0.25">
      <c r="A3">
        <v>-1</v>
      </c>
      <c r="B3">
        <v>1</v>
      </c>
      <c r="C3">
        <v>31</v>
      </c>
      <c r="D3">
        <v>24</v>
      </c>
      <c r="E3">
        <v>27</v>
      </c>
      <c r="F3">
        <v>23</v>
      </c>
      <c r="G3">
        <v>20</v>
      </c>
      <c r="H3" s="20">
        <f>AVERAGE(C3:G3)</f>
        <v>25</v>
      </c>
      <c r="I3">
        <f>C3-$C$6</f>
        <v>1.25</v>
      </c>
      <c r="J3">
        <f t="shared" si="0"/>
        <v>-5.75</v>
      </c>
      <c r="K3">
        <f t="shared" si="0"/>
        <v>-2.75</v>
      </c>
      <c r="L3">
        <f t="shared" si="0"/>
        <v>-6.75</v>
      </c>
      <c r="M3">
        <f t="shared" si="0"/>
        <v>-9.75</v>
      </c>
      <c r="O3">
        <f>A3*B3</f>
        <v>-1</v>
      </c>
    </row>
    <row r="4" spans="1:15" x14ac:dyDescent="0.25">
      <c r="A4">
        <v>1</v>
      </c>
      <c r="B4">
        <v>1</v>
      </c>
      <c r="C4">
        <v>37</v>
      </c>
      <c r="D4">
        <v>33</v>
      </c>
      <c r="E4">
        <v>34</v>
      </c>
      <c r="F4">
        <v>37</v>
      </c>
      <c r="G4">
        <v>34</v>
      </c>
      <c r="H4" s="20">
        <f>AVERAGE(C4:G4)</f>
        <v>35</v>
      </c>
      <c r="I4">
        <f>C4-$C$6</f>
        <v>7.25</v>
      </c>
      <c r="J4">
        <f t="shared" si="0"/>
        <v>3.25</v>
      </c>
      <c r="K4">
        <f t="shared" si="0"/>
        <v>4.25</v>
      </c>
      <c r="L4">
        <f t="shared" si="0"/>
        <v>7.25</v>
      </c>
      <c r="M4">
        <f t="shared" si="0"/>
        <v>4.25</v>
      </c>
      <c r="O4">
        <f>A4*B4</f>
        <v>1</v>
      </c>
    </row>
    <row r="6" spans="1:15" x14ac:dyDescent="0.25">
      <c r="B6" t="s">
        <v>16</v>
      </c>
      <c r="C6">
        <v>29.75</v>
      </c>
      <c r="D6">
        <f>SUMSQ(I1:M4)</f>
        <v>4267.75</v>
      </c>
    </row>
    <row r="7" spans="1:15" x14ac:dyDescent="0.25">
      <c r="E7" t="s">
        <v>7</v>
      </c>
    </row>
    <row r="8" spans="1:15" x14ac:dyDescent="0.25">
      <c r="A8" t="s">
        <v>78</v>
      </c>
      <c r="B8">
        <f>(H2+H4)/2</f>
        <v>42</v>
      </c>
      <c r="D8">
        <f>((B8-C6)^2+(B9-C6)^2)*10</f>
        <v>3001.25</v>
      </c>
      <c r="E8">
        <v>1</v>
      </c>
    </row>
    <row r="9" spans="1:15" x14ac:dyDescent="0.25">
      <c r="A9" t="s">
        <v>79</v>
      </c>
      <c r="B9">
        <f>(H1+H3)/2</f>
        <v>17.5</v>
      </c>
    </row>
    <row r="10" spans="1:15" x14ac:dyDescent="0.25">
      <c r="A10" t="s">
        <v>80</v>
      </c>
      <c r="B10">
        <f>AVERAGE(H3,H4)</f>
        <v>30</v>
      </c>
      <c r="D10">
        <f>((B10-C6)^2+(B11-C6)^2)*10</f>
        <v>1.25</v>
      </c>
      <c r="E10">
        <v>1</v>
      </c>
    </row>
    <row r="11" spans="1:15" x14ac:dyDescent="0.25">
      <c r="A11" t="s">
        <v>81</v>
      </c>
      <c r="B11">
        <f>AVERAGE(H1:H2)</f>
        <v>29.5</v>
      </c>
      <c r="L11" t="s">
        <v>101</v>
      </c>
      <c r="M11">
        <f>(AVERAGE(B8)-AVERAGE(B8:B9)-AVERAGE(B8,B10)+AVERAGE(C1:G4))^2*5</f>
        <v>180</v>
      </c>
    </row>
    <row r="12" spans="1:15" x14ac:dyDescent="0.25">
      <c r="A12" t="s">
        <v>105</v>
      </c>
      <c r="B12">
        <f>AVERAGE(H1,H4)</f>
        <v>22.5</v>
      </c>
      <c r="D12">
        <f>((B12-C6)^2+(B13-C6)^2)*10</f>
        <v>1051.25</v>
      </c>
      <c r="L12" t="s">
        <v>102</v>
      </c>
      <c r="M12">
        <f>(AVERAGE(C1:G1,C3:G3)-AVERAGE(B8:B9)-AVERAGE(B9,B11)+AVERAGE(C1:G4))^2*5</f>
        <v>180</v>
      </c>
    </row>
    <row r="13" spans="1:15" x14ac:dyDescent="0.25">
      <c r="A13" t="s">
        <v>106</v>
      </c>
      <c r="B13">
        <f>AVERAGE(H2,H3)</f>
        <v>37</v>
      </c>
      <c r="L13" t="s">
        <v>103</v>
      </c>
      <c r="M13">
        <f>(AVERAGE(C3:G4)-AVERAGE(B10:B11)-AVERAGE(B8,B10)+AVERAGE(C1:G4))^2*5</f>
        <v>180</v>
      </c>
    </row>
    <row r="14" spans="1:15" x14ac:dyDescent="0.25">
      <c r="L14" t="s">
        <v>104</v>
      </c>
      <c r="M14">
        <f>(AVERAGE(C1:G2)-AVERAGE(B10:B11)-AVERAGE(B9,B11)+AVERAGE(C1:G4))^2*5</f>
        <v>180</v>
      </c>
    </row>
    <row r="20" spans="1:2" x14ac:dyDescent="0.25">
      <c r="A20" t="s">
        <v>12</v>
      </c>
      <c r="B20">
        <f>(C1-H1)^2+(D1-H1)^2+(E1-H1)^2+(F1-H1)^2+(G1-H1)^2</f>
        <v>44</v>
      </c>
    </row>
    <row r="21" spans="1:2" x14ac:dyDescent="0.25">
      <c r="B21">
        <f>(C2-H2)^2+(D2-H2)^2+(E2-H2)^2+(F2-H2)^2+(G2-H2)^2</f>
        <v>86</v>
      </c>
    </row>
    <row r="22" spans="1:2" x14ac:dyDescent="0.25">
      <c r="B22">
        <f>(C3-H3)^2+(D3-H3)^2+(E3-H3)^2+(F3-H3)^2+(G3-H3)^2</f>
        <v>70</v>
      </c>
    </row>
    <row r="23" spans="1:2" x14ac:dyDescent="0.25">
      <c r="B23">
        <f>(C4-H4)^2+(D4-H4)^2+(E4-H4)^2+(F4-H4)^2+(G4-H4)^2</f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4" workbookViewId="0">
      <selection activeCell="C14" sqref="C14"/>
    </sheetView>
  </sheetViews>
  <sheetFormatPr defaultRowHeight="16.5" x14ac:dyDescent="0.25"/>
  <sheetData>
    <row r="1" spans="1:9" x14ac:dyDescent="0.25">
      <c r="A1" t="s">
        <v>122</v>
      </c>
    </row>
    <row r="2" spans="1:9" ht="17.25" thickBot="1" x14ac:dyDescent="0.3"/>
    <row r="3" spans="1:9" x14ac:dyDescent="0.25">
      <c r="A3" s="24" t="s">
        <v>123</v>
      </c>
      <c r="B3" s="24"/>
    </row>
    <row r="4" spans="1:9" x14ac:dyDescent="0.25">
      <c r="A4" s="21" t="s">
        <v>124</v>
      </c>
      <c r="B4" s="21">
        <v>0.9669879707413771</v>
      </c>
    </row>
    <row r="5" spans="1:9" x14ac:dyDescent="0.25">
      <c r="A5" s="21" t="s">
        <v>125</v>
      </c>
      <c r="B5" s="21">
        <v>0.93506573555852635</v>
      </c>
    </row>
    <row r="6" spans="1:9" x14ac:dyDescent="0.25">
      <c r="A6" s="21" t="s">
        <v>126</v>
      </c>
      <c r="B6" s="21">
        <v>0.44805875224747371</v>
      </c>
    </row>
    <row r="7" spans="1:9" x14ac:dyDescent="0.25">
      <c r="A7" s="21" t="s">
        <v>127</v>
      </c>
      <c r="B7" s="21">
        <v>6.0567921378783707</v>
      </c>
    </row>
    <row r="8" spans="1:9" ht="17.25" thickBot="1" x14ac:dyDescent="0.3">
      <c r="A8" s="22" t="s">
        <v>128</v>
      </c>
      <c r="B8" s="22">
        <v>18</v>
      </c>
    </row>
    <row r="10" spans="1:9" ht="17.25" thickBot="1" x14ac:dyDescent="0.3">
      <c r="A10" t="s">
        <v>129</v>
      </c>
    </row>
    <row r="11" spans="1:9" x14ac:dyDescent="0.25">
      <c r="A11" s="23"/>
      <c r="B11" s="23" t="s">
        <v>134</v>
      </c>
      <c r="C11" s="23" t="s">
        <v>5</v>
      </c>
      <c r="D11" s="23" t="s">
        <v>8</v>
      </c>
      <c r="E11" s="23" t="s">
        <v>31</v>
      </c>
      <c r="F11" s="23" t="s">
        <v>135</v>
      </c>
    </row>
    <row r="12" spans="1:9" x14ac:dyDescent="0.25">
      <c r="A12" s="21" t="s">
        <v>130</v>
      </c>
      <c r="B12" s="21">
        <v>15</v>
      </c>
      <c r="C12" s="21">
        <v>1056.5341818438353</v>
      </c>
      <c r="D12" s="21">
        <v>70.43561212292235</v>
      </c>
      <c r="E12" s="21">
        <v>1.9200253129867313</v>
      </c>
      <c r="F12" s="21">
        <v>0.39561166606198084</v>
      </c>
    </row>
    <row r="13" spans="1:9" x14ac:dyDescent="0.25">
      <c r="A13" s="21" t="s">
        <v>131</v>
      </c>
      <c r="B13" s="21">
        <v>2</v>
      </c>
      <c r="C13" s="21">
        <v>73.36946200293049</v>
      </c>
      <c r="D13" s="21">
        <v>36.684731001465245</v>
      </c>
      <c r="E13" s="21"/>
      <c r="F13" s="21"/>
    </row>
    <row r="14" spans="1:9" ht="17.25" thickBot="1" x14ac:dyDescent="0.3">
      <c r="A14" s="22" t="s">
        <v>132</v>
      </c>
      <c r="B14" s="22">
        <v>17</v>
      </c>
      <c r="C14" s="22">
        <v>1129.9036438467658</v>
      </c>
      <c r="D14" s="22"/>
      <c r="E14" s="22"/>
      <c r="F14" s="22"/>
    </row>
    <row r="15" spans="1:9" ht="17.25" thickBot="1" x14ac:dyDescent="0.3"/>
    <row r="16" spans="1:9" x14ac:dyDescent="0.25">
      <c r="A16" s="23"/>
      <c r="B16" s="23" t="s">
        <v>136</v>
      </c>
      <c r="C16" s="23" t="s">
        <v>127</v>
      </c>
      <c r="D16" s="23" t="s">
        <v>137</v>
      </c>
      <c r="E16" s="23" t="s">
        <v>138</v>
      </c>
      <c r="F16" s="23" t="s">
        <v>139</v>
      </c>
      <c r="G16" s="23" t="s">
        <v>140</v>
      </c>
      <c r="H16" s="23" t="s">
        <v>141</v>
      </c>
      <c r="I16" s="23" t="s">
        <v>142</v>
      </c>
    </row>
    <row r="17" spans="1:9" x14ac:dyDescent="0.25">
      <c r="A17" s="21" t="s">
        <v>133</v>
      </c>
      <c r="B17" s="21">
        <v>31.659705446777778</v>
      </c>
      <c r="C17" s="21">
        <v>1.427599597643721</v>
      </c>
      <c r="D17" s="21">
        <v>22.176880337478867</v>
      </c>
      <c r="E17" s="21">
        <v>2.0271084638705385E-3</v>
      </c>
      <c r="F17" s="21">
        <v>25.517240140986786</v>
      </c>
      <c r="G17" s="21">
        <v>37.80217075256877</v>
      </c>
      <c r="H17" s="21">
        <v>25.517240140986786</v>
      </c>
      <c r="I17" s="21">
        <v>37.80217075256877</v>
      </c>
    </row>
    <row r="18" spans="1:9" x14ac:dyDescent="0.25">
      <c r="A18" s="21" t="s">
        <v>57</v>
      </c>
      <c r="B18" s="21">
        <v>-13.522998338570313</v>
      </c>
      <c r="C18" s="21">
        <v>5.5094485622365603</v>
      </c>
      <c r="D18" s="21">
        <v>-2.4545103172867546</v>
      </c>
      <c r="E18" s="21">
        <v>0.13353185725436834</v>
      </c>
      <c r="F18" s="21">
        <v>-37.228242234291706</v>
      </c>
      <c r="G18" s="21">
        <v>10.182245557151083</v>
      </c>
      <c r="H18" s="21">
        <v>-37.228242234291706</v>
      </c>
      <c r="I18" s="21">
        <v>10.182245557151083</v>
      </c>
    </row>
    <row r="19" spans="1:9" x14ac:dyDescent="0.25">
      <c r="A19" s="21" t="s">
        <v>59</v>
      </c>
      <c r="B19" s="21">
        <v>-6.696171033482131E-3</v>
      </c>
      <c r="C19" s="21">
        <v>4.5075695634816464</v>
      </c>
      <c r="D19" s="21">
        <v>-1.4855391445828313E-3</v>
      </c>
      <c r="E19" s="21">
        <v>0.9989495657766897</v>
      </c>
      <c r="F19" s="21">
        <v>-19.401202657883388</v>
      </c>
      <c r="G19" s="21">
        <v>19.387810315816424</v>
      </c>
      <c r="H19" s="21">
        <v>-19.401202657883388</v>
      </c>
      <c r="I19" s="21">
        <v>19.387810315816424</v>
      </c>
    </row>
    <row r="20" spans="1:9" x14ac:dyDescent="0.25">
      <c r="A20" s="21" t="s">
        <v>89</v>
      </c>
      <c r="B20" s="21">
        <v>12.721770605741705</v>
      </c>
      <c r="C20" s="21">
        <v>6.4736442882505187</v>
      </c>
      <c r="D20" s="21">
        <v>1.9651636758651319</v>
      </c>
      <c r="E20" s="21">
        <v>0.18832774559865328</v>
      </c>
      <c r="F20" s="21">
        <v>-15.132072662526413</v>
      </c>
      <c r="G20" s="21">
        <v>40.575613874009825</v>
      </c>
      <c r="H20" s="21">
        <v>-15.132072662526413</v>
      </c>
      <c r="I20" s="21">
        <v>40.575613874009825</v>
      </c>
    </row>
    <row r="21" spans="1:9" x14ac:dyDescent="0.25">
      <c r="A21" s="21" t="s">
        <v>198</v>
      </c>
      <c r="B21" s="21">
        <v>2.5887843032935769</v>
      </c>
      <c r="C21" s="21">
        <v>3.8015006867040539</v>
      </c>
      <c r="D21" s="21">
        <v>0.68099009224119944</v>
      </c>
      <c r="E21" s="21">
        <v>0.56614691036200282</v>
      </c>
      <c r="F21" s="21">
        <v>-13.767753003498081</v>
      </c>
      <c r="G21" s="21">
        <v>18.945321610085234</v>
      </c>
      <c r="H21" s="21">
        <v>-13.767753003498081</v>
      </c>
      <c r="I21" s="21">
        <v>18.945321610085234</v>
      </c>
    </row>
    <row r="22" spans="1:9" x14ac:dyDescent="0.25">
      <c r="A22" s="21" t="s">
        <v>199</v>
      </c>
      <c r="B22" s="21">
        <v>7.9149487280050304</v>
      </c>
      <c r="C22" s="21">
        <v>4.2632736017703108</v>
      </c>
      <c r="D22" s="21">
        <v>1.8565425227971231</v>
      </c>
      <c r="E22" s="21">
        <v>0.20450734451649266</v>
      </c>
      <c r="F22" s="21">
        <v>-10.428437072320826</v>
      </c>
      <c r="G22" s="21">
        <v>26.258334528330884</v>
      </c>
      <c r="H22" s="21">
        <v>-10.428437072320826</v>
      </c>
      <c r="I22" s="21">
        <v>26.258334528330884</v>
      </c>
    </row>
    <row r="23" spans="1:9" x14ac:dyDescent="0.25">
      <c r="A23" s="21" t="s">
        <v>61</v>
      </c>
      <c r="B23" s="21">
        <v>-7.2530387680618462</v>
      </c>
      <c r="C23" s="21">
        <v>3.5223637326699655</v>
      </c>
      <c r="D23" s="21">
        <v>-2.0591396342148953</v>
      </c>
      <c r="E23" s="21">
        <v>0.17568813088524537</v>
      </c>
      <c r="F23" s="21">
        <v>-22.408546697604784</v>
      </c>
      <c r="G23" s="21">
        <v>7.9024691614810907</v>
      </c>
      <c r="H23" s="21">
        <v>-22.408546697604784</v>
      </c>
      <c r="I23" s="21">
        <v>7.9024691614810907</v>
      </c>
    </row>
    <row r="24" spans="1:9" x14ac:dyDescent="0.25">
      <c r="A24" s="21" t="s">
        <v>91</v>
      </c>
      <c r="B24" s="21">
        <v>-5.1782475834510535</v>
      </c>
      <c r="C24" s="21">
        <v>5.4784371113202042</v>
      </c>
      <c r="D24" s="21">
        <v>-0.94520526168880115</v>
      </c>
      <c r="E24" s="21">
        <v>0.44432492427625392</v>
      </c>
      <c r="F24" s="21">
        <v>-28.750059975233697</v>
      </c>
      <c r="G24" s="21">
        <v>18.39356480833159</v>
      </c>
      <c r="H24" s="21">
        <v>-28.750059975233697</v>
      </c>
      <c r="I24" s="21">
        <v>18.39356480833159</v>
      </c>
    </row>
    <row r="25" spans="1:9" x14ac:dyDescent="0.25">
      <c r="A25" s="21" t="s">
        <v>200</v>
      </c>
      <c r="B25" s="21">
        <v>13.301872594232105</v>
      </c>
      <c r="C25" s="21">
        <v>6.3903787269807166</v>
      </c>
      <c r="D25" s="21">
        <v>2.0815468319695167</v>
      </c>
      <c r="E25" s="21">
        <v>0.17284476238741342</v>
      </c>
      <c r="F25" s="21">
        <v>-14.193707879544377</v>
      </c>
      <c r="G25" s="21">
        <v>40.797453068008586</v>
      </c>
      <c r="H25" s="21">
        <v>-14.193707879544377</v>
      </c>
      <c r="I25" s="21">
        <v>40.797453068008586</v>
      </c>
    </row>
    <row r="26" spans="1:9" x14ac:dyDescent="0.25">
      <c r="A26" s="21" t="s">
        <v>201</v>
      </c>
      <c r="B26" s="21">
        <v>0.42879217579263673</v>
      </c>
      <c r="C26" s="21">
        <v>3.9410414579094786</v>
      </c>
      <c r="D26" s="21">
        <v>0.10880174196900966</v>
      </c>
      <c r="E26" s="21">
        <v>0.92329222870085537</v>
      </c>
      <c r="F26" s="21">
        <v>-16.528140611137388</v>
      </c>
      <c r="G26" s="21">
        <v>17.385724962722662</v>
      </c>
      <c r="H26" s="21">
        <v>-16.528140611137388</v>
      </c>
      <c r="I26" s="21">
        <v>17.385724962722662</v>
      </c>
    </row>
    <row r="27" spans="1:9" x14ac:dyDescent="0.25">
      <c r="A27" s="21" t="s">
        <v>149</v>
      </c>
      <c r="B27" s="21">
        <v>10.476894797447988</v>
      </c>
      <c r="C27" s="21">
        <v>7.4387579706041267</v>
      </c>
      <c r="D27" s="21">
        <v>1.4084199054263791</v>
      </c>
      <c r="E27" s="21">
        <v>0.29434609249979604</v>
      </c>
      <c r="F27" s="21">
        <v>-21.529497490717439</v>
      </c>
      <c r="G27" s="21">
        <v>42.483287085613419</v>
      </c>
      <c r="H27" s="21">
        <v>-21.529497490717439</v>
      </c>
      <c r="I27" s="21">
        <v>42.483287085613419</v>
      </c>
    </row>
    <row r="28" spans="1:9" x14ac:dyDescent="0.25">
      <c r="A28" s="21" t="s">
        <v>202</v>
      </c>
      <c r="B28" s="21">
        <v>13.735245400612561</v>
      </c>
      <c r="C28" s="21">
        <v>4.8475029855006095</v>
      </c>
      <c r="D28" s="21">
        <v>2.8334681673628923</v>
      </c>
      <c r="E28" s="21">
        <v>0.10525466613612966</v>
      </c>
      <c r="F28" s="21">
        <v>-7.1218765524203125</v>
      </c>
      <c r="G28" s="21">
        <v>34.592367353645436</v>
      </c>
      <c r="H28" s="21">
        <v>-7.1218765524203125</v>
      </c>
      <c r="I28" s="21">
        <v>34.592367353645436</v>
      </c>
    </row>
    <row r="29" spans="1:9" x14ac:dyDescent="0.25">
      <c r="A29" s="21" t="s">
        <v>203</v>
      </c>
      <c r="B29" s="21">
        <v>3.9026540328214954</v>
      </c>
      <c r="C29" s="21">
        <v>4.4814751010689893</v>
      </c>
      <c r="D29" s="21">
        <v>0.87084139592576904</v>
      </c>
      <c r="E29" s="21">
        <v>0.47565972292449532</v>
      </c>
      <c r="F29" s="21">
        <v>-15.379577044097246</v>
      </c>
      <c r="G29" s="21">
        <v>23.184885109740236</v>
      </c>
      <c r="H29" s="21">
        <v>-15.379577044097246</v>
      </c>
      <c r="I29" s="21">
        <v>23.184885109740236</v>
      </c>
    </row>
    <row r="30" spans="1:9" x14ac:dyDescent="0.25">
      <c r="A30" s="21" t="s">
        <v>204</v>
      </c>
      <c r="B30" s="21">
        <v>7.4809624008584272</v>
      </c>
      <c r="C30" s="21">
        <v>3.7455562674169864</v>
      </c>
      <c r="D30" s="21">
        <v>1.9972900863714576</v>
      </c>
      <c r="E30" s="21">
        <v>0.18387269180552512</v>
      </c>
      <c r="F30" s="21">
        <v>-8.6348654975734824</v>
      </c>
      <c r="G30" s="21">
        <v>23.596790299290337</v>
      </c>
      <c r="H30" s="21">
        <v>-8.6348654975734824</v>
      </c>
      <c r="I30" s="21">
        <v>23.596790299290337</v>
      </c>
    </row>
    <row r="31" spans="1:9" x14ac:dyDescent="0.25">
      <c r="A31" s="21" t="s">
        <v>205</v>
      </c>
      <c r="B31" s="21">
        <v>-8.3643730267915455</v>
      </c>
      <c r="C31" s="21">
        <v>5.1875121794439805</v>
      </c>
      <c r="D31" s="21">
        <v>-1.6124054724991652</v>
      </c>
      <c r="E31" s="21">
        <v>0.24819992936013913</v>
      </c>
      <c r="F31" s="21">
        <v>-30.684436466284779</v>
      </c>
      <c r="G31" s="21">
        <v>13.955690412701687</v>
      </c>
      <c r="H31" s="21">
        <v>-30.684436466284779</v>
      </c>
      <c r="I31" s="21">
        <v>13.955690412701687</v>
      </c>
    </row>
    <row r="32" spans="1:9" ht="17.25" thickBot="1" x14ac:dyDescent="0.3">
      <c r="A32" s="22" t="s">
        <v>206</v>
      </c>
      <c r="B32" s="22">
        <v>7.6303318938050175</v>
      </c>
      <c r="C32" s="22">
        <v>3.5164171941446134</v>
      </c>
      <c r="D32" s="22">
        <v>2.1699165578278703</v>
      </c>
      <c r="E32" s="22">
        <v>0.16222172155385262</v>
      </c>
      <c r="F32" s="22">
        <v>-7.4995901455192531</v>
      </c>
      <c r="G32" s="22">
        <v>22.760253933129288</v>
      </c>
      <c r="H32" s="22">
        <v>-7.4995901455192531</v>
      </c>
      <c r="I32" s="22">
        <v>22.760253933129288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4" workbookViewId="0">
      <selection activeCell="C14" sqref="C14"/>
    </sheetView>
  </sheetViews>
  <sheetFormatPr defaultRowHeight="16.5" x14ac:dyDescent="0.25"/>
  <sheetData>
    <row r="1" spans="1:9" x14ac:dyDescent="0.25">
      <c r="A1" t="s">
        <v>122</v>
      </c>
    </row>
    <row r="2" spans="1:9" ht="17.25" thickBot="1" x14ac:dyDescent="0.3"/>
    <row r="3" spans="1:9" x14ac:dyDescent="0.25">
      <c r="A3" s="24" t="s">
        <v>123</v>
      </c>
      <c r="B3" s="24"/>
    </row>
    <row r="4" spans="1:9" x14ac:dyDescent="0.25">
      <c r="A4" s="21" t="s">
        <v>124</v>
      </c>
      <c r="B4" s="21">
        <v>0.77505978272813714</v>
      </c>
    </row>
    <row r="5" spans="1:9" x14ac:dyDescent="0.25">
      <c r="A5" s="21" t="s">
        <v>125</v>
      </c>
      <c r="B5" s="21">
        <v>0.6007176668025872</v>
      </c>
    </row>
    <row r="6" spans="1:9" x14ac:dyDescent="0.25">
      <c r="A6" s="21" t="s">
        <v>126</v>
      </c>
      <c r="B6" s="21">
        <v>0.38292730324036212</v>
      </c>
    </row>
    <row r="7" spans="1:9" x14ac:dyDescent="0.25">
      <c r="A7" s="21" t="s">
        <v>127</v>
      </c>
      <c r="B7" s="21">
        <v>6.4041929674194726</v>
      </c>
    </row>
    <row r="8" spans="1:9" ht="17.25" thickBot="1" x14ac:dyDescent="0.3">
      <c r="A8" s="22" t="s">
        <v>128</v>
      </c>
      <c r="B8" s="22">
        <v>18</v>
      </c>
    </row>
    <row r="10" spans="1:9" ht="17.25" thickBot="1" x14ac:dyDescent="0.3">
      <c r="A10" t="s">
        <v>129</v>
      </c>
    </row>
    <row r="11" spans="1:9" x14ac:dyDescent="0.25">
      <c r="A11" s="23"/>
      <c r="B11" s="23" t="s">
        <v>134</v>
      </c>
      <c r="C11" s="23" t="s">
        <v>5</v>
      </c>
      <c r="D11" s="23" t="s">
        <v>8</v>
      </c>
      <c r="E11" s="23" t="s">
        <v>31</v>
      </c>
      <c r="F11" s="23" t="s">
        <v>135</v>
      </c>
    </row>
    <row r="12" spans="1:9" x14ac:dyDescent="0.25">
      <c r="A12" s="21" t="s">
        <v>130</v>
      </c>
      <c r="B12" s="21">
        <v>6</v>
      </c>
      <c r="C12" s="21">
        <v>678.75308064337059</v>
      </c>
      <c r="D12" s="21">
        <v>113.12551344056176</v>
      </c>
      <c r="E12" s="21">
        <v>2.75823804587642</v>
      </c>
      <c r="F12" s="21">
        <v>6.8964358417028027E-2</v>
      </c>
    </row>
    <row r="13" spans="1:9" x14ac:dyDescent="0.25">
      <c r="A13" s="21" t="s">
        <v>131</v>
      </c>
      <c r="B13" s="21">
        <v>11</v>
      </c>
      <c r="C13" s="21">
        <v>451.15056320339528</v>
      </c>
      <c r="D13" s="21">
        <v>41.013687563945027</v>
      </c>
      <c r="E13" s="21"/>
      <c r="F13" s="21"/>
    </row>
    <row r="14" spans="1:9" ht="17.25" thickBot="1" x14ac:dyDescent="0.3">
      <c r="A14" s="22" t="s">
        <v>132</v>
      </c>
      <c r="B14" s="22">
        <v>17</v>
      </c>
      <c r="C14" s="22">
        <v>1129.9036438467658</v>
      </c>
      <c r="D14" s="22"/>
      <c r="E14" s="22"/>
      <c r="F14" s="22"/>
    </row>
    <row r="15" spans="1:9" ht="17.25" thickBot="1" x14ac:dyDescent="0.3"/>
    <row r="16" spans="1:9" x14ac:dyDescent="0.25">
      <c r="A16" s="23"/>
      <c r="B16" s="23" t="s">
        <v>136</v>
      </c>
      <c r="C16" s="23" t="s">
        <v>127</v>
      </c>
      <c r="D16" s="23" t="s">
        <v>137</v>
      </c>
      <c r="E16" s="23" t="s">
        <v>138</v>
      </c>
      <c r="F16" s="23" t="s">
        <v>139</v>
      </c>
      <c r="G16" s="23" t="s">
        <v>140</v>
      </c>
      <c r="H16" s="23" t="s">
        <v>141</v>
      </c>
      <c r="I16" s="23" t="s">
        <v>142</v>
      </c>
    </row>
    <row r="17" spans="1:9" x14ac:dyDescent="0.25">
      <c r="A17" s="21" t="s">
        <v>133</v>
      </c>
      <c r="B17" s="21">
        <v>31.659705446777778</v>
      </c>
      <c r="C17" s="21">
        <v>1.5094827584298358</v>
      </c>
      <c r="D17" s="21">
        <v>20.973876826331033</v>
      </c>
      <c r="E17" s="21">
        <v>3.2071392646835388E-10</v>
      </c>
      <c r="F17" s="21">
        <v>28.337356296059518</v>
      </c>
      <c r="G17" s="21">
        <v>34.982054597496038</v>
      </c>
      <c r="H17" s="21">
        <v>28.337356296059518</v>
      </c>
      <c r="I17" s="21">
        <v>34.982054597496038</v>
      </c>
    </row>
    <row r="18" spans="1:9" x14ac:dyDescent="0.25">
      <c r="A18" s="21" t="s">
        <v>51</v>
      </c>
      <c r="B18" s="21">
        <v>-5.1797584059861643</v>
      </c>
      <c r="C18" s="21">
        <v>1.8487312668409703</v>
      </c>
      <c r="D18" s="21">
        <v>-2.8017908816120718</v>
      </c>
      <c r="E18" s="21">
        <v>1.7219519680543215E-2</v>
      </c>
      <c r="F18" s="21">
        <v>-9.248788489300555</v>
      </c>
      <c r="G18" s="21">
        <v>-1.1107283226717737</v>
      </c>
      <c r="H18" s="21">
        <v>-9.248788489300555</v>
      </c>
      <c r="I18" s="21">
        <v>-1.1107283226717737</v>
      </c>
    </row>
    <row r="19" spans="1:9" x14ac:dyDescent="0.25">
      <c r="A19" s="21" t="s">
        <v>53</v>
      </c>
      <c r="B19" s="21">
        <v>-8.1328795903612087E-3</v>
      </c>
      <c r="C19" s="21">
        <v>1.8487312668409703</v>
      </c>
      <c r="D19" s="21">
        <v>-4.3991680869109283E-3</v>
      </c>
      <c r="E19" s="21">
        <v>0.99656875108649534</v>
      </c>
      <c r="F19" s="21">
        <v>-4.0771629629047519</v>
      </c>
      <c r="G19" s="21">
        <v>4.0608972037240294</v>
      </c>
      <c r="H19" s="21">
        <v>-4.0771629629047519</v>
      </c>
      <c r="I19" s="21">
        <v>4.0608972037240294</v>
      </c>
    </row>
    <row r="20" spans="1:9" x14ac:dyDescent="0.25">
      <c r="A20" s="21" t="s">
        <v>55</v>
      </c>
      <c r="B20" s="21">
        <v>3.5147963863255374</v>
      </c>
      <c r="C20" s="21">
        <v>1.8487312668409706</v>
      </c>
      <c r="D20" s="21">
        <v>1.9011937804954555</v>
      </c>
      <c r="E20" s="21">
        <v>8.3780980667295474E-2</v>
      </c>
      <c r="F20" s="21">
        <v>-0.55423369698885327</v>
      </c>
      <c r="G20" s="21">
        <v>7.583826469639928</v>
      </c>
      <c r="H20" s="21">
        <v>-0.55423369698885327</v>
      </c>
      <c r="I20" s="21">
        <v>7.583826469639928</v>
      </c>
    </row>
    <row r="21" spans="1:9" x14ac:dyDescent="0.25">
      <c r="A21" s="21" t="s">
        <v>74</v>
      </c>
      <c r="B21" s="21">
        <v>-0.68623414160982121</v>
      </c>
      <c r="C21" s="21">
        <v>1.8487312668409703</v>
      </c>
      <c r="D21" s="21">
        <v>-0.3711919379080052</v>
      </c>
      <c r="E21" s="21">
        <v>0.71754453747552716</v>
      </c>
      <c r="F21" s="21">
        <v>-4.7552642249242121</v>
      </c>
      <c r="G21" s="21">
        <v>3.3827959417045692</v>
      </c>
      <c r="H21" s="21">
        <v>-4.7552642249242121</v>
      </c>
      <c r="I21" s="21">
        <v>3.3827959417045692</v>
      </c>
    </row>
    <row r="22" spans="1:9" x14ac:dyDescent="0.25">
      <c r="A22" s="21" t="s">
        <v>185</v>
      </c>
      <c r="B22" s="21">
        <v>-1.2035536600248362</v>
      </c>
      <c r="C22" s="21">
        <v>1.8487312668409706</v>
      </c>
      <c r="D22" s="21">
        <v>-0.65101601385333574</v>
      </c>
      <c r="E22" s="21">
        <v>0.52840120717051065</v>
      </c>
      <c r="F22" s="21">
        <v>-5.2725837433392266</v>
      </c>
      <c r="G22" s="21">
        <v>2.8654764232895547</v>
      </c>
      <c r="H22" s="21">
        <v>-5.2725837433392266</v>
      </c>
      <c r="I22" s="21">
        <v>2.8654764232895547</v>
      </c>
    </row>
    <row r="23" spans="1:9" ht="17.25" thickBot="1" x14ac:dyDescent="0.3">
      <c r="A23" s="22" t="s">
        <v>187</v>
      </c>
      <c r="B23" s="22">
        <v>3.9318622922438347</v>
      </c>
      <c r="C23" s="22">
        <v>1.8487312668409706</v>
      </c>
      <c r="D23" s="22">
        <v>2.1267895246681392</v>
      </c>
      <c r="E23" s="22">
        <v>5.6895780642793832E-2</v>
      </c>
      <c r="F23" s="22">
        <v>-0.13716779107055599</v>
      </c>
      <c r="G23" s="22">
        <v>8.0008923755582249</v>
      </c>
      <c r="H23" s="22">
        <v>-0.13716779107055599</v>
      </c>
      <c r="I23" s="22">
        <v>8.0008923755582249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zoomScale="70" zoomScaleNormal="70" workbookViewId="0">
      <selection activeCell="A50" sqref="A50:H58"/>
    </sheetView>
  </sheetViews>
  <sheetFormatPr defaultRowHeight="15.75" x14ac:dyDescent="0.25"/>
  <cols>
    <col min="1" max="1" width="12.625" style="31" customWidth="1"/>
    <col min="2" max="2" width="9.25" style="31" customWidth="1"/>
    <col min="3" max="3" width="14.625" style="31" customWidth="1"/>
    <col min="4" max="4" width="6" style="31" customWidth="1"/>
    <col min="5" max="7" width="14.625" style="31" customWidth="1"/>
    <col min="8" max="8" width="10.875" style="31" customWidth="1"/>
    <col min="9" max="13" width="5.875" style="31" customWidth="1"/>
    <col min="14" max="16" width="13.375" style="31" bestFit="1" customWidth="1"/>
    <col min="17" max="17" width="12.625" style="31" customWidth="1"/>
    <col min="18" max="35" width="9.625" style="31" customWidth="1"/>
    <col min="36" max="16384" width="9" style="31"/>
  </cols>
  <sheetData>
    <row r="1" spans="1:31" x14ac:dyDescent="0.25">
      <c r="A1" s="115" t="s">
        <v>175</v>
      </c>
      <c r="B1" s="31" t="s">
        <v>52</v>
      </c>
      <c r="C1" s="31" t="s">
        <v>54</v>
      </c>
      <c r="D1" s="31" t="s">
        <v>56</v>
      </c>
      <c r="E1" s="31" t="s">
        <v>75</v>
      </c>
      <c r="F1" s="31" t="s">
        <v>186</v>
      </c>
      <c r="G1" s="31" t="s">
        <v>188</v>
      </c>
      <c r="H1" s="31" t="s">
        <v>58</v>
      </c>
      <c r="I1" s="31" t="s">
        <v>60</v>
      </c>
      <c r="J1" s="31" t="s">
        <v>90</v>
      </c>
      <c r="K1" s="31" t="s">
        <v>189</v>
      </c>
      <c r="L1" s="31" t="s">
        <v>190</v>
      </c>
      <c r="M1" s="31" t="s">
        <v>62</v>
      </c>
      <c r="N1" s="31" t="s">
        <v>92</v>
      </c>
      <c r="O1" s="31" t="s">
        <v>191</v>
      </c>
      <c r="P1" s="31" t="s">
        <v>192</v>
      </c>
      <c r="Q1" s="31" t="s">
        <v>150</v>
      </c>
      <c r="R1" s="31" t="s">
        <v>193</v>
      </c>
      <c r="S1" s="31" t="s">
        <v>194</v>
      </c>
      <c r="T1" s="31" t="s">
        <v>197</v>
      </c>
      <c r="U1" s="31" t="s">
        <v>195</v>
      </c>
      <c r="V1" s="31" t="s">
        <v>196</v>
      </c>
      <c r="W1" s="54" t="s">
        <v>176</v>
      </c>
      <c r="X1" s="55"/>
      <c r="Y1" s="56"/>
      <c r="Z1" s="54" t="s">
        <v>177</v>
      </c>
      <c r="AA1" s="55"/>
      <c r="AB1" s="56"/>
      <c r="AC1" s="31" t="s">
        <v>87</v>
      </c>
      <c r="AD1" s="31" t="s">
        <v>174</v>
      </c>
      <c r="AE1" s="31" t="s">
        <v>178</v>
      </c>
    </row>
    <row r="2" spans="1:31" x14ac:dyDescent="0.25">
      <c r="A2" s="116">
        <v>1</v>
      </c>
      <c r="B2" s="31">
        <v>-1</v>
      </c>
      <c r="C2" s="31">
        <v>-1</v>
      </c>
      <c r="D2" s="31">
        <v>1</v>
      </c>
      <c r="E2" s="31">
        <v>-1</v>
      </c>
      <c r="F2" s="31">
        <v>-1</v>
      </c>
      <c r="G2" s="31">
        <v>-1</v>
      </c>
      <c r="H2" s="31">
        <f>B2*C2</f>
        <v>1</v>
      </c>
      <c r="I2" s="31">
        <f>B2*D2</f>
        <v>-1</v>
      </c>
      <c r="J2" s="31">
        <f>B2*E2</f>
        <v>1</v>
      </c>
      <c r="K2" s="31">
        <f>B2*F2</f>
        <v>1</v>
      </c>
      <c r="L2" s="31">
        <f>B2*G2</f>
        <v>1</v>
      </c>
      <c r="M2" s="31">
        <f>C2*D2</f>
        <v>-1</v>
      </c>
      <c r="N2" s="31">
        <f>C2*E2</f>
        <v>1</v>
      </c>
      <c r="O2" s="31">
        <f>C2*F2</f>
        <v>1</v>
      </c>
      <c r="P2" s="31">
        <f>C2*G2</f>
        <v>1</v>
      </c>
      <c r="Q2" s="31">
        <f>D2*E2</f>
        <v>-1</v>
      </c>
      <c r="R2" s="31">
        <f>D2*F2</f>
        <v>-1</v>
      </c>
      <c r="S2" s="31">
        <f>D2*G2</f>
        <v>-1</v>
      </c>
      <c r="T2" s="31">
        <f>E2*F2</f>
        <v>1</v>
      </c>
      <c r="U2" s="31">
        <f>E2*G2</f>
        <v>1</v>
      </c>
      <c r="V2" s="31">
        <f>F2*G2</f>
        <v>1</v>
      </c>
      <c r="W2" s="57">
        <v>2029</v>
      </c>
      <c r="X2" s="2">
        <v>1975</v>
      </c>
      <c r="Y2" s="58">
        <v>1961</v>
      </c>
      <c r="Z2" s="57">
        <v>1952</v>
      </c>
      <c r="AA2" s="2">
        <v>1941</v>
      </c>
      <c r="AB2" s="58">
        <v>1949</v>
      </c>
      <c r="AC2" s="31">
        <f>AVERAGE(W2:AB2)</f>
        <v>1967.8333333333333</v>
      </c>
      <c r="AD2" s="31">
        <f>_xlfn.VAR.S(W2:AB2)</f>
        <v>1032.9666666666667</v>
      </c>
      <c r="AE2" s="31">
        <f>10*LOG(AC2^2/AD2)</f>
        <v>35.73890318438751</v>
      </c>
    </row>
    <row r="3" spans="1:31" x14ac:dyDescent="0.25">
      <c r="A3" s="116">
        <v>2</v>
      </c>
      <c r="B3" s="31">
        <v>-1</v>
      </c>
      <c r="C3" s="31">
        <v>0</v>
      </c>
      <c r="D3" s="31">
        <v>-1</v>
      </c>
      <c r="E3" s="31">
        <v>0</v>
      </c>
      <c r="F3" s="31">
        <v>0</v>
      </c>
      <c r="G3" s="31">
        <v>0</v>
      </c>
      <c r="H3" s="31">
        <f t="shared" ref="H3:H19" si="0">B3*C3</f>
        <v>0</v>
      </c>
      <c r="I3" s="31">
        <f t="shared" ref="I3:I19" si="1">B3*D3</f>
        <v>1</v>
      </c>
      <c r="J3" s="31">
        <f t="shared" ref="J3:J19" si="2">B3*E3</f>
        <v>0</v>
      </c>
      <c r="K3" s="31">
        <f t="shared" ref="K3:K19" si="3">B3*F3</f>
        <v>0</v>
      </c>
      <c r="L3" s="31">
        <f t="shared" ref="L3:L19" si="4">B3*G3</f>
        <v>0</v>
      </c>
      <c r="M3" s="31">
        <f t="shared" ref="M3:M19" si="5">C3*D3</f>
        <v>0</v>
      </c>
      <c r="N3" s="31">
        <f t="shared" ref="N3:N19" si="6">C3*E3</f>
        <v>0</v>
      </c>
      <c r="O3" s="31">
        <f t="shared" ref="O3:O19" si="7">C3*F3</f>
        <v>0</v>
      </c>
      <c r="P3" s="31">
        <f t="shared" ref="P3:P19" si="8">C3*G3</f>
        <v>0</v>
      </c>
      <c r="Q3" s="31">
        <f t="shared" ref="Q3:Q19" si="9">D3*E3</f>
        <v>0</v>
      </c>
      <c r="R3" s="31">
        <f t="shared" ref="R3:R19" si="10">D3*F3</f>
        <v>0</v>
      </c>
      <c r="S3" s="31">
        <f t="shared" ref="S3:S19" si="11">D3*G3</f>
        <v>0</v>
      </c>
      <c r="T3" s="31">
        <f t="shared" ref="T3:T19" si="12">E3*F3</f>
        <v>0</v>
      </c>
      <c r="U3" s="31">
        <f t="shared" ref="U3:U19" si="13">E3*G3</f>
        <v>0</v>
      </c>
      <c r="V3" s="31">
        <f t="shared" ref="V3:V19" si="14">F3*G3</f>
        <v>0</v>
      </c>
      <c r="W3" s="57">
        <v>5375</v>
      </c>
      <c r="X3" s="2">
        <v>5191</v>
      </c>
      <c r="Y3" s="58">
        <v>5242</v>
      </c>
      <c r="Z3" s="57">
        <v>5323</v>
      </c>
      <c r="AA3" s="2">
        <v>5307</v>
      </c>
      <c r="AB3" s="58">
        <v>5091</v>
      </c>
      <c r="AC3" s="31">
        <f t="shared" ref="AC3:AC19" si="15">AVERAGE(W3:AB3)</f>
        <v>5254.833333333333</v>
      </c>
      <c r="AD3" s="31">
        <f t="shared" ref="AD3:AD19" si="16">_xlfn.VAR.S(W3:AB3)</f>
        <v>10577.766666666666</v>
      </c>
      <c r="AE3" s="31">
        <f t="shared" ref="AE3:AE19" si="17">10*LOG(AC3^2/AD3)</f>
        <v>34.167239095218186</v>
      </c>
    </row>
    <row r="4" spans="1:31" x14ac:dyDescent="0.25">
      <c r="A4" s="116">
        <v>3</v>
      </c>
      <c r="B4" s="31">
        <v>-1</v>
      </c>
      <c r="C4" s="31">
        <v>1</v>
      </c>
      <c r="D4" s="31">
        <v>0</v>
      </c>
      <c r="E4" s="31">
        <v>1</v>
      </c>
      <c r="F4" s="31">
        <v>1</v>
      </c>
      <c r="G4" s="31">
        <v>1</v>
      </c>
      <c r="H4" s="31">
        <f t="shared" si="0"/>
        <v>-1</v>
      </c>
      <c r="I4" s="31">
        <f t="shared" si="1"/>
        <v>0</v>
      </c>
      <c r="J4" s="31">
        <f t="shared" si="2"/>
        <v>-1</v>
      </c>
      <c r="K4" s="31">
        <f t="shared" si="3"/>
        <v>-1</v>
      </c>
      <c r="L4" s="31">
        <f t="shared" si="4"/>
        <v>-1</v>
      </c>
      <c r="M4" s="31">
        <f t="shared" si="5"/>
        <v>0</v>
      </c>
      <c r="N4" s="31">
        <f t="shared" si="6"/>
        <v>1</v>
      </c>
      <c r="O4" s="31">
        <f t="shared" si="7"/>
        <v>1</v>
      </c>
      <c r="P4" s="31">
        <f t="shared" si="8"/>
        <v>1</v>
      </c>
      <c r="Q4" s="31">
        <f t="shared" si="9"/>
        <v>0</v>
      </c>
      <c r="R4" s="31">
        <f t="shared" si="10"/>
        <v>0</v>
      </c>
      <c r="S4" s="31">
        <f t="shared" si="11"/>
        <v>0</v>
      </c>
      <c r="T4" s="31">
        <f t="shared" si="12"/>
        <v>1</v>
      </c>
      <c r="U4" s="31">
        <f t="shared" si="13"/>
        <v>1</v>
      </c>
      <c r="V4" s="31">
        <f t="shared" si="14"/>
        <v>1</v>
      </c>
      <c r="W4" s="57">
        <v>5989</v>
      </c>
      <c r="X4" s="2">
        <v>5894</v>
      </c>
      <c r="Y4" s="58">
        <v>5874</v>
      </c>
      <c r="Z4" s="57">
        <v>6077</v>
      </c>
      <c r="AA4" s="2">
        <v>5943</v>
      </c>
      <c r="AB4" s="58">
        <v>5962</v>
      </c>
      <c r="AC4" s="31">
        <f t="shared" si="15"/>
        <v>5956.5</v>
      </c>
      <c r="AD4" s="31">
        <f t="shared" si="16"/>
        <v>5300.3</v>
      </c>
      <c r="AE4" s="31">
        <f t="shared" si="17"/>
        <v>38.256818406275272</v>
      </c>
    </row>
    <row r="5" spans="1:31" x14ac:dyDescent="0.25">
      <c r="A5" s="116">
        <v>4</v>
      </c>
      <c r="B5" s="31">
        <v>0</v>
      </c>
      <c r="C5" s="31">
        <v>-1</v>
      </c>
      <c r="D5" s="31">
        <v>1</v>
      </c>
      <c r="E5" s="31">
        <v>0</v>
      </c>
      <c r="F5" s="31">
        <v>0</v>
      </c>
      <c r="G5" s="31">
        <v>1</v>
      </c>
      <c r="H5" s="31">
        <f t="shared" si="0"/>
        <v>0</v>
      </c>
      <c r="I5" s="31">
        <f t="shared" si="1"/>
        <v>0</v>
      </c>
      <c r="J5" s="31">
        <f t="shared" si="2"/>
        <v>0</v>
      </c>
      <c r="K5" s="31">
        <f t="shared" si="3"/>
        <v>0</v>
      </c>
      <c r="L5" s="31">
        <f t="shared" si="4"/>
        <v>0</v>
      </c>
      <c r="M5" s="31">
        <f t="shared" si="5"/>
        <v>-1</v>
      </c>
      <c r="N5" s="31">
        <f t="shared" si="6"/>
        <v>0</v>
      </c>
      <c r="O5" s="31">
        <f t="shared" si="7"/>
        <v>0</v>
      </c>
      <c r="P5" s="31">
        <f t="shared" si="8"/>
        <v>-1</v>
      </c>
      <c r="Q5" s="31">
        <f t="shared" si="9"/>
        <v>0</v>
      </c>
      <c r="R5" s="31">
        <f t="shared" si="10"/>
        <v>0</v>
      </c>
      <c r="S5" s="31">
        <f t="shared" si="11"/>
        <v>1</v>
      </c>
      <c r="T5" s="31">
        <f t="shared" si="12"/>
        <v>0</v>
      </c>
      <c r="U5" s="31">
        <f t="shared" si="13"/>
        <v>0</v>
      </c>
      <c r="V5" s="31">
        <f t="shared" si="14"/>
        <v>0</v>
      </c>
      <c r="W5" s="57">
        <v>2118</v>
      </c>
      <c r="X5" s="2">
        <v>2109</v>
      </c>
      <c r="Y5" s="58">
        <v>2099</v>
      </c>
      <c r="Z5" s="57">
        <v>2149</v>
      </c>
      <c r="AA5" s="2">
        <v>2130</v>
      </c>
      <c r="AB5" s="58">
        <v>2111</v>
      </c>
      <c r="AC5" s="31">
        <f t="shared" si="15"/>
        <v>2119.3333333333335</v>
      </c>
      <c r="AD5" s="31">
        <f t="shared" si="16"/>
        <v>317.06666666666672</v>
      </c>
      <c r="AE5" s="31">
        <f t="shared" si="17"/>
        <v>41.512479508272108</v>
      </c>
    </row>
    <row r="6" spans="1:31" x14ac:dyDescent="0.25">
      <c r="A6" s="116">
        <v>5</v>
      </c>
      <c r="B6" s="31">
        <v>0</v>
      </c>
      <c r="C6" s="31">
        <v>0</v>
      </c>
      <c r="D6" s="31">
        <v>-1</v>
      </c>
      <c r="E6" s="31">
        <v>1</v>
      </c>
      <c r="F6" s="31">
        <v>1</v>
      </c>
      <c r="G6" s="31">
        <v>-1</v>
      </c>
      <c r="H6" s="31">
        <f t="shared" si="0"/>
        <v>0</v>
      </c>
      <c r="I6" s="31">
        <f t="shared" si="1"/>
        <v>0</v>
      </c>
      <c r="J6" s="31">
        <f t="shared" si="2"/>
        <v>0</v>
      </c>
      <c r="K6" s="31">
        <f t="shared" si="3"/>
        <v>0</v>
      </c>
      <c r="L6" s="31">
        <f t="shared" si="4"/>
        <v>0</v>
      </c>
      <c r="M6" s="31">
        <f t="shared" si="5"/>
        <v>0</v>
      </c>
      <c r="N6" s="31">
        <f t="shared" si="6"/>
        <v>0</v>
      </c>
      <c r="O6" s="31">
        <f t="shared" si="7"/>
        <v>0</v>
      </c>
      <c r="P6" s="31">
        <f t="shared" si="8"/>
        <v>0</v>
      </c>
      <c r="Q6" s="31">
        <f t="shared" si="9"/>
        <v>-1</v>
      </c>
      <c r="R6" s="31">
        <f t="shared" si="10"/>
        <v>-1</v>
      </c>
      <c r="S6" s="31">
        <f t="shared" si="11"/>
        <v>1</v>
      </c>
      <c r="T6" s="31">
        <f t="shared" si="12"/>
        <v>1</v>
      </c>
      <c r="U6" s="31">
        <f t="shared" si="13"/>
        <v>-1</v>
      </c>
      <c r="V6" s="31">
        <f t="shared" si="14"/>
        <v>-1</v>
      </c>
      <c r="W6" s="57">
        <v>4102</v>
      </c>
      <c r="X6" s="2">
        <v>4152</v>
      </c>
      <c r="Y6" s="58">
        <v>4174</v>
      </c>
      <c r="Z6" s="57">
        <v>5031</v>
      </c>
      <c r="AA6" s="2">
        <v>5040</v>
      </c>
      <c r="AB6" s="58">
        <v>5032</v>
      </c>
      <c r="AC6" s="31">
        <f t="shared" si="15"/>
        <v>4588.5</v>
      </c>
      <c r="AD6" s="31">
        <f t="shared" si="16"/>
        <v>239075.1</v>
      </c>
      <c r="AE6" s="31">
        <f t="shared" si="17"/>
        <v>19.448071259763328</v>
      </c>
    </row>
    <row r="7" spans="1:31" x14ac:dyDescent="0.25">
      <c r="A7" s="116">
        <v>6</v>
      </c>
      <c r="B7" s="31">
        <v>0</v>
      </c>
      <c r="C7" s="31">
        <v>1</v>
      </c>
      <c r="D7" s="31">
        <v>0</v>
      </c>
      <c r="E7" s="31">
        <v>-1</v>
      </c>
      <c r="F7" s="31">
        <v>-1</v>
      </c>
      <c r="G7" s="31">
        <v>0</v>
      </c>
      <c r="H7" s="31">
        <f t="shared" si="0"/>
        <v>0</v>
      </c>
      <c r="I7" s="31">
        <f t="shared" si="1"/>
        <v>0</v>
      </c>
      <c r="J7" s="31">
        <f t="shared" si="2"/>
        <v>0</v>
      </c>
      <c r="K7" s="31">
        <f t="shared" si="3"/>
        <v>0</v>
      </c>
      <c r="L7" s="31">
        <f t="shared" si="4"/>
        <v>0</v>
      </c>
      <c r="M7" s="31">
        <f t="shared" si="5"/>
        <v>0</v>
      </c>
      <c r="N7" s="31">
        <f t="shared" si="6"/>
        <v>-1</v>
      </c>
      <c r="O7" s="31">
        <f t="shared" si="7"/>
        <v>-1</v>
      </c>
      <c r="P7" s="31">
        <f t="shared" si="8"/>
        <v>0</v>
      </c>
      <c r="Q7" s="31">
        <f t="shared" si="9"/>
        <v>0</v>
      </c>
      <c r="R7" s="31">
        <f t="shared" si="10"/>
        <v>0</v>
      </c>
      <c r="S7" s="31">
        <f t="shared" si="11"/>
        <v>0</v>
      </c>
      <c r="T7" s="31">
        <f t="shared" si="12"/>
        <v>1</v>
      </c>
      <c r="U7" s="31">
        <f t="shared" si="13"/>
        <v>0</v>
      </c>
      <c r="V7" s="31">
        <f t="shared" si="14"/>
        <v>0</v>
      </c>
      <c r="W7" s="57">
        <v>3022</v>
      </c>
      <c r="X7" s="2">
        <v>2932</v>
      </c>
      <c r="Y7" s="58">
        <v>2913</v>
      </c>
      <c r="Z7" s="57">
        <v>2934</v>
      </c>
      <c r="AA7" s="2">
        <v>2875</v>
      </c>
      <c r="AB7" s="58">
        <v>2841</v>
      </c>
      <c r="AC7" s="31">
        <f t="shared" si="15"/>
        <v>2919.5</v>
      </c>
      <c r="AD7" s="31">
        <f t="shared" si="16"/>
        <v>3811.5</v>
      </c>
      <c r="AE7" s="31">
        <f t="shared" si="17"/>
        <v>33.495210350685618</v>
      </c>
    </row>
    <row r="8" spans="1:31" x14ac:dyDescent="0.25">
      <c r="A8" s="116">
        <v>7</v>
      </c>
      <c r="B8" s="31">
        <v>1</v>
      </c>
      <c r="C8" s="31">
        <v>-1</v>
      </c>
      <c r="D8" s="31">
        <v>-1</v>
      </c>
      <c r="E8" s="31">
        <v>-1</v>
      </c>
      <c r="F8" s="31">
        <v>1</v>
      </c>
      <c r="G8" s="31">
        <v>1</v>
      </c>
      <c r="H8" s="31">
        <f t="shared" si="0"/>
        <v>-1</v>
      </c>
      <c r="I8" s="31">
        <f t="shared" si="1"/>
        <v>-1</v>
      </c>
      <c r="J8" s="31">
        <f t="shared" si="2"/>
        <v>-1</v>
      </c>
      <c r="K8" s="31">
        <f t="shared" si="3"/>
        <v>1</v>
      </c>
      <c r="L8" s="31">
        <f t="shared" si="4"/>
        <v>1</v>
      </c>
      <c r="M8" s="31">
        <f t="shared" si="5"/>
        <v>1</v>
      </c>
      <c r="N8" s="31">
        <f t="shared" si="6"/>
        <v>1</v>
      </c>
      <c r="O8" s="31">
        <f t="shared" si="7"/>
        <v>-1</v>
      </c>
      <c r="P8" s="31">
        <f t="shared" si="8"/>
        <v>-1</v>
      </c>
      <c r="Q8" s="31">
        <f t="shared" si="9"/>
        <v>1</v>
      </c>
      <c r="R8" s="31">
        <f t="shared" si="10"/>
        <v>-1</v>
      </c>
      <c r="S8" s="31">
        <f t="shared" si="11"/>
        <v>-1</v>
      </c>
      <c r="T8" s="31">
        <f t="shared" si="12"/>
        <v>-1</v>
      </c>
      <c r="U8" s="31">
        <f t="shared" si="13"/>
        <v>-1</v>
      </c>
      <c r="V8" s="31">
        <f t="shared" si="14"/>
        <v>1</v>
      </c>
      <c r="W8" s="57">
        <v>3030</v>
      </c>
      <c r="X8" s="2">
        <v>3042</v>
      </c>
      <c r="Y8" s="58">
        <v>3028</v>
      </c>
      <c r="Z8" s="57">
        <v>3709</v>
      </c>
      <c r="AA8" s="2">
        <v>3671</v>
      </c>
      <c r="AB8" s="58">
        <v>3687</v>
      </c>
      <c r="AC8" s="31">
        <f t="shared" si="15"/>
        <v>3361.1666666666665</v>
      </c>
      <c r="AD8" s="31">
        <f t="shared" si="16"/>
        <v>129138.16666666667</v>
      </c>
      <c r="AE8" s="31">
        <f t="shared" si="17"/>
        <v>19.419254792486065</v>
      </c>
    </row>
    <row r="9" spans="1:31" x14ac:dyDescent="0.25">
      <c r="A9" s="116">
        <v>8</v>
      </c>
      <c r="B9" s="31">
        <v>1</v>
      </c>
      <c r="C9" s="31">
        <v>0</v>
      </c>
      <c r="D9" s="31">
        <v>0</v>
      </c>
      <c r="E9" s="31">
        <v>0</v>
      </c>
      <c r="F9" s="31">
        <v>-1</v>
      </c>
      <c r="G9" s="31">
        <v>-1</v>
      </c>
      <c r="H9" s="31">
        <f t="shared" si="0"/>
        <v>0</v>
      </c>
      <c r="I9" s="31">
        <f t="shared" si="1"/>
        <v>0</v>
      </c>
      <c r="J9" s="31">
        <f t="shared" si="2"/>
        <v>0</v>
      </c>
      <c r="K9" s="31">
        <f t="shared" si="3"/>
        <v>-1</v>
      </c>
      <c r="L9" s="31">
        <f t="shared" si="4"/>
        <v>-1</v>
      </c>
      <c r="M9" s="31">
        <f t="shared" si="5"/>
        <v>0</v>
      </c>
      <c r="N9" s="31">
        <f t="shared" si="6"/>
        <v>0</v>
      </c>
      <c r="O9" s="31">
        <f t="shared" si="7"/>
        <v>0</v>
      </c>
      <c r="P9" s="31">
        <f t="shared" si="8"/>
        <v>0</v>
      </c>
      <c r="Q9" s="31">
        <f t="shared" si="9"/>
        <v>0</v>
      </c>
      <c r="R9" s="31">
        <f t="shared" si="10"/>
        <v>0</v>
      </c>
      <c r="S9" s="31">
        <f t="shared" si="11"/>
        <v>0</v>
      </c>
      <c r="T9" s="31">
        <f t="shared" si="12"/>
        <v>0</v>
      </c>
      <c r="U9" s="31">
        <f t="shared" si="13"/>
        <v>0</v>
      </c>
      <c r="V9" s="31">
        <f t="shared" si="14"/>
        <v>1</v>
      </c>
      <c r="W9" s="57">
        <v>4707</v>
      </c>
      <c r="X9" s="2">
        <v>4472</v>
      </c>
      <c r="Y9" s="58">
        <v>4336</v>
      </c>
      <c r="Z9" s="57">
        <v>5073</v>
      </c>
      <c r="AA9" s="2">
        <v>4898</v>
      </c>
      <c r="AB9" s="58">
        <v>4599</v>
      </c>
      <c r="AC9" s="31">
        <f t="shared" si="15"/>
        <v>4680.833333333333</v>
      </c>
      <c r="AD9" s="31">
        <f t="shared" si="16"/>
        <v>74171.766666666663</v>
      </c>
      <c r="AE9" s="31">
        <f t="shared" si="17"/>
        <v>24.704077322412065</v>
      </c>
    </row>
    <row r="10" spans="1:31" x14ac:dyDescent="0.25">
      <c r="A10" s="116">
        <v>9</v>
      </c>
      <c r="B10" s="31">
        <v>1</v>
      </c>
      <c r="C10" s="31">
        <v>1</v>
      </c>
      <c r="D10" s="31">
        <v>1</v>
      </c>
      <c r="E10" s="31">
        <v>1</v>
      </c>
      <c r="F10" s="31">
        <v>0</v>
      </c>
      <c r="G10" s="31">
        <v>0</v>
      </c>
      <c r="H10" s="31">
        <f t="shared" si="0"/>
        <v>1</v>
      </c>
      <c r="I10" s="31">
        <f t="shared" si="1"/>
        <v>1</v>
      </c>
      <c r="J10" s="31">
        <f t="shared" si="2"/>
        <v>1</v>
      </c>
      <c r="K10" s="31">
        <f t="shared" si="3"/>
        <v>0</v>
      </c>
      <c r="L10" s="31">
        <f t="shared" si="4"/>
        <v>0</v>
      </c>
      <c r="M10" s="31">
        <f t="shared" si="5"/>
        <v>1</v>
      </c>
      <c r="N10" s="31">
        <f t="shared" si="6"/>
        <v>1</v>
      </c>
      <c r="O10" s="31">
        <f t="shared" si="7"/>
        <v>0</v>
      </c>
      <c r="P10" s="31">
        <f t="shared" si="8"/>
        <v>0</v>
      </c>
      <c r="Q10" s="31">
        <f t="shared" si="9"/>
        <v>1</v>
      </c>
      <c r="R10" s="31">
        <f t="shared" si="10"/>
        <v>0</v>
      </c>
      <c r="S10" s="31">
        <f t="shared" si="11"/>
        <v>0</v>
      </c>
      <c r="T10" s="31">
        <f t="shared" si="12"/>
        <v>0</v>
      </c>
      <c r="U10" s="31">
        <f t="shared" si="13"/>
        <v>0</v>
      </c>
      <c r="V10" s="31">
        <f t="shared" si="14"/>
        <v>0</v>
      </c>
      <c r="W10" s="57">
        <v>3859</v>
      </c>
      <c r="X10" s="2">
        <v>3822</v>
      </c>
      <c r="Y10" s="58">
        <v>3850</v>
      </c>
      <c r="Z10" s="57">
        <v>4110</v>
      </c>
      <c r="AA10" s="2">
        <v>4067</v>
      </c>
      <c r="AB10" s="58">
        <v>4110</v>
      </c>
      <c r="AC10" s="31">
        <f t="shared" si="15"/>
        <v>3969.6666666666665</v>
      </c>
      <c r="AD10" s="31">
        <f t="shared" si="16"/>
        <v>19446.666666666664</v>
      </c>
      <c r="AE10" s="31">
        <f t="shared" si="17"/>
        <v>29.086629110142894</v>
      </c>
    </row>
    <row r="11" spans="1:31" x14ac:dyDescent="0.25">
      <c r="A11" s="116">
        <v>10</v>
      </c>
      <c r="B11" s="31">
        <v>-1</v>
      </c>
      <c r="C11" s="31">
        <v>-1</v>
      </c>
      <c r="D11" s="31">
        <v>0</v>
      </c>
      <c r="E11" s="31">
        <v>1</v>
      </c>
      <c r="F11" s="31">
        <v>0</v>
      </c>
      <c r="G11" s="31">
        <v>-1</v>
      </c>
      <c r="H11" s="31">
        <f t="shared" si="0"/>
        <v>1</v>
      </c>
      <c r="I11" s="31">
        <f t="shared" si="1"/>
        <v>0</v>
      </c>
      <c r="J11" s="31">
        <f t="shared" si="2"/>
        <v>-1</v>
      </c>
      <c r="K11" s="31">
        <f t="shared" si="3"/>
        <v>0</v>
      </c>
      <c r="L11" s="31">
        <f t="shared" si="4"/>
        <v>1</v>
      </c>
      <c r="M11" s="31">
        <f t="shared" si="5"/>
        <v>0</v>
      </c>
      <c r="N11" s="31">
        <f t="shared" si="6"/>
        <v>-1</v>
      </c>
      <c r="O11" s="31">
        <f t="shared" si="7"/>
        <v>0</v>
      </c>
      <c r="P11" s="31">
        <f t="shared" si="8"/>
        <v>1</v>
      </c>
      <c r="Q11" s="31">
        <f t="shared" si="9"/>
        <v>0</v>
      </c>
      <c r="R11" s="31">
        <f t="shared" si="10"/>
        <v>0</v>
      </c>
      <c r="S11" s="31">
        <f t="shared" si="11"/>
        <v>0</v>
      </c>
      <c r="T11" s="31">
        <f t="shared" si="12"/>
        <v>0</v>
      </c>
      <c r="U11" s="31">
        <f t="shared" si="13"/>
        <v>-1</v>
      </c>
      <c r="V11" s="31">
        <f t="shared" si="14"/>
        <v>0</v>
      </c>
      <c r="W11" s="57">
        <v>3227</v>
      </c>
      <c r="X11" s="2">
        <v>3205</v>
      </c>
      <c r="Y11" s="58">
        <v>3242</v>
      </c>
      <c r="Z11" s="57">
        <v>3599</v>
      </c>
      <c r="AA11" s="2">
        <v>3591</v>
      </c>
      <c r="AB11" s="58">
        <v>3535</v>
      </c>
      <c r="AC11" s="31">
        <f t="shared" si="15"/>
        <v>3399.8333333333335</v>
      </c>
      <c r="AD11" s="31">
        <f t="shared" si="16"/>
        <v>37444.966666666674</v>
      </c>
      <c r="AE11" s="31">
        <f t="shared" si="17"/>
        <v>24.895218068347312</v>
      </c>
    </row>
    <row r="12" spans="1:31" x14ac:dyDescent="0.25">
      <c r="A12" s="116">
        <v>11</v>
      </c>
      <c r="B12" s="31">
        <v>-1</v>
      </c>
      <c r="C12" s="31">
        <v>0</v>
      </c>
      <c r="D12" s="31">
        <v>1</v>
      </c>
      <c r="E12" s="31">
        <v>-1</v>
      </c>
      <c r="F12" s="31">
        <v>1</v>
      </c>
      <c r="G12" s="31">
        <v>0</v>
      </c>
      <c r="H12" s="31">
        <f t="shared" si="0"/>
        <v>0</v>
      </c>
      <c r="I12" s="31">
        <f t="shared" si="1"/>
        <v>-1</v>
      </c>
      <c r="J12" s="31">
        <f t="shared" si="2"/>
        <v>1</v>
      </c>
      <c r="K12" s="31">
        <f t="shared" si="3"/>
        <v>-1</v>
      </c>
      <c r="L12" s="31">
        <f t="shared" si="4"/>
        <v>0</v>
      </c>
      <c r="M12" s="31">
        <f t="shared" si="5"/>
        <v>0</v>
      </c>
      <c r="N12" s="31">
        <f t="shared" si="6"/>
        <v>0</v>
      </c>
      <c r="O12" s="31">
        <f t="shared" si="7"/>
        <v>0</v>
      </c>
      <c r="P12" s="31">
        <f t="shared" si="8"/>
        <v>0</v>
      </c>
      <c r="Q12" s="31">
        <f t="shared" si="9"/>
        <v>-1</v>
      </c>
      <c r="R12" s="31">
        <f t="shared" si="10"/>
        <v>1</v>
      </c>
      <c r="S12" s="31">
        <f t="shared" si="11"/>
        <v>0</v>
      </c>
      <c r="T12" s="31">
        <f t="shared" si="12"/>
        <v>-1</v>
      </c>
      <c r="U12" s="31">
        <f t="shared" si="13"/>
        <v>0</v>
      </c>
      <c r="V12" s="31">
        <f t="shared" si="14"/>
        <v>0</v>
      </c>
      <c r="W12" s="57">
        <v>2521</v>
      </c>
      <c r="X12" s="2">
        <v>2499</v>
      </c>
      <c r="Y12" s="58">
        <v>2499</v>
      </c>
      <c r="Z12" s="57">
        <v>2551</v>
      </c>
      <c r="AA12" s="2">
        <v>2552</v>
      </c>
      <c r="AB12" s="58">
        <v>2570</v>
      </c>
      <c r="AC12" s="31">
        <f t="shared" si="15"/>
        <v>2532</v>
      </c>
      <c r="AD12" s="31">
        <f t="shared" si="16"/>
        <v>900.8</v>
      </c>
      <c r="AE12" s="31">
        <f t="shared" si="17"/>
        <v>38.52299025183364</v>
      </c>
    </row>
    <row r="13" spans="1:31" x14ac:dyDescent="0.25">
      <c r="A13" s="116">
        <v>12</v>
      </c>
      <c r="B13" s="31">
        <v>-1</v>
      </c>
      <c r="C13" s="31">
        <v>1</v>
      </c>
      <c r="D13" s="31">
        <v>-1</v>
      </c>
      <c r="E13" s="31">
        <v>0</v>
      </c>
      <c r="F13" s="31">
        <v>-1</v>
      </c>
      <c r="G13" s="31">
        <v>1</v>
      </c>
      <c r="H13" s="31">
        <f t="shared" si="0"/>
        <v>-1</v>
      </c>
      <c r="I13" s="31">
        <f t="shared" si="1"/>
        <v>1</v>
      </c>
      <c r="J13" s="31">
        <f t="shared" si="2"/>
        <v>0</v>
      </c>
      <c r="K13" s="31">
        <f t="shared" si="3"/>
        <v>1</v>
      </c>
      <c r="L13" s="31">
        <f t="shared" si="4"/>
        <v>-1</v>
      </c>
      <c r="M13" s="31">
        <f t="shared" si="5"/>
        <v>-1</v>
      </c>
      <c r="N13" s="31">
        <f t="shared" si="6"/>
        <v>0</v>
      </c>
      <c r="O13" s="31">
        <f t="shared" si="7"/>
        <v>-1</v>
      </c>
      <c r="P13" s="31">
        <f t="shared" si="8"/>
        <v>1</v>
      </c>
      <c r="Q13" s="31">
        <f t="shared" si="9"/>
        <v>0</v>
      </c>
      <c r="R13" s="31">
        <f t="shared" si="10"/>
        <v>1</v>
      </c>
      <c r="S13" s="31">
        <f t="shared" si="11"/>
        <v>-1</v>
      </c>
      <c r="T13" s="31">
        <f t="shared" si="12"/>
        <v>0</v>
      </c>
      <c r="U13" s="31">
        <f t="shared" si="13"/>
        <v>0</v>
      </c>
      <c r="V13" s="31">
        <f t="shared" si="14"/>
        <v>-1</v>
      </c>
      <c r="W13" s="57">
        <v>5921</v>
      </c>
      <c r="X13" s="2">
        <v>5766</v>
      </c>
      <c r="Y13" s="58">
        <v>5844</v>
      </c>
      <c r="Z13" s="57">
        <v>5691</v>
      </c>
      <c r="AA13" s="2">
        <v>5777</v>
      </c>
      <c r="AB13" s="58">
        <v>5743</v>
      </c>
      <c r="AC13" s="31">
        <f t="shared" si="15"/>
        <v>5790.333333333333</v>
      </c>
      <c r="AD13" s="31">
        <f t="shared" si="16"/>
        <v>6566.2666666666655</v>
      </c>
      <c r="AE13" s="31">
        <f t="shared" si="17"/>
        <v>37.080886149872399</v>
      </c>
    </row>
    <row r="14" spans="1:31" x14ac:dyDescent="0.25">
      <c r="A14" s="116">
        <v>13</v>
      </c>
      <c r="B14" s="31">
        <v>0</v>
      </c>
      <c r="C14" s="31">
        <v>-1</v>
      </c>
      <c r="D14" s="31">
        <v>-1</v>
      </c>
      <c r="E14" s="31">
        <v>1</v>
      </c>
      <c r="F14" s="31">
        <v>-1</v>
      </c>
      <c r="G14" s="31">
        <v>0</v>
      </c>
      <c r="H14" s="31">
        <f t="shared" si="0"/>
        <v>0</v>
      </c>
      <c r="I14" s="31">
        <f t="shared" si="1"/>
        <v>0</v>
      </c>
      <c r="J14" s="31">
        <f t="shared" si="2"/>
        <v>0</v>
      </c>
      <c r="K14" s="31">
        <f t="shared" si="3"/>
        <v>0</v>
      </c>
      <c r="L14" s="31">
        <f t="shared" si="4"/>
        <v>0</v>
      </c>
      <c r="M14" s="31">
        <f t="shared" si="5"/>
        <v>1</v>
      </c>
      <c r="N14" s="31">
        <f t="shared" si="6"/>
        <v>-1</v>
      </c>
      <c r="O14" s="31">
        <f t="shared" si="7"/>
        <v>1</v>
      </c>
      <c r="P14" s="31">
        <f t="shared" si="8"/>
        <v>0</v>
      </c>
      <c r="Q14" s="31">
        <f t="shared" si="9"/>
        <v>-1</v>
      </c>
      <c r="R14" s="31">
        <f t="shared" si="10"/>
        <v>1</v>
      </c>
      <c r="S14" s="31">
        <f t="shared" si="11"/>
        <v>0</v>
      </c>
      <c r="T14" s="31">
        <f t="shared" si="12"/>
        <v>-1</v>
      </c>
      <c r="U14" s="31">
        <f t="shared" si="13"/>
        <v>0</v>
      </c>
      <c r="V14" s="31">
        <f t="shared" si="14"/>
        <v>0</v>
      </c>
      <c r="W14" s="57">
        <v>2792</v>
      </c>
      <c r="X14" s="2">
        <v>2752</v>
      </c>
      <c r="Y14" s="58">
        <v>2716</v>
      </c>
      <c r="Z14" s="57">
        <v>2765</v>
      </c>
      <c r="AA14" s="2">
        <v>2786</v>
      </c>
      <c r="AB14" s="58">
        <v>2773</v>
      </c>
      <c r="AC14" s="31">
        <f t="shared" si="15"/>
        <v>2764</v>
      </c>
      <c r="AD14" s="31">
        <f t="shared" si="16"/>
        <v>759.6</v>
      </c>
      <c r="AE14" s="31">
        <f t="shared" si="17"/>
        <v>40.024911213393409</v>
      </c>
    </row>
    <row r="15" spans="1:31" x14ac:dyDescent="0.25">
      <c r="A15" s="116">
        <v>14</v>
      </c>
      <c r="B15" s="31">
        <v>0</v>
      </c>
      <c r="C15" s="31">
        <v>0</v>
      </c>
      <c r="D15" s="31">
        <v>0</v>
      </c>
      <c r="E15" s="31">
        <v>-1</v>
      </c>
      <c r="F15" s="31">
        <v>0</v>
      </c>
      <c r="G15" s="31">
        <v>1</v>
      </c>
      <c r="H15" s="31">
        <f t="shared" si="0"/>
        <v>0</v>
      </c>
      <c r="I15" s="31">
        <f t="shared" si="1"/>
        <v>0</v>
      </c>
      <c r="J15" s="31">
        <f t="shared" si="2"/>
        <v>0</v>
      </c>
      <c r="K15" s="31">
        <f t="shared" si="3"/>
        <v>0</v>
      </c>
      <c r="L15" s="31">
        <f t="shared" si="4"/>
        <v>0</v>
      </c>
      <c r="M15" s="31">
        <f t="shared" si="5"/>
        <v>0</v>
      </c>
      <c r="N15" s="31">
        <f t="shared" si="6"/>
        <v>0</v>
      </c>
      <c r="O15" s="31">
        <f t="shared" si="7"/>
        <v>0</v>
      </c>
      <c r="P15" s="31">
        <f t="shared" si="8"/>
        <v>0</v>
      </c>
      <c r="Q15" s="31">
        <f t="shared" si="9"/>
        <v>0</v>
      </c>
      <c r="R15" s="31">
        <f t="shared" si="10"/>
        <v>0</v>
      </c>
      <c r="S15" s="31">
        <f t="shared" si="11"/>
        <v>0</v>
      </c>
      <c r="T15" s="31">
        <f t="shared" si="12"/>
        <v>0</v>
      </c>
      <c r="U15" s="31">
        <f t="shared" si="13"/>
        <v>-1</v>
      </c>
      <c r="V15" s="31">
        <f t="shared" si="14"/>
        <v>0</v>
      </c>
      <c r="W15" s="57">
        <v>2863</v>
      </c>
      <c r="X15" s="2">
        <v>2835</v>
      </c>
      <c r="Y15" s="58">
        <v>2859</v>
      </c>
      <c r="Z15" s="57">
        <v>2891</v>
      </c>
      <c r="AA15" s="2">
        <v>2844</v>
      </c>
      <c r="AB15" s="58">
        <v>2841</v>
      </c>
      <c r="AC15" s="31">
        <f t="shared" si="15"/>
        <v>2855.5</v>
      </c>
      <c r="AD15" s="31">
        <f t="shared" si="16"/>
        <v>418.3</v>
      </c>
      <c r="AE15" s="31">
        <f t="shared" si="17"/>
        <v>42.898764644209507</v>
      </c>
    </row>
    <row r="16" spans="1:31" x14ac:dyDescent="0.25">
      <c r="A16" s="116">
        <v>15</v>
      </c>
      <c r="B16" s="31">
        <v>0</v>
      </c>
      <c r="C16" s="31">
        <v>1</v>
      </c>
      <c r="D16" s="31">
        <v>1</v>
      </c>
      <c r="E16" s="31">
        <v>0</v>
      </c>
      <c r="F16" s="31">
        <v>1</v>
      </c>
      <c r="G16" s="31">
        <v>-1</v>
      </c>
      <c r="H16" s="31">
        <f t="shared" si="0"/>
        <v>0</v>
      </c>
      <c r="I16" s="31">
        <f t="shared" si="1"/>
        <v>0</v>
      </c>
      <c r="J16" s="31">
        <f t="shared" si="2"/>
        <v>0</v>
      </c>
      <c r="K16" s="31">
        <f t="shared" si="3"/>
        <v>0</v>
      </c>
      <c r="L16" s="31">
        <f t="shared" si="4"/>
        <v>0</v>
      </c>
      <c r="M16" s="31">
        <f t="shared" si="5"/>
        <v>1</v>
      </c>
      <c r="N16" s="31">
        <f t="shared" si="6"/>
        <v>0</v>
      </c>
      <c r="O16" s="31">
        <f t="shared" si="7"/>
        <v>1</v>
      </c>
      <c r="P16" s="31">
        <f t="shared" si="8"/>
        <v>-1</v>
      </c>
      <c r="Q16" s="31">
        <f t="shared" si="9"/>
        <v>0</v>
      </c>
      <c r="R16" s="31">
        <f t="shared" si="10"/>
        <v>1</v>
      </c>
      <c r="S16" s="31">
        <f t="shared" si="11"/>
        <v>-1</v>
      </c>
      <c r="T16" s="31">
        <f t="shared" si="12"/>
        <v>0</v>
      </c>
      <c r="U16" s="31">
        <f t="shared" si="13"/>
        <v>0</v>
      </c>
      <c r="V16" s="31">
        <f t="shared" si="14"/>
        <v>-1</v>
      </c>
      <c r="W16" s="57">
        <v>3218</v>
      </c>
      <c r="X16" s="2">
        <v>3149</v>
      </c>
      <c r="Y16" s="58">
        <v>3124</v>
      </c>
      <c r="Z16" s="57">
        <v>3241</v>
      </c>
      <c r="AA16" s="2">
        <v>3189</v>
      </c>
      <c r="AB16" s="58">
        <v>3197</v>
      </c>
      <c r="AC16" s="31">
        <f t="shared" si="15"/>
        <v>3186.3333333333335</v>
      </c>
      <c r="AD16" s="31">
        <f t="shared" si="16"/>
        <v>1878.2666666666664</v>
      </c>
      <c r="AE16" s="31">
        <f t="shared" si="17"/>
        <v>37.3282516256414</v>
      </c>
    </row>
    <row r="17" spans="1:36" x14ac:dyDescent="0.25">
      <c r="A17" s="116">
        <v>16</v>
      </c>
      <c r="B17" s="31">
        <v>1</v>
      </c>
      <c r="C17" s="31">
        <v>-1</v>
      </c>
      <c r="D17" s="31">
        <v>0</v>
      </c>
      <c r="E17" s="31">
        <v>0</v>
      </c>
      <c r="F17" s="31">
        <v>1</v>
      </c>
      <c r="G17" s="31">
        <v>0</v>
      </c>
      <c r="H17" s="31">
        <f t="shared" si="0"/>
        <v>-1</v>
      </c>
      <c r="I17" s="31">
        <f t="shared" si="1"/>
        <v>0</v>
      </c>
      <c r="J17" s="31">
        <f t="shared" si="2"/>
        <v>0</v>
      </c>
      <c r="K17" s="31">
        <f t="shared" si="3"/>
        <v>1</v>
      </c>
      <c r="L17" s="31">
        <f t="shared" si="4"/>
        <v>0</v>
      </c>
      <c r="M17" s="31">
        <f t="shared" si="5"/>
        <v>0</v>
      </c>
      <c r="N17" s="31">
        <f t="shared" si="6"/>
        <v>0</v>
      </c>
      <c r="O17" s="31">
        <f t="shared" si="7"/>
        <v>-1</v>
      </c>
      <c r="P17" s="31">
        <f t="shared" si="8"/>
        <v>0</v>
      </c>
      <c r="Q17" s="31">
        <f t="shared" si="9"/>
        <v>0</v>
      </c>
      <c r="R17" s="31">
        <f t="shared" si="10"/>
        <v>0</v>
      </c>
      <c r="S17" s="31">
        <f t="shared" si="11"/>
        <v>0</v>
      </c>
      <c r="T17" s="31">
        <f t="shared" si="12"/>
        <v>0</v>
      </c>
      <c r="U17" s="31">
        <f t="shared" si="13"/>
        <v>0</v>
      </c>
      <c r="V17" s="31">
        <f t="shared" si="14"/>
        <v>0</v>
      </c>
      <c r="W17" s="57">
        <v>3020</v>
      </c>
      <c r="X17" s="2">
        <v>3008</v>
      </c>
      <c r="Y17" s="58">
        <v>3016</v>
      </c>
      <c r="Z17" s="57">
        <v>3235</v>
      </c>
      <c r="AA17" s="2">
        <v>3162</v>
      </c>
      <c r="AB17" s="58">
        <v>3140</v>
      </c>
      <c r="AC17" s="31">
        <f t="shared" si="15"/>
        <v>3096.8333333333335</v>
      </c>
      <c r="AD17" s="31">
        <f t="shared" si="16"/>
        <v>9105.7666666666664</v>
      </c>
      <c r="AE17" s="31">
        <f t="shared" si="17"/>
        <v>30.22519148477603</v>
      </c>
    </row>
    <row r="18" spans="1:36" x14ac:dyDescent="0.25">
      <c r="A18" s="116">
        <v>17</v>
      </c>
      <c r="B18" s="31">
        <v>1</v>
      </c>
      <c r="C18" s="31">
        <v>0</v>
      </c>
      <c r="D18" s="31">
        <v>1</v>
      </c>
      <c r="E18" s="31">
        <v>1</v>
      </c>
      <c r="F18" s="31">
        <v>-1</v>
      </c>
      <c r="G18" s="31">
        <v>1</v>
      </c>
      <c r="H18" s="31">
        <f t="shared" si="0"/>
        <v>0</v>
      </c>
      <c r="I18" s="31">
        <f t="shared" si="1"/>
        <v>1</v>
      </c>
      <c r="J18" s="31">
        <f t="shared" si="2"/>
        <v>1</v>
      </c>
      <c r="K18" s="31">
        <f t="shared" si="3"/>
        <v>-1</v>
      </c>
      <c r="L18" s="31">
        <f t="shared" si="4"/>
        <v>1</v>
      </c>
      <c r="M18" s="31">
        <f t="shared" si="5"/>
        <v>0</v>
      </c>
      <c r="N18" s="31">
        <f t="shared" si="6"/>
        <v>0</v>
      </c>
      <c r="O18" s="31">
        <f t="shared" si="7"/>
        <v>0</v>
      </c>
      <c r="P18" s="31">
        <f t="shared" si="8"/>
        <v>0</v>
      </c>
      <c r="Q18" s="31">
        <f t="shared" si="9"/>
        <v>1</v>
      </c>
      <c r="R18" s="31">
        <f t="shared" si="10"/>
        <v>-1</v>
      </c>
      <c r="S18" s="31">
        <f t="shared" si="11"/>
        <v>1</v>
      </c>
      <c r="T18" s="31">
        <f t="shared" si="12"/>
        <v>-1</v>
      </c>
      <c r="U18" s="31">
        <f t="shared" si="13"/>
        <v>1</v>
      </c>
      <c r="V18" s="31">
        <f t="shared" si="14"/>
        <v>-1</v>
      </c>
      <c r="W18" s="57">
        <v>4277</v>
      </c>
      <c r="X18" s="2">
        <v>4150</v>
      </c>
      <c r="Y18" s="58">
        <v>3992</v>
      </c>
      <c r="Z18" s="57">
        <v>4593</v>
      </c>
      <c r="AA18" s="2">
        <v>4298</v>
      </c>
      <c r="AB18" s="58">
        <v>4219</v>
      </c>
      <c r="AC18" s="31">
        <f t="shared" si="15"/>
        <v>4254.833333333333</v>
      </c>
      <c r="AD18" s="31">
        <f t="shared" si="16"/>
        <v>39613.366666666661</v>
      </c>
      <c r="AE18" s="31">
        <f t="shared" si="17"/>
        <v>26.599233520322784</v>
      </c>
    </row>
    <row r="19" spans="1:36" ht="16.5" thickBot="1" x14ac:dyDescent="0.3">
      <c r="A19" s="117">
        <v>18</v>
      </c>
      <c r="B19" s="31">
        <v>1</v>
      </c>
      <c r="C19" s="31">
        <v>1</v>
      </c>
      <c r="D19" s="31">
        <v>-1</v>
      </c>
      <c r="E19" s="31">
        <v>-1</v>
      </c>
      <c r="F19" s="31">
        <v>0</v>
      </c>
      <c r="G19" s="31">
        <v>-1</v>
      </c>
      <c r="H19" s="31">
        <f t="shared" si="0"/>
        <v>1</v>
      </c>
      <c r="I19" s="31">
        <f t="shared" si="1"/>
        <v>-1</v>
      </c>
      <c r="J19" s="31">
        <f t="shared" si="2"/>
        <v>-1</v>
      </c>
      <c r="K19" s="31">
        <f t="shared" si="3"/>
        <v>0</v>
      </c>
      <c r="L19" s="31">
        <f t="shared" si="4"/>
        <v>-1</v>
      </c>
      <c r="M19" s="31">
        <f t="shared" si="5"/>
        <v>-1</v>
      </c>
      <c r="N19" s="31">
        <f t="shared" si="6"/>
        <v>-1</v>
      </c>
      <c r="O19" s="31">
        <f t="shared" si="7"/>
        <v>0</v>
      </c>
      <c r="P19" s="31">
        <f t="shared" si="8"/>
        <v>-1</v>
      </c>
      <c r="Q19" s="31">
        <f t="shared" si="9"/>
        <v>1</v>
      </c>
      <c r="R19" s="31">
        <f t="shared" si="10"/>
        <v>0</v>
      </c>
      <c r="S19" s="31">
        <f t="shared" si="11"/>
        <v>1</v>
      </c>
      <c r="T19" s="31">
        <f t="shared" si="12"/>
        <v>0</v>
      </c>
      <c r="U19" s="31">
        <f t="shared" si="13"/>
        <v>1</v>
      </c>
      <c r="V19" s="31">
        <f t="shared" si="14"/>
        <v>0</v>
      </c>
      <c r="W19" s="59">
        <v>3125</v>
      </c>
      <c r="X19" s="3">
        <v>3119</v>
      </c>
      <c r="Y19" s="60">
        <v>3127</v>
      </c>
      <c r="Z19" s="59">
        <v>4120</v>
      </c>
      <c r="AA19" s="3">
        <v>4088</v>
      </c>
      <c r="AB19" s="60">
        <v>4138</v>
      </c>
      <c r="AC19" s="31">
        <f t="shared" si="15"/>
        <v>3619.5</v>
      </c>
      <c r="AD19" s="31">
        <f t="shared" si="16"/>
        <v>295284.3</v>
      </c>
      <c r="AE19" s="31">
        <f t="shared" si="17"/>
        <v>16.470568053960513</v>
      </c>
    </row>
    <row r="20" spans="1:36" ht="16.5" thickBot="1" x14ac:dyDescent="0.3">
      <c r="B20" s="31" t="s">
        <v>179</v>
      </c>
      <c r="C20" s="31" t="s">
        <v>180</v>
      </c>
      <c r="D20" s="31" t="s">
        <v>181</v>
      </c>
      <c r="E20" s="31" t="s">
        <v>182</v>
      </c>
      <c r="F20" s="31" t="s">
        <v>183</v>
      </c>
      <c r="G20" s="31" t="s">
        <v>184</v>
      </c>
    </row>
    <row r="21" spans="1:36" x14ac:dyDescent="0.25">
      <c r="A21" s="119" t="s">
        <v>175</v>
      </c>
      <c r="B21" s="122" t="s">
        <v>52</v>
      </c>
      <c r="C21" s="100" t="s">
        <v>54</v>
      </c>
      <c r="D21" s="100" t="s">
        <v>56</v>
      </c>
      <c r="E21" s="100" t="s">
        <v>75</v>
      </c>
      <c r="F21" s="100" t="s">
        <v>186</v>
      </c>
      <c r="G21" s="123" t="s">
        <v>188</v>
      </c>
      <c r="H21" s="124" t="s">
        <v>176</v>
      </c>
      <c r="I21" s="125"/>
      <c r="J21" s="126"/>
      <c r="K21" s="127" t="s">
        <v>177</v>
      </c>
      <c r="L21" s="125"/>
      <c r="M21" s="128"/>
      <c r="N21" s="129" t="s">
        <v>87</v>
      </c>
      <c r="O21" s="130" t="s">
        <v>174</v>
      </c>
      <c r="P21" s="131" t="s">
        <v>178</v>
      </c>
      <c r="Q21" s="115" t="s">
        <v>261</v>
      </c>
      <c r="R21" s="133" t="s">
        <v>213</v>
      </c>
      <c r="S21" s="134" t="s">
        <v>214</v>
      </c>
      <c r="T21" s="134" t="s">
        <v>215</v>
      </c>
      <c r="U21" s="134" t="s">
        <v>216</v>
      </c>
      <c r="V21" s="134" t="s">
        <v>217</v>
      </c>
      <c r="W21" s="134" t="s">
        <v>218</v>
      </c>
      <c r="X21" s="134" t="s">
        <v>219</v>
      </c>
      <c r="Y21" s="134" t="s">
        <v>220</v>
      </c>
      <c r="Z21" s="134" t="s">
        <v>221</v>
      </c>
      <c r="AA21" s="134" t="s">
        <v>222</v>
      </c>
      <c r="AB21" s="134" t="s">
        <v>223</v>
      </c>
      <c r="AC21" s="134" t="s">
        <v>224</v>
      </c>
      <c r="AD21" s="134" t="s">
        <v>225</v>
      </c>
      <c r="AE21" s="134" t="s">
        <v>226</v>
      </c>
      <c r="AF21" s="134" t="s">
        <v>227</v>
      </c>
      <c r="AG21" s="134" t="s">
        <v>228</v>
      </c>
      <c r="AH21" s="134" t="s">
        <v>229</v>
      </c>
      <c r="AI21" s="135" t="s">
        <v>230</v>
      </c>
    </row>
    <row r="22" spans="1:36" x14ac:dyDescent="0.25">
      <c r="A22" s="120">
        <v>1</v>
      </c>
      <c r="B22" s="51">
        <v>-1</v>
      </c>
      <c r="C22" s="2">
        <v>-1</v>
      </c>
      <c r="D22" s="2">
        <v>1</v>
      </c>
      <c r="E22" s="2">
        <v>-1</v>
      </c>
      <c r="F22" s="2">
        <v>-1</v>
      </c>
      <c r="G22" s="5">
        <v>-1</v>
      </c>
      <c r="H22" s="57">
        <v>2029</v>
      </c>
      <c r="I22" s="2">
        <v>1975</v>
      </c>
      <c r="J22" s="58">
        <v>1961</v>
      </c>
      <c r="K22" s="51">
        <v>1952</v>
      </c>
      <c r="L22" s="2">
        <v>1941</v>
      </c>
      <c r="M22" s="5">
        <v>1949</v>
      </c>
      <c r="N22" s="57">
        <f>AVERAGE(H22:M22)</f>
        <v>1967.8333333333333</v>
      </c>
      <c r="O22" s="2">
        <f>_xlfn.VAR.S(H22:M22)</f>
        <v>1032.9666666666667</v>
      </c>
      <c r="P22" s="132">
        <f>N22</f>
        <v>1967.8333333333333</v>
      </c>
      <c r="Q22" s="136">
        <v>1</v>
      </c>
      <c r="R22" s="137">
        <f>IF(B22=1,$P22,0)</f>
        <v>0</v>
      </c>
      <c r="S22" s="138">
        <f>IF(B22=0,$P22,0)</f>
        <v>0</v>
      </c>
      <c r="T22" s="138">
        <f>IF(B22=-1,$P22,0)</f>
        <v>1967.8333333333333</v>
      </c>
      <c r="U22" s="138">
        <f>IF(C22=1,$P22,0)</f>
        <v>0</v>
      </c>
      <c r="V22" s="138">
        <f>IF(C22=0,$P22,0)</f>
        <v>0</v>
      </c>
      <c r="W22" s="138">
        <f>IF(C22=-1,$P22,0)</f>
        <v>1967.8333333333333</v>
      </c>
      <c r="X22" s="138">
        <f>IF(D22=1,$P22,0)</f>
        <v>1967.8333333333333</v>
      </c>
      <c r="Y22" s="138">
        <f>IF(D22=0,$P22,0)</f>
        <v>0</v>
      </c>
      <c r="Z22" s="138">
        <f>IF(D22=-1,$P22,0)</f>
        <v>0</v>
      </c>
      <c r="AA22" s="138">
        <f>IF(E22=1,$P22,0)</f>
        <v>0</v>
      </c>
      <c r="AB22" s="138">
        <f>IF(E22=0,$P22,0)</f>
        <v>0</v>
      </c>
      <c r="AC22" s="138">
        <f>IF(E22=-1,$P22,0)</f>
        <v>1967.8333333333333</v>
      </c>
      <c r="AD22" s="138">
        <f>IF(F22=1,$P22,0)</f>
        <v>0</v>
      </c>
      <c r="AE22" s="138">
        <f>IF(F22=0,$P22,0)</f>
        <v>0</v>
      </c>
      <c r="AF22" s="138">
        <f>IF(F22=-1,$P22,0)</f>
        <v>1967.8333333333333</v>
      </c>
      <c r="AG22" s="138">
        <f>IF(G22=1,$P22,0)</f>
        <v>0</v>
      </c>
      <c r="AH22" s="138">
        <f>IF(G22=0,$P22,0)</f>
        <v>0</v>
      </c>
      <c r="AI22" s="139">
        <f>IF(G22=-1,$P22,0)</f>
        <v>1967.8333333333333</v>
      </c>
      <c r="AJ22" s="31">
        <f>(P22-$P$40)^2</f>
        <v>2946245.1032235967</v>
      </c>
    </row>
    <row r="23" spans="1:36" x14ac:dyDescent="0.25">
      <c r="A23" s="120">
        <v>2</v>
      </c>
      <c r="B23" s="51">
        <v>-1</v>
      </c>
      <c r="C23" s="2">
        <v>0</v>
      </c>
      <c r="D23" s="2">
        <v>-1</v>
      </c>
      <c r="E23" s="2">
        <v>0</v>
      </c>
      <c r="F23" s="2">
        <v>0</v>
      </c>
      <c r="G23" s="5">
        <v>0</v>
      </c>
      <c r="H23" s="57">
        <v>5375</v>
      </c>
      <c r="I23" s="2">
        <v>5191</v>
      </c>
      <c r="J23" s="58">
        <v>5242</v>
      </c>
      <c r="K23" s="51">
        <v>5323</v>
      </c>
      <c r="L23" s="2">
        <v>5307</v>
      </c>
      <c r="M23" s="5">
        <v>5091</v>
      </c>
      <c r="N23" s="57">
        <f t="shared" ref="N23:N39" si="18">AVERAGE(H23:M23)</f>
        <v>5254.833333333333</v>
      </c>
      <c r="O23" s="2">
        <f t="shared" ref="O23:O39" si="19">_xlfn.VAR.S(H23:M23)</f>
        <v>10577.766666666666</v>
      </c>
      <c r="P23" s="132">
        <f t="shared" ref="P23:P39" si="20">N23</f>
        <v>5254.833333333333</v>
      </c>
      <c r="Q23" s="136">
        <v>2</v>
      </c>
      <c r="R23" s="137">
        <f>IF(B23=1,$P23,0)</f>
        <v>0</v>
      </c>
      <c r="S23" s="138">
        <f>IF(B23=0,$P23,0)</f>
        <v>0</v>
      </c>
      <c r="T23" s="138">
        <f>IF(B23=-1,$P23,0)</f>
        <v>5254.833333333333</v>
      </c>
      <c r="U23" s="138">
        <f>IF(C23=1,$P23,0)</f>
        <v>0</v>
      </c>
      <c r="V23" s="138">
        <f>IF(C23=0,$P23,0)</f>
        <v>5254.833333333333</v>
      </c>
      <c r="W23" s="138">
        <f>IF(C23=-1,$P23,0)</f>
        <v>0</v>
      </c>
      <c r="X23" s="138">
        <f>IF(D23=1,$P23,0)</f>
        <v>0</v>
      </c>
      <c r="Y23" s="138">
        <f>IF(D23=0,$P23,0)</f>
        <v>0</v>
      </c>
      <c r="Z23" s="138">
        <f>IF(D23=-1,$P23,0)</f>
        <v>5254.833333333333</v>
      </c>
      <c r="AA23" s="138">
        <f>IF(E23=1,$P23,0)</f>
        <v>0</v>
      </c>
      <c r="AB23" s="138">
        <f>IF(E23=0,$P23,0)</f>
        <v>5254.833333333333</v>
      </c>
      <c r="AC23" s="138">
        <f>IF(E23=-1,$P23,0)</f>
        <v>0</v>
      </c>
      <c r="AD23" s="138">
        <f>IF(F23=1,$P23,0)</f>
        <v>0</v>
      </c>
      <c r="AE23" s="138">
        <f>IF(F23=0,$P23,0)</f>
        <v>5254.833333333333</v>
      </c>
      <c r="AF23" s="138">
        <f>IF(F23=-1,$P23,0)</f>
        <v>0</v>
      </c>
      <c r="AG23" s="138">
        <f>IF(G23=1,$P23,0)</f>
        <v>0</v>
      </c>
      <c r="AH23" s="138">
        <f>IF(G23=0,$P23,0)</f>
        <v>5254.833333333333</v>
      </c>
      <c r="AI23" s="139">
        <f>IF(G23=-1,$P23,0)</f>
        <v>0</v>
      </c>
      <c r="AJ23" s="31">
        <f>(P23-$P$40)^2</f>
        <v>2466586.5847050725</v>
      </c>
    </row>
    <row r="24" spans="1:36" x14ac:dyDescent="0.25">
      <c r="A24" s="120">
        <v>3</v>
      </c>
      <c r="B24" s="51">
        <v>-1</v>
      </c>
      <c r="C24" s="2">
        <v>1</v>
      </c>
      <c r="D24" s="2">
        <v>0</v>
      </c>
      <c r="E24" s="2">
        <v>1</v>
      </c>
      <c r="F24" s="2">
        <v>1</v>
      </c>
      <c r="G24" s="5">
        <v>1</v>
      </c>
      <c r="H24" s="57">
        <v>5989</v>
      </c>
      <c r="I24" s="2">
        <v>5894</v>
      </c>
      <c r="J24" s="58">
        <v>5874</v>
      </c>
      <c r="K24" s="51">
        <v>6077</v>
      </c>
      <c r="L24" s="2">
        <v>5943</v>
      </c>
      <c r="M24" s="5">
        <v>5962</v>
      </c>
      <c r="N24" s="57">
        <f t="shared" si="18"/>
        <v>5956.5</v>
      </c>
      <c r="O24" s="2">
        <f t="shared" si="19"/>
        <v>5300.3</v>
      </c>
      <c r="P24" s="132">
        <f t="shared" si="20"/>
        <v>5956.5</v>
      </c>
      <c r="Q24" s="136">
        <v>3</v>
      </c>
      <c r="R24" s="137">
        <f>IF(B24=1,$P24,0)</f>
        <v>0</v>
      </c>
      <c r="S24" s="138">
        <f>IF(B24=0,$P24,0)</f>
        <v>0</v>
      </c>
      <c r="T24" s="138">
        <f>IF(B24=-1,$P24,0)</f>
        <v>5956.5</v>
      </c>
      <c r="U24" s="138">
        <f>IF(C24=1,$P24,0)</f>
        <v>5956.5</v>
      </c>
      <c r="V24" s="138">
        <f>IF(C24=0,$P24,0)</f>
        <v>0</v>
      </c>
      <c r="W24" s="138">
        <f>IF(C24=-1,$P24,0)</f>
        <v>0</v>
      </c>
      <c r="X24" s="138">
        <f>IF(D24=1,$P24,0)</f>
        <v>0</v>
      </c>
      <c r="Y24" s="138">
        <f>IF(D24=0,$P24,0)</f>
        <v>5956.5</v>
      </c>
      <c r="Z24" s="138">
        <f>IF(D24=-1,$P24,0)</f>
        <v>0</v>
      </c>
      <c r="AA24" s="138">
        <f>IF(E24=1,$P24,0)</f>
        <v>5956.5</v>
      </c>
      <c r="AB24" s="138">
        <f>IF(E24=0,$P24,0)</f>
        <v>0</v>
      </c>
      <c r="AC24" s="138">
        <f>IF(E24=-1,$P24,0)</f>
        <v>0</v>
      </c>
      <c r="AD24" s="138">
        <f>IF(F24=1,$P24,0)</f>
        <v>5956.5</v>
      </c>
      <c r="AE24" s="138">
        <f>IF(F24=0,$P24,0)</f>
        <v>0</v>
      </c>
      <c r="AF24" s="138">
        <f>IF(F24=-1,$P24,0)</f>
        <v>0</v>
      </c>
      <c r="AG24" s="138">
        <f>IF(G24=1,$P24,0)</f>
        <v>5956.5</v>
      </c>
      <c r="AH24" s="138">
        <f>IF(G24=0,$P24,0)</f>
        <v>0</v>
      </c>
      <c r="AI24" s="139">
        <f>IF(G24=-1,$P24,0)</f>
        <v>0</v>
      </c>
      <c r="AJ24" s="31">
        <f>(P24-$P$40)^2</f>
        <v>5162909.6711248253</v>
      </c>
    </row>
    <row r="25" spans="1:36" x14ac:dyDescent="0.25">
      <c r="A25" s="120">
        <v>4</v>
      </c>
      <c r="B25" s="51">
        <v>0</v>
      </c>
      <c r="C25" s="2">
        <v>-1</v>
      </c>
      <c r="D25" s="2">
        <v>1</v>
      </c>
      <c r="E25" s="2">
        <v>0</v>
      </c>
      <c r="F25" s="2">
        <v>0</v>
      </c>
      <c r="G25" s="5">
        <v>1</v>
      </c>
      <c r="H25" s="57">
        <v>2118</v>
      </c>
      <c r="I25" s="2">
        <v>2109</v>
      </c>
      <c r="J25" s="58">
        <v>2099</v>
      </c>
      <c r="K25" s="51">
        <v>2149</v>
      </c>
      <c r="L25" s="2">
        <v>2130</v>
      </c>
      <c r="M25" s="5">
        <v>2111</v>
      </c>
      <c r="N25" s="57">
        <f t="shared" si="18"/>
        <v>2119.3333333333335</v>
      </c>
      <c r="O25" s="2">
        <f t="shared" si="19"/>
        <v>317.06666666666672</v>
      </c>
      <c r="P25" s="132">
        <f t="shared" si="20"/>
        <v>2119.3333333333335</v>
      </c>
      <c r="Q25" s="136">
        <v>4</v>
      </c>
      <c r="R25" s="137">
        <f>IF(B25=1,$P25,0)</f>
        <v>0</v>
      </c>
      <c r="S25" s="138">
        <f>IF(B25=0,$P25,0)</f>
        <v>2119.3333333333335</v>
      </c>
      <c r="T25" s="138">
        <f>IF(B25=-1,$P25,0)</f>
        <v>0</v>
      </c>
      <c r="U25" s="138">
        <f>IF(C25=1,$P25,0)</f>
        <v>0</v>
      </c>
      <c r="V25" s="138">
        <f>IF(C25=0,$P25,0)</f>
        <v>0</v>
      </c>
      <c r="W25" s="138">
        <f>IF(C25=-1,$P25,0)</f>
        <v>2119.3333333333335</v>
      </c>
      <c r="X25" s="138">
        <f>IF(D25=1,$P25,0)</f>
        <v>2119.3333333333335</v>
      </c>
      <c r="Y25" s="138">
        <f>IF(D25=0,$P25,0)</f>
        <v>0</v>
      </c>
      <c r="Z25" s="138">
        <f>IF(D25=-1,$P25,0)</f>
        <v>0</v>
      </c>
      <c r="AA25" s="138">
        <f>IF(E25=1,$P25,0)</f>
        <v>0</v>
      </c>
      <c r="AB25" s="138">
        <f>IF(E25=0,$P25,0)</f>
        <v>2119.3333333333335</v>
      </c>
      <c r="AC25" s="138">
        <f>IF(E25=-1,$P25,0)</f>
        <v>0</v>
      </c>
      <c r="AD25" s="138">
        <f>IF(F25=1,$P25,0)</f>
        <v>0</v>
      </c>
      <c r="AE25" s="138">
        <f>IF(F25=0,$P25,0)</f>
        <v>2119.3333333333335</v>
      </c>
      <c r="AF25" s="138">
        <f>IF(F25=-1,$P25,0)</f>
        <v>0</v>
      </c>
      <c r="AG25" s="138">
        <f>IF(G25=1,$P25,0)</f>
        <v>2119.3333333333335</v>
      </c>
      <c r="AH25" s="138">
        <f>IF(G25=0,$P25,0)</f>
        <v>0</v>
      </c>
      <c r="AI25" s="139">
        <f>IF(G25=-1,$P25,0)</f>
        <v>0</v>
      </c>
      <c r="AJ25" s="31">
        <f>(P25-$P$40)^2</f>
        <v>2449109.0754458178</v>
      </c>
    </row>
    <row r="26" spans="1:36" x14ac:dyDescent="0.25">
      <c r="A26" s="120">
        <v>5</v>
      </c>
      <c r="B26" s="51">
        <v>0</v>
      </c>
      <c r="C26" s="2">
        <v>0</v>
      </c>
      <c r="D26" s="2">
        <v>-1</v>
      </c>
      <c r="E26" s="2">
        <v>1</v>
      </c>
      <c r="F26" s="2">
        <v>1</v>
      </c>
      <c r="G26" s="5">
        <v>-1</v>
      </c>
      <c r="H26" s="57">
        <v>4102</v>
      </c>
      <c r="I26" s="2">
        <v>4152</v>
      </c>
      <c r="J26" s="58">
        <v>4174</v>
      </c>
      <c r="K26" s="51">
        <v>5031</v>
      </c>
      <c r="L26" s="2">
        <v>5040</v>
      </c>
      <c r="M26" s="5">
        <v>5032</v>
      </c>
      <c r="N26" s="57">
        <f t="shared" si="18"/>
        <v>4588.5</v>
      </c>
      <c r="O26" s="2">
        <f t="shared" si="19"/>
        <v>239075.1</v>
      </c>
      <c r="P26" s="132">
        <f t="shared" si="20"/>
        <v>4588.5</v>
      </c>
      <c r="Q26" s="136">
        <v>5</v>
      </c>
      <c r="R26" s="137">
        <f>IF(B26=1,$P26,0)</f>
        <v>0</v>
      </c>
      <c r="S26" s="138">
        <f>IF(B26=0,$P26,0)</f>
        <v>4588.5</v>
      </c>
      <c r="T26" s="138">
        <f>IF(B26=-1,$P26,0)</f>
        <v>0</v>
      </c>
      <c r="U26" s="138">
        <f>IF(C26=1,$P26,0)</f>
        <v>0</v>
      </c>
      <c r="V26" s="138">
        <f>IF(C26=0,$P26,0)</f>
        <v>4588.5</v>
      </c>
      <c r="W26" s="138">
        <f>IF(C26=-1,$P26,0)</f>
        <v>0</v>
      </c>
      <c r="X26" s="138">
        <f>IF(D26=1,$P26,0)</f>
        <v>0</v>
      </c>
      <c r="Y26" s="138">
        <f>IF(D26=0,$P26,0)</f>
        <v>0</v>
      </c>
      <c r="Z26" s="138">
        <f>IF(D26=-1,$P26,0)</f>
        <v>4588.5</v>
      </c>
      <c r="AA26" s="138">
        <f>IF(E26=1,$P26,0)</f>
        <v>4588.5</v>
      </c>
      <c r="AB26" s="138">
        <f>IF(E26=0,$P26,0)</f>
        <v>0</v>
      </c>
      <c r="AC26" s="138">
        <f>IF(E26=-1,$P26,0)</f>
        <v>0</v>
      </c>
      <c r="AD26" s="138">
        <f>IF(F26=1,$P26,0)</f>
        <v>4588.5</v>
      </c>
      <c r="AE26" s="138">
        <f>IF(F26=0,$P26,0)</f>
        <v>0</v>
      </c>
      <c r="AF26" s="138">
        <f>IF(F26=-1,$P26,0)</f>
        <v>0</v>
      </c>
      <c r="AG26" s="138">
        <f>IF(G26=1,$P26,0)</f>
        <v>0</v>
      </c>
      <c r="AH26" s="138">
        <f>IF(G26=0,$P26,0)</f>
        <v>0</v>
      </c>
      <c r="AI26" s="139">
        <f>IF(G26=-1,$P26,0)</f>
        <v>4588.5</v>
      </c>
      <c r="AJ26" s="31">
        <f>(P26-$P$40)^2</f>
        <v>817584.33779149398</v>
      </c>
    </row>
    <row r="27" spans="1:36" x14ac:dyDescent="0.25">
      <c r="A27" s="120">
        <v>6</v>
      </c>
      <c r="B27" s="51">
        <v>0</v>
      </c>
      <c r="C27" s="2">
        <v>1</v>
      </c>
      <c r="D27" s="2">
        <v>0</v>
      </c>
      <c r="E27" s="2">
        <v>-1</v>
      </c>
      <c r="F27" s="2">
        <v>-1</v>
      </c>
      <c r="G27" s="5">
        <v>0</v>
      </c>
      <c r="H27" s="57">
        <v>3022</v>
      </c>
      <c r="I27" s="2">
        <v>2932</v>
      </c>
      <c r="J27" s="58">
        <v>2913</v>
      </c>
      <c r="K27" s="51">
        <v>2934</v>
      </c>
      <c r="L27" s="2">
        <v>2875</v>
      </c>
      <c r="M27" s="5">
        <v>2841</v>
      </c>
      <c r="N27" s="57">
        <f t="shared" si="18"/>
        <v>2919.5</v>
      </c>
      <c r="O27" s="2">
        <f t="shared" si="19"/>
        <v>3811.5</v>
      </c>
      <c r="P27" s="132">
        <f t="shared" si="20"/>
        <v>2919.5</v>
      </c>
      <c r="Q27" s="136">
        <v>6</v>
      </c>
      <c r="R27" s="137">
        <f>IF(B27=1,$P27,0)</f>
        <v>0</v>
      </c>
      <c r="S27" s="138">
        <f>IF(B27=0,$P27,0)</f>
        <v>2919.5</v>
      </c>
      <c r="T27" s="138">
        <f>IF(B27=-1,$P27,0)</f>
        <v>0</v>
      </c>
      <c r="U27" s="138">
        <f>IF(C27=1,$P27,0)</f>
        <v>2919.5</v>
      </c>
      <c r="V27" s="138">
        <f>IF(C27=0,$P27,0)</f>
        <v>0</v>
      </c>
      <c r="W27" s="138">
        <f>IF(C27=-1,$P27,0)</f>
        <v>0</v>
      </c>
      <c r="X27" s="138">
        <f>IF(D27=1,$P27,0)</f>
        <v>0</v>
      </c>
      <c r="Y27" s="138">
        <f>IF(D27=0,$P27,0)</f>
        <v>2919.5</v>
      </c>
      <c r="Z27" s="138">
        <f>IF(D27=-1,$P27,0)</f>
        <v>0</v>
      </c>
      <c r="AA27" s="138">
        <f>IF(E27=1,$P27,0)</f>
        <v>0</v>
      </c>
      <c r="AB27" s="138">
        <f>IF(E27=0,$P27,0)</f>
        <v>0</v>
      </c>
      <c r="AC27" s="138">
        <f>IF(E27=-1,$P27,0)</f>
        <v>2919.5</v>
      </c>
      <c r="AD27" s="138">
        <f>IF(F27=1,$P27,0)</f>
        <v>0</v>
      </c>
      <c r="AE27" s="138">
        <f>IF(F27=0,$P27,0)</f>
        <v>0</v>
      </c>
      <c r="AF27" s="138">
        <f>IF(F27=-1,$P27,0)</f>
        <v>2919.5</v>
      </c>
      <c r="AG27" s="138">
        <f>IF(G27=1,$P27,0)</f>
        <v>0</v>
      </c>
      <c r="AH27" s="138">
        <f>IF(G27=0,$P27,0)</f>
        <v>2919.5</v>
      </c>
      <c r="AI27" s="139">
        <f>IF(G27=-1,$P27,0)</f>
        <v>0</v>
      </c>
      <c r="AJ27" s="31">
        <f>(P27-$P$40)^2</f>
        <v>584913.37482853327</v>
      </c>
    </row>
    <row r="28" spans="1:36" x14ac:dyDescent="0.25">
      <c r="A28" s="120">
        <v>7</v>
      </c>
      <c r="B28" s="51">
        <v>1</v>
      </c>
      <c r="C28" s="2">
        <v>-1</v>
      </c>
      <c r="D28" s="2">
        <v>-1</v>
      </c>
      <c r="E28" s="2">
        <v>-1</v>
      </c>
      <c r="F28" s="2">
        <v>1</v>
      </c>
      <c r="G28" s="5">
        <v>1</v>
      </c>
      <c r="H28" s="57">
        <v>3030</v>
      </c>
      <c r="I28" s="2">
        <v>3042</v>
      </c>
      <c r="J28" s="58">
        <v>3028</v>
      </c>
      <c r="K28" s="51">
        <v>3709</v>
      </c>
      <c r="L28" s="2">
        <v>3671</v>
      </c>
      <c r="M28" s="5">
        <v>3687</v>
      </c>
      <c r="N28" s="57">
        <f t="shared" si="18"/>
        <v>3361.1666666666665</v>
      </c>
      <c r="O28" s="2">
        <f t="shared" si="19"/>
        <v>129138.16666666667</v>
      </c>
      <c r="P28" s="132">
        <f t="shared" si="20"/>
        <v>3361.1666666666665</v>
      </c>
      <c r="Q28" s="136">
        <v>7</v>
      </c>
      <c r="R28" s="137">
        <f>IF(B28=1,$P28,0)</f>
        <v>3361.1666666666665</v>
      </c>
      <c r="S28" s="138">
        <f>IF(B28=0,$P28,0)</f>
        <v>0</v>
      </c>
      <c r="T28" s="138">
        <f>IF(B28=-1,$P28,0)</f>
        <v>0</v>
      </c>
      <c r="U28" s="138">
        <f>IF(C28=1,$P28,0)</f>
        <v>0</v>
      </c>
      <c r="V28" s="138">
        <f>IF(C28=0,$P28,0)</f>
        <v>0</v>
      </c>
      <c r="W28" s="138">
        <f>IF(C28=-1,$P28,0)</f>
        <v>3361.1666666666665</v>
      </c>
      <c r="X28" s="138">
        <f>IF(D28=1,$P28,0)</f>
        <v>0</v>
      </c>
      <c r="Y28" s="138">
        <f>IF(D28=0,$P28,0)</f>
        <v>0</v>
      </c>
      <c r="Z28" s="138">
        <f>IF(D28=-1,$P28,0)</f>
        <v>3361.1666666666665</v>
      </c>
      <c r="AA28" s="138">
        <f>IF(E28=1,$P28,0)</f>
        <v>0</v>
      </c>
      <c r="AB28" s="138">
        <f>IF(E28=0,$P28,0)</f>
        <v>0</v>
      </c>
      <c r="AC28" s="138">
        <f>IF(E28=-1,$P28,0)</f>
        <v>3361.1666666666665</v>
      </c>
      <c r="AD28" s="138">
        <f>IF(F28=1,$P28,0)</f>
        <v>3361.1666666666665</v>
      </c>
      <c r="AE28" s="138">
        <f>IF(F28=0,$P28,0)</f>
        <v>0</v>
      </c>
      <c r="AF28" s="138">
        <f>IF(F28=-1,$P28,0)</f>
        <v>0</v>
      </c>
      <c r="AG28" s="138">
        <f>IF(G28=1,$P28,0)</f>
        <v>3361.1666666666665</v>
      </c>
      <c r="AH28" s="138">
        <f>IF(G28=0,$P28,0)</f>
        <v>0</v>
      </c>
      <c r="AI28" s="139">
        <f>IF(G28=-1,$P28,0)</f>
        <v>0</v>
      </c>
      <c r="AJ28" s="31">
        <f>(P28-$P$40)^2</f>
        <v>104412.75754458216</v>
      </c>
    </row>
    <row r="29" spans="1:36" x14ac:dyDescent="0.25">
      <c r="A29" s="120">
        <v>8</v>
      </c>
      <c r="B29" s="51">
        <v>1</v>
      </c>
      <c r="C29" s="2">
        <v>0</v>
      </c>
      <c r="D29" s="2">
        <v>0</v>
      </c>
      <c r="E29" s="2">
        <v>0</v>
      </c>
      <c r="F29" s="2">
        <v>-1</v>
      </c>
      <c r="G29" s="5">
        <v>-1</v>
      </c>
      <c r="H29" s="57">
        <v>4707</v>
      </c>
      <c r="I29" s="2">
        <v>4472</v>
      </c>
      <c r="J29" s="58">
        <v>4336</v>
      </c>
      <c r="K29" s="51">
        <v>5073</v>
      </c>
      <c r="L29" s="2">
        <v>4898</v>
      </c>
      <c r="M29" s="5">
        <v>4599</v>
      </c>
      <c r="N29" s="57">
        <f t="shared" si="18"/>
        <v>4680.833333333333</v>
      </c>
      <c r="O29" s="2">
        <f t="shared" si="19"/>
        <v>74171.766666666663</v>
      </c>
      <c r="P29" s="132">
        <f t="shared" si="20"/>
        <v>4680.833333333333</v>
      </c>
      <c r="Q29" s="136">
        <v>8</v>
      </c>
      <c r="R29" s="137">
        <f>IF(B29=1,$P29,0)</f>
        <v>4680.833333333333</v>
      </c>
      <c r="S29" s="138">
        <f>IF(B29=0,$P29,0)</f>
        <v>0</v>
      </c>
      <c r="T29" s="138">
        <f>IF(B29=-1,$P29,0)</f>
        <v>0</v>
      </c>
      <c r="U29" s="138">
        <f>IF(C29=1,$P29,0)</f>
        <v>0</v>
      </c>
      <c r="V29" s="138">
        <f>IF(C29=0,$P29,0)</f>
        <v>4680.833333333333</v>
      </c>
      <c r="W29" s="138">
        <f>IF(C29=-1,$P29,0)</f>
        <v>0</v>
      </c>
      <c r="X29" s="138">
        <f>IF(D29=1,$P29,0)</f>
        <v>0</v>
      </c>
      <c r="Y29" s="138">
        <f>IF(D29=0,$P29,0)</f>
        <v>4680.833333333333</v>
      </c>
      <c r="Z29" s="138">
        <f>IF(D29=-1,$P29,0)</f>
        <v>0</v>
      </c>
      <c r="AA29" s="138">
        <f>IF(E29=1,$P29,0)</f>
        <v>0</v>
      </c>
      <c r="AB29" s="138">
        <f>IF(E29=0,$P29,0)</f>
        <v>4680.833333333333</v>
      </c>
      <c r="AC29" s="138">
        <f>IF(E29=-1,$P29,0)</f>
        <v>0</v>
      </c>
      <c r="AD29" s="138">
        <f>IF(F29=1,$P29,0)</f>
        <v>0</v>
      </c>
      <c r="AE29" s="138">
        <f>IF(F29=0,$P29,0)</f>
        <v>0</v>
      </c>
      <c r="AF29" s="138">
        <f>IF(F29=-1,$P29,0)</f>
        <v>4680.833333333333</v>
      </c>
      <c r="AG29" s="138">
        <f>IF(G29=1,$P29,0)</f>
        <v>0</v>
      </c>
      <c r="AH29" s="138">
        <f>IF(G29=0,$P29,0)</f>
        <v>0</v>
      </c>
      <c r="AI29" s="139">
        <f>IF(G29=-1,$P29,0)</f>
        <v>4680.833333333333</v>
      </c>
      <c r="AJ29" s="31">
        <f>(P29-$P$40)^2</f>
        <v>993086.06618655496</v>
      </c>
    </row>
    <row r="30" spans="1:36" x14ac:dyDescent="0.25">
      <c r="A30" s="120">
        <v>9</v>
      </c>
      <c r="B30" s="51">
        <v>1</v>
      </c>
      <c r="C30" s="2">
        <v>1</v>
      </c>
      <c r="D30" s="2">
        <v>1</v>
      </c>
      <c r="E30" s="2">
        <v>1</v>
      </c>
      <c r="F30" s="2">
        <v>0</v>
      </c>
      <c r="G30" s="5">
        <v>0</v>
      </c>
      <c r="H30" s="57">
        <v>3859</v>
      </c>
      <c r="I30" s="2">
        <v>3822</v>
      </c>
      <c r="J30" s="58">
        <v>3850</v>
      </c>
      <c r="K30" s="51">
        <v>4110</v>
      </c>
      <c r="L30" s="2">
        <v>4067</v>
      </c>
      <c r="M30" s="5">
        <v>4110</v>
      </c>
      <c r="N30" s="57">
        <f t="shared" si="18"/>
        <v>3969.6666666666665</v>
      </c>
      <c r="O30" s="2">
        <f t="shared" si="19"/>
        <v>19446.666666666664</v>
      </c>
      <c r="P30" s="132">
        <f t="shared" si="20"/>
        <v>3969.6666666666665</v>
      </c>
      <c r="Q30" s="136">
        <v>9</v>
      </c>
      <c r="R30" s="137">
        <f>IF(B30=1,$P30,0)</f>
        <v>3969.6666666666665</v>
      </c>
      <c r="S30" s="138">
        <f>IF(B30=0,$P30,0)</f>
        <v>0</v>
      </c>
      <c r="T30" s="138">
        <f>IF(B30=-1,$P30,0)</f>
        <v>0</v>
      </c>
      <c r="U30" s="138">
        <f>IF(C30=1,$P30,0)</f>
        <v>3969.6666666666665</v>
      </c>
      <c r="V30" s="138">
        <f>IF(C30=0,$P30,0)</f>
        <v>0</v>
      </c>
      <c r="W30" s="138">
        <f>IF(C30=-1,$P30,0)</f>
        <v>0</v>
      </c>
      <c r="X30" s="138">
        <f>IF(D30=1,$P30,0)</f>
        <v>3969.6666666666665</v>
      </c>
      <c r="Y30" s="138">
        <f>IF(D30=0,$P30,0)</f>
        <v>0</v>
      </c>
      <c r="Z30" s="138">
        <f>IF(D30=-1,$P30,0)</f>
        <v>0</v>
      </c>
      <c r="AA30" s="138">
        <f>IF(E30=1,$P30,0)</f>
        <v>3969.6666666666665</v>
      </c>
      <c r="AB30" s="138">
        <f>IF(E30=0,$P30,0)</f>
        <v>0</v>
      </c>
      <c r="AC30" s="138">
        <f>IF(E30=-1,$P30,0)</f>
        <v>0</v>
      </c>
      <c r="AD30" s="138">
        <f>IF(F30=1,$P30,0)</f>
        <v>0</v>
      </c>
      <c r="AE30" s="138">
        <f>IF(F30=0,$P30,0)</f>
        <v>3969.6666666666665</v>
      </c>
      <c r="AF30" s="138">
        <f>IF(F30=-1,$P30,0)</f>
        <v>0</v>
      </c>
      <c r="AG30" s="138">
        <f>IF(G30=1,$P30,0)</f>
        <v>0</v>
      </c>
      <c r="AH30" s="138">
        <f>IF(G30=0,$P30,0)</f>
        <v>3969.6666666666665</v>
      </c>
      <c r="AI30" s="139">
        <f>IF(G30=-1,$P30,0)</f>
        <v>0</v>
      </c>
      <c r="AJ30" s="31">
        <f>(P30-$P$40)^2</f>
        <v>81436.248285321883</v>
      </c>
    </row>
    <row r="31" spans="1:36" x14ac:dyDescent="0.25">
      <c r="A31" s="120">
        <v>10</v>
      </c>
      <c r="B31" s="51">
        <v>-1</v>
      </c>
      <c r="C31" s="2">
        <v>-1</v>
      </c>
      <c r="D31" s="2">
        <v>0</v>
      </c>
      <c r="E31" s="2">
        <v>1</v>
      </c>
      <c r="F31" s="2">
        <v>0</v>
      </c>
      <c r="G31" s="5">
        <v>-1</v>
      </c>
      <c r="H31" s="57">
        <v>3227</v>
      </c>
      <c r="I31" s="2">
        <v>3205</v>
      </c>
      <c r="J31" s="58">
        <v>3242</v>
      </c>
      <c r="K31" s="51">
        <v>3599</v>
      </c>
      <c r="L31" s="2">
        <v>3591</v>
      </c>
      <c r="M31" s="5">
        <v>3535</v>
      </c>
      <c r="N31" s="57">
        <f t="shared" si="18"/>
        <v>3399.8333333333335</v>
      </c>
      <c r="O31" s="2">
        <f t="shared" si="19"/>
        <v>37444.966666666674</v>
      </c>
      <c r="P31" s="132">
        <f t="shared" si="20"/>
        <v>3399.8333333333335</v>
      </c>
      <c r="Q31" s="136">
        <v>10</v>
      </c>
      <c r="R31" s="137">
        <f>IF(B31=1,$P31,0)</f>
        <v>0</v>
      </c>
      <c r="S31" s="138">
        <f>IF(B31=0,$P31,0)</f>
        <v>0</v>
      </c>
      <c r="T31" s="138">
        <f>IF(B31=-1,$P31,0)</f>
        <v>3399.8333333333335</v>
      </c>
      <c r="U31" s="138">
        <f>IF(C31=1,$P31,0)</f>
        <v>0</v>
      </c>
      <c r="V31" s="138">
        <f>IF(C31=0,$P31,0)</f>
        <v>0</v>
      </c>
      <c r="W31" s="138">
        <f>IF(C31=-1,$P31,0)</f>
        <v>3399.8333333333335</v>
      </c>
      <c r="X31" s="138">
        <f>IF(D31=1,$P31,0)</f>
        <v>0</v>
      </c>
      <c r="Y31" s="138">
        <f>IF(D31=0,$P31,0)</f>
        <v>3399.8333333333335</v>
      </c>
      <c r="Z31" s="138">
        <f>IF(D31=-1,$P31,0)</f>
        <v>0</v>
      </c>
      <c r="AA31" s="138">
        <f>IF(E31=1,$P31,0)</f>
        <v>3399.8333333333335</v>
      </c>
      <c r="AB31" s="138">
        <f>IF(E31=0,$P31,0)</f>
        <v>0</v>
      </c>
      <c r="AC31" s="138">
        <f>IF(E31=-1,$P31,0)</f>
        <v>0</v>
      </c>
      <c r="AD31" s="138">
        <f>IF(F31=1,$P31,0)</f>
        <v>0</v>
      </c>
      <c r="AE31" s="138">
        <f>IF(F31=0,$P31,0)</f>
        <v>3399.8333333333335</v>
      </c>
      <c r="AF31" s="138">
        <f>IF(F31=-1,$P31,0)</f>
        <v>0</v>
      </c>
      <c r="AG31" s="138">
        <f>IF(G31=1,$P31,0)</f>
        <v>0</v>
      </c>
      <c r="AH31" s="138">
        <f>IF(G31=0,$P31,0)</f>
        <v>0</v>
      </c>
      <c r="AI31" s="139">
        <f>IF(G31=-1,$P31,0)</f>
        <v>3399.8333333333335</v>
      </c>
      <c r="AJ31" s="31">
        <f>(P31-$P$40)^2</f>
        <v>80919.177297668342</v>
      </c>
    </row>
    <row r="32" spans="1:36" x14ac:dyDescent="0.25">
      <c r="A32" s="120">
        <v>11</v>
      </c>
      <c r="B32" s="51">
        <v>-1</v>
      </c>
      <c r="C32" s="2">
        <v>0</v>
      </c>
      <c r="D32" s="2">
        <v>1</v>
      </c>
      <c r="E32" s="2">
        <v>-1</v>
      </c>
      <c r="F32" s="2">
        <v>1</v>
      </c>
      <c r="G32" s="5">
        <v>0</v>
      </c>
      <c r="H32" s="57">
        <v>2521</v>
      </c>
      <c r="I32" s="2">
        <v>2499</v>
      </c>
      <c r="J32" s="58">
        <v>2499</v>
      </c>
      <c r="K32" s="51">
        <v>2551</v>
      </c>
      <c r="L32" s="2">
        <v>2552</v>
      </c>
      <c r="M32" s="5">
        <v>2570</v>
      </c>
      <c r="N32" s="57">
        <f t="shared" si="18"/>
        <v>2532</v>
      </c>
      <c r="O32" s="2">
        <f t="shared" si="19"/>
        <v>900.8</v>
      </c>
      <c r="P32" s="132">
        <f t="shared" si="20"/>
        <v>2532</v>
      </c>
      <c r="Q32" s="136">
        <v>11</v>
      </c>
      <c r="R32" s="137">
        <f>IF(B32=1,$P32,0)</f>
        <v>0</v>
      </c>
      <c r="S32" s="138">
        <f>IF(B32=0,$P32,0)</f>
        <v>0</v>
      </c>
      <c r="T32" s="138">
        <f>IF(B32=-1,$P32,0)</f>
        <v>2532</v>
      </c>
      <c r="U32" s="138">
        <f>IF(C32=1,$P32,0)</f>
        <v>0</v>
      </c>
      <c r="V32" s="138">
        <f>IF(C32=0,$P32,0)</f>
        <v>2532</v>
      </c>
      <c r="W32" s="138">
        <f>IF(C32=-1,$P32,0)</f>
        <v>0</v>
      </c>
      <c r="X32" s="138">
        <f>IF(D32=1,$P32,0)</f>
        <v>2532</v>
      </c>
      <c r="Y32" s="138">
        <f>IF(D32=0,$P32,0)</f>
        <v>0</v>
      </c>
      <c r="Z32" s="138">
        <f>IF(D32=-1,$P32,0)</f>
        <v>0</v>
      </c>
      <c r="AA32" s="138">
        <f>IF(E32=1,$P32,0)</f>
        <v>0</v>
      </c>
      <c r="AB32" s="138">
        <f>IF(E32=0,$P32,0)</f>
        <v>0</v>
      </c>
      <c r="AC32" s="138">
        <f>IF(E32=-1,$P32,0)</f>
        <v>2532</v>
      </c>
      <c r="AD32" s="138">
        <f>IF(F32=1,$P32,0)</f>
        <v>2532</v>
      </c>
      <c r="AE32" s="138">
        <f>IF(F32=0,$P32,0)</f>
        <v>0</v>
      </c>
      <c r="AF32" s="138">
        <f>IF(F32=-1,$P32,0)</f>
        <v>0</v>
      </c>
      <c r="AG32" s="138">
        <f>IF(G32=1,$P32,0)</f>
        <v>0</v>
      </c>
      <c r="AH32" s="138">
        <f>IF(G32=0,$P32,0)</f>
        <v>2532</v>
      </c>
      <c r="AI32" s="139">
        <f>IF(G32=-1,$P32,0)</f>
        <v>0</v>
      </c>
      <c r="AJ32" s="31">
        <f>(P32-$P$40)^2</f>
        <v>1327786.7544581634</v>
      </c>
    </row>
    <row r="33" spans="1:36" x14ac:dyDescent="0.25">
      <c r="A33" s="120">
        <v>12</v>
      </c>
      <c r="B33" s="51">
        <v>-1</v>
      </c>
      <c r="C33" s="2">
        <v>1</v>
      </c>
      <c r="D33" s="2">
        <v>-1</v>
      </c>
      <c r="E33" s="2">
        <v>0</v>
      </c>
      <c r="F33" s="2">
        <v>-1</v>
      </c>
      <c r="G33" s="5">
        <v>1</v>
      </c>
      <c r="H33" s="57">
        <v>5921</v>
      </c>
      <c r="I33" s="2">
        <v>5766</v>
      </c>
      <c r="J33" s="58">
        <v>5844</v>
      </c>
      <c r="K33" s="51">
        <v>5691</v>
      </c>
      <c r="L33" s="2">
        <v>5777</v>
      </c>
      <c r="M33" s="5">
        <v>5743</v>
      </c>
      <c r="N33" s="57">
        <f t="shared" si="18"/>
        <v>5790.333333333333</v>
      </c>
      <c r="O33" s="2">
        <f t="shared" si="19"/>
        <v>6566.2666666666655</v>
      </c>
      <c r="P33" s="132">
        <f t="shared" si="20"/>
        <v>5790.333333333333</v>
      </c>
      <c r="Q33" s="136">
        <v>12</v>
      </c>
      <c r="R33" s="137">
        <f>IF(B33=1,$P33,0)</f>
        <v>0</v>
      </c>
      <c r="S33" s="138">
        <f>IF(B33=0,$P33,0)</f>
        <v>0</v>
      </c>
      <c r="T33" s="138">
        <f>IF(B33=-1,$P33,0)</f>
        <v>5790.333333333333</v>
      </c>
      <c r="U33" s="138">
        <f>IF(C33=1,$P33,0)</f>
        <v>5790.333333333333</v>
      </c>
      <c r="V33" s="138">
        <f>IF(C33=0,$P33,0)</f>
        <v>0</v>
      </c>
      <c r="W33" s="138">
        <f>IF(C33=-1,$P33,0)</f>
        <v>0</v>
      </c>
      <c r="X33" s="138">
        <f>IF(D33=1,$P33,0)</f>
        <v>0</v>
      </c>
      <c r="Y33" s="138">
        <f>IF(D33=0,$P33,0)</f>
        <v>0</v>
      </c>
      <c r="Z33" s="138">
        <f>IF(D33=-1,$P33,0)</f>
        <v>5790.333333333333</v>
      </c>
      <c r="AA33" s="138">
        <f>IF(E33=1,$P33,0)</f>
        <v>0</v>
      </c>
      <c r="AB33" s="138">
        <f>IF(E33=0,$P33,0)</f>
        <v>5790.333333333333</v>
      </c>
      <c r="AC33" s="138">
        <f>IF(E33=-1,$P33,0)</f>
        <v>0</v>
      </c>
      <c r="AD33" s="138">
        <f>IF(F33=1,$P33,0)</f>
        <v>0</v>
      </c>
      <c r="AE33" s="138">
        <f>IF(F33=0,$P33,0)</f>
        <v>0</v>
      </c>
      <c r="AF33" s="138">
        <f>IF(F33=-1,$P33,0)</f>
        <v>5790.333333333333</v>
      </c>
      <c r="AG33" s="138">
        <f>IF(G33=1,$P33,0)</f>
        <v>5790.333333333333</v>
      </c>
      <c r="AH33" s="138">
        <f>IF(G33=0,$P33,0)</f>
        <v>0</v>
      </c>
      <c r="AI33" s="139">
        <f>IF(G33=-1,$P33,0)</f>
        <v>0</v>
      </c>
      <c r="AJ33" s="31">
        <f>(P33-$P$40)^2</f>
        <v>4435392.0013717376</v>
      </c>
    </row>
    <row r="34" spans="1:36" x14ac:dyDescent="0.25">
      <c r="A34" s="120">
        <v>13</v>
      </c>
      <c r="B34" s="51">
        <v>0</v>
      </c>
      <c r="C34" s="2">
        <v>-1</v>
      </c>
      <c r="D34" s="2">
        <v>-1</v>
      </c>
      <c r="E34" s="2">
        <v>1</v>
      </c>
      <c r="F34" s="2">
        <v>-1</v>
      </c>
      <c r="G34" s="5">
        <v>0</v>
      </c>
      <c r="H34" s="57">
        <v>2792</v>
      </c>
      <c r="I34" s="2">
        <v>2752</v>
      </c>
      <c r="J34" s="58">
        <v>2716</v>
      </c>
      <c r="K34" s="51">
        <v>2765</v>
      </c>
      <c r="L34" s="2">
        <v>2786</v>
      </c>
      <c r="M34" s="5">
        <v>2773</v>
      </c>
      <c r="N34" s="57">
        <f t="shared" si="18"/>
        <v>2764</v>
      </c>
      <c r="O34" s="2">
        <f t="shared" si="19"/>
        <v>759.6</v>
      </c>
      <c r="P34" s="132">
        <f t="shared" si="20"/>
        <v>2764</v>
      </c>
      <c r="Q34" s="136">
        <v>13</v>
      </c>
      <c r="R34" s="137">
        <f>IF(B34=1,$P34,0)</f>
        <v>0</v>
      </c>
      <c r="S34" s="138">
        <f>IF(B34=0,$P34,0)</f>
        <v>2764</v>
      </c>
      <c r="T34" s="138">
        <f>IF(B34=-1,$P34,0)</f>
        <v>0</v>
      </c>
      <c r="U34" s="138">
        <f>IF(C34=1,$P34,0)</f>
        <v>0</v>
      </c>
      <c r="V34" s="138">
        <f>IF(C34=0,$P34,0)</f>
        <v>0</v>
      </c>
      <c r="W34" s="138">
        <f>IF(C34=-1,$P34,0)</f>
        <v>2764</v>
      </c>
      <c r="X34" s="138">
        <f>IF(D34=1,$P34,0)</f>
        <v>0</v>
      </c>
      <c r="Y34" s="138">
        <f>IF(D34=0,$P34,0)</f>
        <v>0</v>
      </c>
      <c r="Z34" s="138">
        <f>IF(D34=-1,$P34,0)</f>
        <v>2764</v>
      </c>
      <c r="AA34" s="138">
        <f>IF(E34=1,$P34,0)</f>
        <v>2764</v>
      </c>
      <c r="AB34" s="138">
        <f>IF(E34=0,$P34,0)</f>
        <v>0</v>
      </c>
      <c r="AC34" s="138">
        <f>IF(E34=-1,$P34,0)</f>
        <v>0</v>
      </c>
      <c r="AD34" s="138">
        <f>IF(F34=1,$P34,0)</f>
        <v>0</v>
      </c>
      <c r="AE34" s="138">
        <f>IF(F34=0,$P34,0)</f>
        <v>0</v>
      </c>
      <c r="AF34" s="138">
        <f>IF(F34=-1,$P34,0)</f>
        <v>2764</v>
      </c>
      <c r="AG34" s="138">
        <f>IF(G34=1,$P34,0)</f>
        <v>0</v>
      </c>
      <c r="AH34" s="138">
        <f>IF(G34=0,$P34,0)</f>
        <v>2764</v>
      </c>
      <c r="AI34" s="139">
        <f>IF(G34=-1,$P34,0)</f>
        <v>0</v>
      </c>
      <c r="AJ34" s="31">
        <f>(P34-$P$40)^2</f>
        <v>846945.27297668171</v>
      </c>
    </row>
    <row r="35" spans="1:36" x14ac:dyDescent="0.25">
      <c r="A35" s="120">
        <v>14</v>
      </c>
      <c r="B35" s="51">
        <v>0</v>
      </c>
      <c r="C35" s="2">
        <v>0</v>
      </c>
      <c r="D35" s="2">
        <v>0</v>
      </c>
      <c r="E35" s="2">
        <v>-1</v>
      </c>
      <c r="F35" s="2">
        <v>0</v>
      </c>
      <c r="G35" s="5">
        <v>1</v>
      </c>
      <c r="H35" s="57">
        <v>2863</v>
      </c>
      <c r="I35" s="2">
        <v>2835</v>
      </c>
      <c r="J35" s="58">
        <v>2859</v>
      </c>
      <c r="K35" s="51">
        <v>2891</v>
      </c>
      <c r="L35" s="2">
        <v>2844</v>
      </c>
      <c r="M35" s="5">
        <v>2841</v>
      </c>
      <c r="N35" s="57">
        <f t="shared" si="18"/>
        <v>2855.5</v>
      </c>
      <c r="O35" s="2">
        <f t="shared" si="19"/>
        <v>418.3</v>
      </c>
      <c r="P35" s="132">
        <f t="shared" si="20"/>
        <v>2855.5</v>
      </c>
      <c r="Q35" s="136">
        <v>14</v>
      </c>
      <c r="R35" s="137">
        <f>IF(B35=1,$P35,0)</f>
        <v>0</v>
      </c>
      <c r="S35" s="138">
        <f>IF(B35=0,$P35,0)</f>
        <v>2855.5</v>
      </c>
      <c r="T35" s="138">
        <f>IF(B35=-1,$P35,0)</f>
        <v>0</v>
      </c>
      <c r="U35" s="138">
        <f>IF(C35=1,$P35,0)</f>
        <v>0</v>
      </c>
      <c r="V35" s="138">
        <f>IF(C35=0,$P35,0)</f>
        <v>2855.5</v>
      </c>
      <c r="W35" s="138">
        <f>IF(C35=-1,$P35,0)</f>
        <v>0</v>
      </c>
      <c r="X35" s="138">
        <f>IF(D35=1,$P35,0)</f>
        <v>0</v>
      </c>
      <c r="Y35" s="138">
        <f>IF(D35=0,$P35,0)</f>
        <v>2855.5</v>
      </c>
      <c r="Z35" s="138">
        <f>IF(D35=-1,$P35,0)</f>
        <v>0</v>
      </c>
      <c r="AA35" s="138">
        <f>IF(E35=1,$P35,0)</f>
        <v>0</v>
      </c>
      <c r="AB35" s="138">
        <f>IF(E35=0,$P35,0)</f>
        <v>0</v>
      </c>
      <c r="AC35" s="138">
        <f>IF(E35=-1,$P35,0)</f>
        <v>2855.5</v>
      </c>
      <c r="AD35" s="138">
        <f>IF(F35=1,$P35,0)</f>
        <v>0</v>
      </c>
      <c r="AE35" s="138">
        <f>IF(F35=0,$P35,0)</f>
        <v>2855.5</v>
      </c>
      <c r="AF35" s="138">
        <f>IF(F35=-1,$P35,0)</f>
        <v>0</v>
      </c>
      <c r="AG35" s="138">
        <f>IF(G35=1,$P35,0)</f>
        <v>2855.5</v>
      </c>
      <c r="AH35" s="138">
        <f>IF(G35=0,$P35,0)</f>
        <v>0</v>
      </c>
      <c r="AI35" s="139">
        <f>IF(G35=-1,$P35,0)</f>
        <v>0</v>
      </c>
      <c r="AJ35" s="31">
        <f>(P35-$P$40)^2</f>
        <v>686903.30075445934</v>
      </c>
    </row>
    <row r="36" spans="1:36" x14ac:dyDescent="0.25">
      <c r="A36" s="120">
        <v>15</v>
      </c>
      <c r="B36" s="51">
        <v>0</v>
      </c>
      <c r="C36" s="2">
        <v>1</v>
      </c>
      <c r="D36" s="2">
        <v>1</v>
      </c>
      <c r="E36" s="2">
        <v>0</v>
      </c>
      <c r="F36" s="2">
        <v>1</v>
      </c>
      <c r="G36" s="5">
        <v>-1</v>
      </c>
      <c r="H36" s="57">
        <v>3218</v>
      </c>
      <c r="I36" s="2">
        <v>3149</v>
      </c>
      <c r="J36" s="58">
        <v>3124</v>
      </c>
      <c r="K36" s="51">
        <v>3241</v>
      </c>
      <c r="L36" s="2">
        <v>3189</v>
      </c>
      <c r="M36" s="5">
        <v>3197</v>
      </c>
      <c r="N36" s="57">
        <f t="shared" si="18"/>
        <v>3186.3333333333335</v>
      </c>
      <c r="O36" s="2">
        <f t="shared" si="19"/>
        <v>1878.2666666666664</v>
      </c>
      <c r="P36" s="132">
        <f t="shared" si="20"/>
        <v>3186.3333333333335</v>
      </c>
      <c r="Q36" s="136">
        <v>15</v>
      </c>
      <c r="R36" s="137">
        <f>IF(B36=1,$P36,0)</f>
        <v>0</v>
      </c>
      <c r="S36" s="138">
        <f>IF(B36=0,$P36,0)</f>
        <v>3186.3333333333335</v>
      </c>
      <c r="T36" s="138">
        <f>IF(B36=-1,$P36,0)</f>
        <v>0</v>
      </c>
      <c r="U36" s="138">
        <f>IF(C36=1,$P36,0)</f>
        <v>3186.3333333333335</v>
      </c>
      <c r="V36" s="138">
        <f>IF(C36=0,$P36,0)</f>
        <v>0</v>
      </c>
      <c r="W36" s="138">
        <f>IF(C36=-1,$P36,0)</f>
        <v>0</v>
      </c>
      <c r="X36" s="138">
        <f>IF(D36=1,$P36,0)</f>
        <v>3186.3333333333335</v>
      </c>
      <c r="Y36" s="138">
        <f>IF(D36=0,$P36,0)</f>
        <v>0</v>
      </c>
      <c r="Z36" s="138">
        <f>IF(D36=-1,$P36,0)</f>
        <v>0</v>
      </c>
      <c r="AA36" s="138">
        <f>IF(E36=1,$P36,0)</f>
        <v>0</v>
      </c>
      <c r="AB36" s="138">
        <f>IF(E36=0,$P36,0)</f>
        <v>3186.3333333333335</v>
      </c>
      <c r="AC36" s="138">
        <f>IF(E36=-1,$P36,0)</f>
        <v>0</v>
      </c>
      <c r="AD36" s="138">
        <f>IF(F36=1,$P36,0)</f>
        <v>3186.3333333333335</v>
      </c>
      <c r="AE36" s="138">
        <f>IF(F36=0,$P36,0)</f>
        <v>0</v>
      </c>
      <c r="AF36" s="138">
        <f>IF(F36=-1,$P36,0)</f>
        <v>0</v>
      </c>
      <c r="AG36" s="138">
        <f>IF(G36=1,$P36,0)</f>
        <v>0</v>
      </c>
      <c r="AH36" s="138">
        <f>IF(G36=0,$P36,0)</f>
        <v>0</v>
      </c>
      <c r="AI36" s="139">
        <f>IF(G36=-1,$P36,0)</f>
        <v>3186.3333333333335</v>
      </c>
      <c r="AJ36" s="31">
        <f>(P36-$P$40)^2</f>
        <v>247967.11248285376</v>
      </c>
    </row>
    <row r="37" spans="1:36" x14ac:dyDescent="0.25">
      <c r="A37" s="120">
        <v>16</v>
      </c>
      <c r="B37" s="51">
        <v>1</v>
      </c>
      <c r="C37" s="2">
        <v>-1</v>
      </c>
      <c r="D37" s="2">
        <v>0</v>
      </c>
      <c r="E37" s="2">
        <v>0</v>
      </c>
      <c r="F37" s="2">
        <v>1</v>
      </c>
      <c r="G37" s="5">
        <v>0</v>
      </c>
      <c r="H37" s="57">
        <v>3020</v>
      </c>
      <c r="I37" s="2">
        <v>3008</v>
      </c>
      <c r="J37" s="58">
        <v>3016</v>
      </c>
      <c r="K37" s="51">
        <v>3235</v>
      </c>
      <c r="L37" s="2">
        <v>3162</v>
      </c>
      <c r="M37" s="5">
        <v>3140</v>
      </c>
      <c r="N37" s="57">
        <f t="shared" si="18"/>
        <v>3096.8333333333335</v>
      </c>
      <c r="O37" s="2">
        <f t="shared" si="19"/>
        <v>9105.7666666666664</v>
      </c>
      <c r="P37" s="132">
        <f t="shared" si="20"/>
        <v>3096.8333333333335</v>
      </c>
      <c r="Q37" s="136">
        <v>16</v>
      </c>
      <c r="R37" s="137">
        <f>IF(B37=1,$P37,0)</f>
        <v>3096.8333333333335</v>
      </c>
      <c r="S37" s="138">
        <f>IF(B37=0,$P37,0)</f>
        <v>0</v>
      </c>
      <c r="T37" s="138">
        <f>IF(B37=-1,$P37,0)</f>
        <v>0</v>
      </c>
      <c r="U37" s="138">
        <f>IF(C37=1,$P37,0)</f>
        <v>0</v>
      </c>
      <c r="V37" s="138">
        <f>IF(C37=0,$P37,0)</f>
        <v>0</v>
      </c>
      <c r="W37" s="138">
        <f>IF(C37=-1,$P37,0)</f>
        <v>3096.8333333333335</v>
      </c>
      <c r="X37" s="138">
        <f>IF(D37=1,$P37,0)</f>
        <v>0</v>
      </c>
      <c r="Y37" s="138">
        <f>IF(D37=0,$P37,0)</f>
        <v>3096.8333333333335</v>
      </c>
      <c r="Z37" s="138">
        <f>IF(D37=-1,$P37,0)</f>
        <v>0</v>
      </c>
      <c r="AA37" s="138">
        <f>IF(E37=1,$P37,0)</f>
        <v>0</v>
      </c>
      <c r="AB37" s="138">
        <f>IF(E37=0,$P37,0)</f>
        <v>3096.8333333333335</v>
      </c>
      <c r="AC37" s="138">
        <f>IF(E37=-1,$P37,0)</f>
        <v>0</v>
      </c>
      <c r="AD37" s="138">
        <f>IF(F37=1,$P37,0)</f>
        <v>3096.8333333333335</v>
      </c>
      <c r="AE37" s="138">
        <f>IF(F37=0,$P37,0)</f>
        <v>0</v>
      </c>
      <c r="AF37" s="138">
        <f>IF(F37=-1,$P37,0)</f>
        <v>0</v>
      </c>
      <c r="AG37" s="138">
        <f>IF(G37=1,$P37,0)</f>
        <v>0</v>
      </c>
      <c r="AH37" s="138">
        <f>IF(G37=0,$P37,0)</f>
        <v>3096.8333333333335</v>
      </c>
      <c r="AI37" s="139">
        <f>IF(G37=-1,$P37,0)</f>
        <v>0</v>
      </c>
      <c r="AJ37" s="31">
        <f>(P37-$P$40)^2</f>
        <v>345112.73285322421</v>
      </c>
    </row>
    <row r="38" spans="1:36" x14ac:dyDescent="0.25">
      <c r="A38" s="120">
        <v>17</v>
      </c>
      <c r="B38" s="51">
        <v>1</v>
      </c>
      <c r="C38" s="2">
        <v>0</v>
      </c>
      <c r="D38" s="2">
        <v>1</v>
      </c>
      <c r="E38" s="2">
        <v>1</v>
      </c>
      <c r="F38" s="2">
        <v>-1</v>
      </c>
      <c r="G38" s="5">
        <v>1</v>
      </c>
      <c r="H38" s="57">
        <v>4277</v>
      </c>
      <c r="I38" s="2">
        <v>4150</v>
      </c>
      <c r="J38" s="58">
        <v>3992</v>
      </c>
      <c r="K38" s="51">
        <v>4593</v>
      </c>
      <c r="L38" s="2">
        <v>4298</v>
      </c>
      <c r="M38" s="5">
        <v>4219</v>
      </c>
      <c r="N38" s="57">
        <f t="shared" si="18"/>
        <v>4254.833333333333</v>
      </c>
      <c r="O38" s="2">
        <f t="shared" si="19"/>
        <v>39613.366666666661</v>
      </c>
      <c r="P38" s="132">
        <f t="shared" si="20"/>
        <v>4254.833333333333</v>
      </c>
      <c r="Q38" s="136">
        <v>17</v>
      </c>
      <c r="R38" s="137">
        <f>IF(B38=1,$P38,0)</f>
        <v>4254.833333333333</v>
      </c>
      <c r="S38" s="138">
        <f>IF(B38=0,$P38,0)</f>
        <v>0</v>
      </c>
      <c r="T38" s="138">
        <f>IF(B38=-1,$P38,0)</f>
        <v>0</v>
      </c>
      <c r="U38" s="138">
        <f>IF(C38=1,$P38,0)</f>
        <v>0</v>
      </c>
      <c r="V38" s="138">
        <f>IF(C38=0,$P38,0)</f>
        <v>4254.833333333333</v>
      </c>
      <c r="W38" s="138">
        <f>IF(C38=-1,$P38,0)</f>
        <v>0</v>
      </c>
      <c r="X38" s="138">
        <f>IF(D38=1,$P38,0)</f>
        <v>4254.833333333333</v>
      </c>
      <c r="Y38" s="138">
        <f>IF(D38=0,$P38,0)</f>
        <v>0</v>
      </c>
      <c r="Z38" s="138">
        <f>IF(D38=-1,$P38,0)</f>
        <v>0</v>
      </c>
      <c r="AA38" s="138">
        <f>IF(E38=1,$P38,0)</f>
        <v>4254.833333333333</v>
      </c>
      <c r="AB38" s="138">
        <f>IF(E38=0,$P38,0)</f>
        <v>0</v>
      </c>
      <c r="AC38" s="138">
        <f>IF(E38=-1,$P38,0)</f>
        <v>0</v>
      </c>
      <c r="AD38" s="138">
        <f>IF(F38=1,$P38,0)</f>
        <v>0</v>
      </c>
      <c r="AE38" s="138">
        <f>IF(F38=0,$P38,0)</f>
        <v>0</v>
      </c>
      <c r="AF38" s="138">
        <f>IF(F38=-1,$P38,0)</f>
        <v>4254.833333333333</v>
      </c>
      <c r="AG38" s="138">
        <f>IF(G38=1,$P38,0)</f>
        <v>4254.833333333333</v>
      </c>
      <c r="AH38" s="138">
        <f>IF(G38=0,$P38,0)</f>
        <v>0</v>
      </c>
      <c r="AI38" s="139">
        <f>IF(G38=-1,$P38,0)</f>
        <v>0</v>
      </c>
      <c r="AJ38" s="31">
        <f>(P38-$P$40)^2</f>
        <v>325512.51063100022</v>
      </c>
    </row>
    <row r="39" spans="1:36" ht="16.5" thickBot="1" x14ac:dyDescent="0.3">
      <c r="A39" s="121">
        <v>18</v>
      </c>
      <c r="B39" s="118">
        <v>1</v>
      </c>
      <c r="C39" s="3">
        <v>1</v>
      </c>
      <c r="D39" s="3">
        <v>-1</v>
      </c>
      <c r="E39" s="3">
        <v>-1</v>
      </c>
      <c r="F39" s="3">
        <v>0</v>
      </c>
      <c r="G39" s="6">
        <v>-1</v>
      </c>
      <c r="H39" s="59">
        <v>3125</v>
      </c>
      <c r="I39" s="3">
        <v>3119</v>
      </c>
      <c r="J39" s="60">
        <v>3127</v>
      </c>
      <c r="K39" s="118">
        <v>4120</v>
      </c>
      <c r="L39" s="3">
        <v>4088</v>
      </c>
      <c r="M39" s="6">
        <v>4138</v>
      </c>
      <c r="N39" s="59">
        <f t="shared" si="18"/>
        <v>3619.5</v>
      </c>
      <c r="O39" s="3">
        <f t="shared" si="19"/>
        <v>295284.3</v>
      </c>
      <c r="P39" s="132">
        <f t="shared" si="20"/>
        <v>3619.5</v>
      </c>
      <c r="Q39" s="140">
        <v>18</v>
      </c>
      <c r="R39" s="141">
        <f>IF(B39=1,$P39,0)</f>
        <v>3619.5</v>
      </c>
      <c r="S39" s="142">
        <f>IF(B39=0,$P39,0)</f>
        <v>0</v>
      </c>
      <c r="T39" s="142">
        <f>IF(B39=-1,$P39,0)</f>
        <v>0</v>
      </c>
      <c r="U39" s="142">
        <f>IF(C39=1,$P39,0)</f>
        <v>3619.5</v>
      </c>
      <c r="V39" s="142">
        <f>IF(C39=0,$P39,0)</f>
        <v>0</v>
      </c>
      <c r="W39" s="142">
        <f>IF(C39=-1,$P39,0)</f>
        <v>0</v>
      </c>
      <c r="X39" s="142">
        <f>IF(D39=1,$P39,0)</f>
        <v>0</v>
      </c>
      <c r="Y39" s="142">
        <f>IF(D39=0,$P39,0)</f>
        <v>0</v>
      </c>
      <c r="Z39" s="142">
        <f>IF(D39=-1,$P39,0)</f>
        <v>3619.5</v>
      </c>
      <c r="AA39" s="142">
        <f>IF(E39=1,$P39,0)</f>
        <v>0</v>
      </c>
      <c r="AB39" s="142">
        <f>IF(E39=0,$P39,0)</f>
        <v>0</v>
      </c>
      <c r="AC39" s="142">
        <f>IF(E39=-1,$P39,0)</f>
        <v>3619.5</v>
      </c>
      <c r="AD39" s="142">
        <f>IF(F39=1,$P39,0)</f>
        <v>0</v>
      </c>
      <c r="AE39" s="142">
        <f>IF(F39=0,$P39,0)</f>
        <v>3619.5</v>
      </c>
      <c r="AF39" s="142">
        <f>IF(F39=-1,$P39,0)</f>
        <v>0</v>
      </c>
      <c r="AG39" s="142">
        <f>IF(G39=1,$P39,0)</f>
        <v>0</v>
      </c>
      <c r="AH39" s="142">
        <f>IF(G39=0,$P39,0)</f>
        <v>0</v>
      </c>
      <c r="AI39" s="143">
        <f>IF(G39=-1,$P39,0)</f>
        <v>3619.5</v>
      </c>
      <c r="AJ39" s="31">
        <f>(P39-$P$40)^2</f>
        <v>4198.5600137175106</v>
      </c>
    </row>
    <row r="40" spans="1:36" ht="16.5" thickBot="1" x14ac:dyDescent="0.3">
      <c r="M40" s="31" t="s">
        <v>231</v>
      </c>
      <c r="P40" s="31">
        <f>AVERAGE(P22:P39)</f>
        <v>3684.296296296297</v>
      </c>
      <c r="Q40" s="144" t="s">
        <v>262</v>
      </c>
      <c r="R40" s="145">
        <f>SUM(R22:R39)/6</f>
        <v>3830.4722222222222</v>
      </c>
      <c r="S40" s="146">
        <f t="shared" ref="S40:AI40" si="21">SUM(S22:S39)/6</f>
        <v>3072.1944444444448</v>
      </c>
      <c r="T40" s="146">
        <f t="shared" si="21"/>
        <v>4150.2222222222217</v>
      </c>
      <c r="U40" s="146">
        <f t="shared" si="21"/>
        <v>4240.3055555555557</v>
      </c>
      <c r="V40" s="146">
        <f t="shared" si="21"/>
        <v>4027.7499999999995</v>
      </c>
      <c r="W40" s="146">
        <f t="shared" si="21"/>
        <v>2784.8333333333335</v>
      </c>
      <c r="X40" s="146">
        <f t="shared" si="21"/>
        <v>3005</v>
      </c>
      <c r="Y40" s="146">
        <f t="shared" si="21"/>
        <v>3818.1666666666661</v>
      </c>
      <c r="Z40" s="146">
        <f t="shared" si="21"/>
        <v>4229.7222222222217</v>
      </c>
      <c r="AA40" s="146">
        <f t="shared" si="21"/>
        <v>4155.5555555555557</v>
      </c>
      <c r="AB40" s="146">
        <f t="shared" si="21"/>
        <v>4021.4166666666661</v>
      </c>
      <c r="AC40" s="146">
        <f t="shared" si="21"/>
        <v>2875.9166666666665</v>
      </c>
      <c r="AD40" s="146">
        <f t="shared" si="21"/>
        <v>3786.8888888888882</v>
      </c>
      <c r="AE40" s="146">
        <f t="shared" si="21"/>
        <v>3536.4444444444439</v>
      </c>
      <c r="AF40" s="146">
        <f t="shared" si="21"/>
        <v>3729.5555555555552</v>
      </c>
      <c r="AG40" s="146">
        <f t="shared" si="21"/>
        <v>4056.2777777777774</v>
      </c>
      <c r="AH40" s="146">
        <f t="shared" si="21"/>
        <v>3422.8055555555552</v>
      </c>
      <c r="AI40" s="147">
        <f t="shared" si="21"/>
        <v>3573.8055555555552</v>
      </c>
    </row>
    <row r="41" spans="1:36" ht="16.5" thickBot="1" x14ac:dyDescent="0.3"/>
    <row r="42" spans="1:36" x14ac:dyDescent="0.25">
      <c r="A42" s="32"/>
      <c r="B42" s="10">
        <v>1</v>
      </c>
      <c r="C42" s="10">
        <v>0</v>
      </c>
      <c r="D42" s="10">
        <v>-1</v>
      </c>
      <c r="E42" s="11" t="s">
        <v>231</v>
      </c>
    </row>
    <row r="43" spans="1:36" x14ac:dyDescent="0.25">
      <c r="A43" s="33" t="s">
        <v>207</v>
      </c>
      <c r="B43" s="12">
        <f>R40</f>
        <v>3830.4722222222222</v>
      </c>
      <c r="C43" s="12">
        <f>S40</f>
        <v>3072.1944444444448</v>
      </c>
      <c r="D43" s="12">
        <f>T40</f>
        <v>4150.2222222222217</v>
      </c>
      <c r="E43" s="13">
        <f>AVERAGE(B43:D43)</f>
        <v>3684.2962962962961</v>
      </c>
      <c r="G43" s="31">
        <f>(B43-$E$43)^2</f>
        <v>21367.401320301833</v>
      </c>
      <c r="H43" s="31">
        <f t="shared" ref="H43:I43" si="22">(C43-$E$43)^2</f>
        <v>374668.6770404657</v>
      </c>
      <c r="I43" s="31">
        <f t="shared" si="22"/>
        <v>217086.96844993116</v>
      </c>
    </row>
    <row r="44" spans="1:36" x14ac:dyDescent="0.25">
      <c r="A44" s="33" t="s">
        <v>208</v>
      </c>
      <c r="B44" s="12">
        <f>U40</f>
        <v>4240.3055555555557</v>
      </c>
      <c r="C44" s="12">
        <f>V40</f>
        <v>4027.7499999999995</v>
      </c>
      <c r="D44" s="12">
        <f>W40</f>
        <v>2784.8333333333335</v>
      </c>
      <c r="E44" s="13">
        <f t="shared" ref="E44:E48" si="23">AVERAGE(B44:D44)</f>
        <v>3684.2962962962961</v>
      </c>
      <c r="G44" s="31">
        <f t="shared" ref="G44:G48" si="24">(B44-$E$43)^2</f>
        <v>309146.29638203053</v>
      </c>
      <c r="H44" s="31">
        <f t="shared" ref="H44:H48" si="25">(C44-$E$43)^2</f>
        <v>117960.44658779133</v>
      </c>
      <c r="I44" s="31">
        <f t="shared" ref="I44:I48" si="26">(D44-$E$43)^2</f>
        <v>809033.62174211186</v>
      </c>
    </row>
    <row r="45" spans="1:36" x14ac:dyDescent="0.25">
      <c r="A45" s="33" t="s">
        <v>209</v>
      </c>
      <c r="B45" s="12">
        <f>X40</f>
        <v>3005</v>
      </c>
      <c r="C45" s="12">
        <f>Y40</f>
        <v>3818.1666666666661</v>
      </c>
      <c r="D45" s="12">
        <f>Z40</f>
        <v>4229.7222222222217</v>
      </c>
      <c r="E45" s="13">
        <f t="shared" si="23"/>
        <v>3684.2962962962956</v>
      </c>
      <c r="G45" s="31">
        <f t="shared" si="24"/>
        <v>461443.45816186524</v>
      </c>
      <c r="H45" s="31">
        <f t="shared" si="25"/>
        <v>17921.276063100035</v>
      </c>
      <c r="I45" s="31">
        <f t="shared" si="26"/>
        <v>297489.44067215332</v>
      </c>
    </row>
    <row r="46" spans="1:36" x14ac:dyDescent="0.25">
      <c r="A46" s="33" t="s">
        <v>210</v>
      </c>
      <c r="B46" s="12">
        <f>AA40</f>
        <v>4155.5555555555557</v>
      </c>
      <c r="C46" s="12">
        <f>AB40</f>
        <v>4021.4166666666661</v>
      </c>
      <c r="D46" s="12">
        <f>AC40</f>
        <v>2875.9166666666665</v>
      </c>
      <c r="E46" s="13">
        <f t="shared" si="23"/>
        <v>3684.2962962962961</v>
      </c>
      <c r="G46" s="31">
        <f t="shared" si="24"/>
        <v>222085.28943758603</v>
      </c>
      <c r="H46" s="31">
        <f t="shared" si="25"/>
        <v>113650.14411865543</v>
      </c>
      <c r="I46" s="31">
        <f t="shared" si="26"/>
        <v>653477.62560013705</v>
      </c>
    </row>
    <row r="47" spans="1:36" x14ac:dyDescent="0.25">
      <c r="A47" s="33" t="s">
        <v>211</v>
      </c>
      <c r="B47" s="12">
        <f>AD40</f>
        <v>3786.8888888888882</v>
      </c>
      <c r="C47" s="12">
        <f>AE40</f>
        <v>3536.4444444444439</v>
      </c>
      <c r="D47" s="12">
        <f>AF40</f>
        <v>3729.5555555555552</v>
      </c>
      <c r="E47" s="13">
        <f t="shared" si="23"/>
        <v>3684.2962962962956</v>
      </c>
      <c r="G47" s="31">
        <f t="shared" si="24"/>
        <v>10525.240054869595</v>
      </c>
      <c r="H47" s="31">
        <f>(C47-$E$43)^2</f>
        <v>21860.170096022048</v>
      </c>
      <c r="I47" s="31">
        <f t="shared" si="26"/>
        <v>2048.4005486968326</v>
      </c>
    </row>
    <row r="48" spans="1:36" ht="16.5" thickBot="1" x14ac:dyDescent="0.3">
      <c r="A48" s="34" t="s">
        <v>212</v>
      </c>
      <c r="B48" s="18">
        <f>AG40</f>
        <v>4056.2777777777774</v>
      </c>
      <c r="C48" s="18">
        <f>AH40</f>
        <v>3422.8055555555552</v>
      </c>
      <c r="D48" s="18">
        <f>AI40</f>
        <v>3573.8055555555552</v>
      </c>
      <c r="E48" s="35">
        <f t="shared" si="23"/>
        <v>3684.2962962962956</v>
      </c>
      <c r="G48" s="31">
        <f t="shared" si="24"/>
        <v>138370.2225651576</v>
      </c>
      <c r="H48" s="31">
        <f t="shared" si="25"/>
        <v>68377.407493141363</v>
      </c>
      <c r="I48" s="31">
        <f t="shared" si="26"/>
        <v>12208.203789437615</v>
      </c>
    </row>
    <row r="49" spans="1:8" ht="16.5" thickBot="1" x14ac:dyDescent="0.3"/>
    <row r="50" spans="1:8" x14ac:dyDescent="0.25">
      <c r="A50" s="99" t="s">
        <v>232</v>
      </c>
      <c r="B50" s="100"/>
      <c r="C50" s="100" t="s">
        <v>235</v>
      </c>
      <c r="D50" s="100" t="s">
        <v>236</v>
      </c>
      <c r="E50" s="100" t="s">
        <v>237</v>
      </c>
      <c r="F50" s="100" t="s">
        <v>238</v>
      </c>
      <c r="G50" s="100" t="s">
        <v>240</v>
      </c>
      <c r="H50" s="101" t="s">
        <v>267</v>
      </c>
    </row>
    <row r="51" spans="1:8" x14ac:dyDescent="0.25">
      <c r="A51" s="57" t="s">
        <v>233</v>
      </c>
      <c r="B51" s="2" t="s">
        <v>207</v>
      </c>
      <c r="C51" s="2">
        <f>((B43-E43)^2+(C43-E43)^2+(D43-E43)^2)*6</f>
        <v>3678738.2808641922</v>
      </c>
      <c r="D51" s="2">
        <v>2</v>
      </c>
      <c r="E51" s="2">
        <f>C51/D51</f>
        <v>1839369.1404320961</v>
      </c>
      <c r="F51" s="2">
        <f>E51/$E$57</f>
        <v>13.238606950171336</v>
      </c>
      <c r="G51" s="2">
        <f>_xlfn.F.INV(0.9,D51,$D$57)</f>
        <v>3.779716078773951</v>
      </c>
      <c r="H51" s="58" t="str">
        <f>IF(F51&gt;G51,"significant","NaN")</f>
        <v>significant</v>
      </c>
    </row>
    <row r="52" spans="1:8" x14ac:dyDescent="0.25">
      <c r="A52" s="57"/>
      <c r="B52" s="2" t="s">
        <v>208</v>
      </c>
      <c r="C52" s="2">
        <f>((B44-E44)^2+(C44-E44)^2+(D44-E44)^2)*6</f>
        <v>7416842.1882716026</v>
      </c>
      <c r="D52" s="2">
        <v>2</v>
      </c>
      <c r="E52" s="2">
        <f t="shared" ref="E52:E57" si="27">C52/D52</f>
        <v>3708421.0941358013</v>
      </c>
      <c r="F52" s="2">
        <f t="shared" ref="F52:F56" si="28">E52/$E$57</f>
        <v>26.690851875146279</v>
      </c>
      <c r="G52" s="2">
        <f t="shared" ref="G52:G56" si="29">_xlfn.F.INV(0.9,D52,$D$57)</f>
        <v>3.779716078773951</v>
      </c>
      <c r="H52" s="58" t="str">
        <f t="shared" ref="H52:H56" si="30">IF(F52&gt;G52,"significant","NaN")</f>
        <v>significant</v>
      </c>
    </row>
    <row r="53" spans="1:8" x14ac:dyDescent="0.25">
      <c r="A53" s="57"/>
      <c r="B53" s="2" t="s">
        <v>209</v>
      </c>
      <c r="C53" s="2">
        <f>((B45-E45)^2+(C45-E45)^2+(D45-E45)^2)*6</f>
        <v>4661125.0493827127</v>
      </c>
      <c r="D53" s="2">
        <v>2</v>
      </c>
      <c r="E53" s="2">
        <f t="shared" si="27"/>
        <v>2330562.5246913563</v>
      </c>
      <c r="F53" s="2">
        <f t="shared" si="28"/>
        <v>16.773903921178057</v>
      </c>
      <c r="G53" s="2">
        <f t="shared" si="29"/>
        <v>3.779716078773951</v>
      </c>
      <c r="H53" s="58" t="str">
        <f t="shared" si="30"/>
        <v>significant</v>
      </c>
    </row>
    <row r="54" spans="1:8" x14ac:dyDescent="0.25">
      <c r="A54" s="57"/>
      <c r="B54" s="2" t="s">
        <v>210</v>
      </c>
      <c r="C54" s="2">
        <f t="shared" ref="C53:C56" si="31">((B46-E46)^2+(C46-E46)^2+(D46-E46)^2)*6</f>
        <v>5935278.3549382705</v>
      </c>
      <c r="D54" s="2">
        <v>2</v>
      </c>
      <c r="E54" s="2">
        <f t="shared" si="27"/>
        <v>2967639.1774691353</v>
      </c>
      <c r="F54" s="2">
        <f t="shared" si="28"/>
        <v>21.359175696083728</v>
      </c>
      <c r="G54" s="2">
        <f t="shared" si="29"/>
        <v>3.779716078773951</v>
      </c>
      <c r="H54" s="58" t="str">
        <f t="shared" si="30"/>
        <v>significant</v>
      </c>
    </row>
    <row r="55" spans="1:8" x14ac:dyDescent="0.25">
      <c r="A55" s="57"/>
      <c r="B55" s="2" t="s">
        <v>211</v>
      </c>
      <c r="C55" s="2">
        <f t="shared" si="31"/>
        <v>206602.86419753084</v>
      </c>
      <c r="D55" s="2">
        <v>2</v>
      </c>
      <c r="E55" s="2">
        <f t="shared" si="27"/>
        <v>103301.43209876542</v>
      </c>
      <c r="F55" s="2">
        <f t="shared" si="28"/>
        <v>0.74349788027002883</v>
      </c>
      <c r="G55" s="2">
        <f t="shared" si="29"/>
        <v>3.779716078773951</v>
      </c>
      <c r="H55" s="58" t="str">
        <f t="shared" si="30"/>
        <v>NaN</v>
      </c>
    </row>
    <row r="56" spans="1:8" x14ac:dyDescent="0.25">
      <c r="A56" s="57"/>
      <c r="B56" s="2" t="s">
        <v>212</v>
      </c>
      <c r="C56" s="2">
        <f t="shared" si="31"/>
        <v>1313735.0030864193</v>
      </c>
      <c r="D56" s="2">
        <v>2</v>
      </c>
      <c r="E56" s="2">
        <f t="shared" si="27"/>
        <v>656867.50154320966</v>
      </c>
      <c r="F56" s="2">
        <f t="shared" si="28"/>
        <v>4.7277136927657653</v>
      </c>
      <c r="G56" s="2">
        <f t="shared" si="29"/>
        <v>3.779716078773951</v>
      </c>
      <c r="H56" s="58" t="str">
        <f t="shared" si="30"/>
        <v>significant</v>
      </c>
    </row>
    <row r="57" spans="1:8" x14ac:dyDescent="0.25">
      <c r="A57" s="57"/>
      <c r="B57" s="2" t="s">
        <v>239</v>
      </c>
      <c r="C57" s="2">
        <f>C58-SUM(C51:C56)</f>
        <v>694698.90123457834</v>
      </c>
      <c r="D57" s="2">
        <v>5</v>
      </c>
      <c r="E57" s="2">
        <f t="shared" si="27"/>
        <v>138939.78024691567</v>
      </c>
      <c r="F57" s="2"/>
      <c r="G57" s="2"/>
      <c r="H57" s="58"/>
    </row>
    <row r="58" spans="1:8" ht="16.5" thickBot="1" x14ac:dyDescent="0.3">
      <c r="A58" s="59"/>
      <c r="B58" s="3" t="s">
        <v>234</v>
      </c>
      <c r="C58" s="3">
        <f>B60</f>
        <v>23907020.641975302</v>
      </c>
      <c r="D58" s="3">
        <v>17</v>
      </c>
      <c r="E58" s="3"/>
      <c r="F58" s="3"/>
      <c r="G58" s="3"/>
      <c r="H58" s="60"/>
    </row>
    <row r="60" spans="1:8" x14ac:dyDescent="0.25">
      <c r="A60" s="31" t="s">
        <v>235</v>
      </c>
      <c r="B60" s="31">
        <f>SUM(AJ22:AJ39)</f>
        <v>23907020.641975302</v>
      </c>
    </row>
  </sheetData>
  <mergeCells count="4">
    <mergeCell ref="W1:Y1"/>
    <mergeCell ref="Z1:AB1"/>
    <mergeCell ref="H21:J21"/>
    <mergeCell ref="K21:M21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"/>
    </sheetView>
  </sheetViews>
  <sheetFormatPr defaultRowHeight="16.5" x14ac:dyDescent="0.25"/>
  <sheetData>
    <row r="1" spans="1:7" x14ac:dyDescent="0.25">
      <c r="A1" s="23"/>
      <c r="B1" s="23" t="s">
        <v>255</v>
      </c>
      <c r="C1" s="23" t="s">
        <v>256</v>
      </c>
      <c r="D1" s="23" t="s">
        <v>257</v>
      </c>
      <c r="E1" s="23" t="s">
        <v>258</v>
      </c>
      <c r="F1" s="23" t="s">
        <v>259</v>
      </c>
      <c r="G1" s="23" t="s">
        <v>260</v>
      </c>
    </row>
    <row r="2" spans="1:7" x14ac:dyDescent="0.25">
      <c r="A2" s="21" t="s">
        <v>255</v>
      </c>
      <c r="B2" s="21">
        <v>1</v>
      </c>
      <c r="C2" s="21"/>
      <c r="D2" s="21"/>
      <c r="E2" s="21"/>
      <c r="F2" s="21"/>
      <c r="G2" s="21"/>
    </row>
    <row r="3" spans="1:7" x14ac:dyDescent="0.25">
      <c r="A3" s="21" t="s">
        <v>256</v>
      </c>
      <c r="B3" s="21">
        <v>-8.1679710958951879E-2</v>
      </c>
      <c r="C3" s="21">
        <v>1</v>
      </c>
      <c r="D3" s="21"/>
      <c r="E3" s="21"/>
      <c r="F3" s="21"/>
      <c r="G3" s="21"/>
    </row>
    <row r="4" spans="1:7" x14ac:dyDescent="0.25">
      <c r="A4" s="21" t="s">
        <v>257</v>
      </c>
      <c r="B4" s="21">
        <v>-9.3475215738545295E-2</v>
      </c>
      <c r="C4" s="21">
        <v>-4.2761632711979962E-2</v>
      </c>
      <c r="D4" s="21">
        <v>1</v>
      </c>
      <c r="E4" s="21"/>
      <c r="F4" s="21"/>
      <c r="G4" s="21"/>
    </row>
    <row r="5" spans="1:7" x14ac:dyDescent="0.25">
      <c r="A5" s="21" t="s">
        <v>258</v>
      </c>
      <c r="B5" s="21">
        <v>-6.3908075574066595E-2</v>
      </c>
      <c r="C5" s="21">
        <v>-7.1236621037716247E-2</v>
      </c>
      <c r="D5" s="21">
        <v>-1.0304396864217929E-3</v>
      </c>
      <c r="E5" s="21">
        <v>1</v>
      </c>
      <c r="F5" s="21"/>
      <c r="G5" s="21"/>
    </row>
    <row r="6" spans="1:7" x14ac:dyDescent="0.25">
      <c r="A6" s="21" t="s">
        <v>259</v>
      </c>
      <c r="B6" s="21">
        <v>-3.7142757323399313E-2</v>
      </c>
      <c r="C6" s="21">
        <v>-4.5322351866769993E-2</v>
      </c>
      <c r="D6" s="21">
        <v>-0.15261401137810307</v>
      </c>
      <c r="E6" s="21">
        <v>0.11263169034751809</v>
      </c>
      <c r="F6" s="21">
        <v>1</v>
      </c>
      <c r="G6" s="21"/>
    </row>
    <row r="7" spans="1:7" ht="17.25" thickBot="1" x14ac:dyDescent="0.3">
      <c r="A7" s="22" t="s">
        <v>260</v>
      </c>
      <c r="B7" s="22">
        <v>-7.3009319548603208E-2</v>
      </c>
      <c r="C7" s="22">
        <v>9.128669289976199E-2</v>
      </c>
      <c r="D7" s="22">
        <v>-3.2855396067097253E-2</v>
      </c>
      <c r="E7" s="22">
        <v>-9.7323583104960462E-2</v>
      </c>
      <c r="F7" s="22">
        <v>-5.1541364715145629E-2</v>
      </c>
      <c r="G7" s="22">
        <v>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18" sqref="I18"/>
    </sheetView>
  </sheetViews>
  <sheetFormatPr defaultRowHeight="16.5" x14ac:dyDescent="0.25"/>
  <sheetData>
    <row r="1" spans="1:13" x14ac:dyDescent="0.25">
      <c r="A1" s="23"/>
      <c r="B1" s="23" t="s">
        <v>255</v>
      </c>
      <c r="C1" s="23" t="s">
        <v>256</v>
      </c>
      <c r="D1" s="23" t="s">
        <v>257</v>
      </c>
      <c r="E1" s="23" t="s">
        <v>258</v>
      </c>
      <c r="F1" s="23" t="s">
        <v>259</v>
      </c>
      <c r="G1" s="23" t="s">
        <v>260</v>
      </c>
      <c r="H1" s="23" t="s">
        <v>263</v>
      </c>
      <c r="I1" s="23" t="s">
        <v>265</v>
      </c>
      <c r="J1" s="23" t="s">
        <v>268</v>
      </c>
      <c r="K1" s="23" t="s">
        <v>270</v>
      </c>
      <c r="L1" s="23" t="s">
        <v>272</v>
      </c>
      <c r="M1" s="23" t="s">
        <v>274</v>
      </c>
    </row>
    <row r="2" spans="1:13" x14ac:dyDescent="0.25">
      <c r="A2" s="21" t="s">
        <v>255</v>
      </c>
      <c r="B2" s="21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25">
      <c r="A3" s="21" t="s">
        <v>256</v>
      </c>
      <c r="B3" s="21">
        <v>-8.1679710958951879E-2</v>
      </c>
      <c r="C3" s="21">
        <v>1</v>
      </c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x14ac:dyDescent="0.25">
      <c r="A4" s="21" t="s">
        <v>257</v>
      </c>
      <c r="B4" s="21">
        <v>-9.3475215738545295E-2</v>
      </c>
      <c r="C4" s="21">
        <v>-4.2761632711979962E-2</v>
      </c>
      <c r="D4" s="21">
        <v>1</v>
      </c>
      <c r="E4" s="21"/>
      <c r="F4" s="21"/>
      <c r="G4" s="21"/>
      <c r="H4" s="21"/>
      <c r="I4" s="21"/>
      <c r="J4" s="21"/>
      <c r="K4" s="21"/>
      <c r="L4" s="21"/>
      <c r="M4" s="21"/>
    </row>
    <row r="5" spans="1:13" x14ac:dyDescent="0.25">
      <c r="A5" s="21" t="s">
        <v>258</v>
      </c>
      <c r="B5" s="21">
        <v>-6.3908075574066595E-2</v>
      </c>
      <c r="C5" s="21">
        <v>-7.1236621037716247E-2</v>
      </c>
      <c r="D5" s="21">
        <v>-1.0304396864217929E-3</v>
      </c>
      <c r="E5" s="21">
        <v>1</v>
      </c>
      <c r="F5" s="21"/>
      <c r="G5" s="21"/>
      <c r="H5" s="21"/>
      <c r="I5" s="21"/>
      <c r="J5" s="21"/>
      <c r="K5" s="21"/>
      <c r="L5" s="21"/>
      <c r="M5" s="21"/>
    </row>
    <row r="6" spans="1:13" x14ac:dyDescent="0.25">
      <c r="A6" s="21" t="s">
        <v>259</v>
      </c>
      <c r="B6" s="21">
        <v>-3.7142757323399313E-2</v>
      </c>
      <c r="C6" s="21">
        <v>-4.5322351866769993E-2</v>
      </c>
      <c r="D6" s="21">
        <v>-0.15261401137810307</v>
      </c>
      <c r="E6" s="21">
        <v>0.11263169034751809</v>
      </c>
      <c r="F6" s="21">
        <v>1</v>
      </c>
      <c r="G6" s="21"/>
      <c r="H6" s="21"/>
      <c r="I6" s="21"/>
      <c r="J6" s="21"/>
      <c r="K6" s="21"/>
      <c r="L6" s="21"/>
      <c r="M6" s="21"/>
    </row>
    <row r="7" spans="1:13" x14ac:dyDescent="0.25">
      <c r="A7" s="21" t="s">
        <v>260</v>
      </c>
      <c r="B7" s="21">
        <v>-7.3009319548603208E-2</v>
      </c>
      <c r="C7" s="21">
        <v>9.128669289976199E-2</v>
      </c>
      <c r="D7" s="21">
        <v>-3.2855396067097253E-2</v>
      </c>
      <c r="E7" s="21">
        <v>-9.7323583104960462E-2</v>
      </c>
      <c r="F7" s="21">
        <v>-5.1541364715145629E-2</v>
      </c>
      <c r="G7" s="21">
        <v>1</v>
      </c>
      <c r="H7" s="21"/>
      <c r="I7" s="21"/>
      <c r="J7" s="21"/>
      <c r="K7" s="21"/>
      <c r="L7" s="21"/>
      <c r="M7" s="21"/>
    </row>
    <row r="8" spans="1:13" x14ac:dyDescent="0.25">
      <c r="A8" s="21" t="s">
        <v>263</v>
      </c>
      <c r="B8" s="150">
        <v>0.99362949110119714</v>
      </c>
      <c r="C8" s="21">
        <v>-8.5256032771462473E-2</v>
      </c>
      <c r="D8" s="21">
        <v>-9.8532984132660692E-2</v>
      </c>
      <c r="E8" s="21">
        <v>-6.0579726992712378E-2</v>
      </c>
      <c r="F8" s="21">
        <v>-1.7859821227965905E-2</v>
      </c>
      <c r="G8" s="21">
        <v>-5.8506648589527699E-2</v>
      </c>
      <c r="H8" s="21">
        <v>1</v>
      </c>
      <c r="I8" s="21"/>
      <c r="J8" s="21"/>
      <c r="K8" s="21"/>
      <c r="L8" s="21"/>
      <c r="M8" s="21"/>
    </row>
    <row r="9" spans="1:13" x14ac:dyDescent="0.25">
      <c r="A9" s="21" t="s">
        <v>265</v>
      </c>
      <c r="B9" s="21">
        <v>-0.13844462964714699</v>
      </c>
      <c r="C9" s="150">
        <v>0.96546055124052488</v>
      </c>
      <c r="D9" s="21">
        <v>-6.3421845356143813E-2</v>
      </c>
      <c r="E9" s="21">
        <v>-9.8163692044656678E-2</v>
      </c>
      <c r="F9" s="21">
        <v>-7.4633528282208594E-2</v>
      </c>
      <c r="G9" s="21">
        <v>7.5450638947406584E-2</v>
      </c>
      <c r="H9" s="21">
        <v>-0.14433735374032441</v>
      </c>
      <c r="I9" s="21">
        <v>1</v>
      </c>
      <c r="J9" s="21"/>
      <c r="K9" s="21"/>
      <c r="L9" s="21"/>
      <c r="M9" s="21"/>
    </row>
    <row r="10" spans="1:13" x14ac:dyDescent="0.25">
      <c r="A10" s="21" t="s">
        <v>268</v>
      </c>
      <c r="B10" s="21">
        <v>-4.7146043998586566E-2</v>
      </c>
      <c r="C10" s="21">
        <v>-3.1950290359758576E-2</v>
      </c>
      <c r="D10" s="150">
        <v>0.97768736855337313</v>
      </c>
      <c r="E10" s="21">
        <v>-1.7641004138806659E-2</v>
      </c>
      <c r="F10" s="21">
        <v>-0.13938481865962485</v>
      </c>
      <c r="G10" s="21">
        <v>-5.6077203072052328E-2</v>
      </c>
      <c r="H10" s="21">
        <v>-4.9803301816944597E-2</v>
      </c>
      <c r="I10" s="21">
        <v>-4.8309077422842149E-2</v>
      </c>
      <c r="J10" s="21">
        <v>1</v>
      </c>
      <c r="K10" s="21"/>
      <c r="L10" s="21"/>
      <c r="M10" s="21"/>
    </row>
    <row r="11" spans="1:13" x14ac:dyDescent="0.25">
      <c r="A11" s="21" t="s">
        <v>270</v>
      </c>
      <c r="B11" s="21">
        <v>-5.8784280484184506E-2</v>
      </c>
      <c r="C11" s="21">
        <v>-6.8205305097231592E-2</v>
      </c>
      <c r="D11" s="21">
        <v>1.1251889364348644E-2</v>
      </c>
      <c r="E11" s="150">
        <v>0.9870190346954032</v>
      </c>
      <c r="F11" s="21">
        <v>0.10441408175333891</v>
      </c>
      <c r="G11" s="21">
        <v>-8.593047215297267E-2</v>
      </c>
      <c r="H11" s="21">
        <v>-5.5326582485441186E-2</v>
      </c>
      <c r="I11" s="21">
        <v>-9.8537636824387972E-2</v>
      </c>
      <c r="J11" s="21">
        <v>-6.1393361148834921E-3</v>
      </c>
      <c r="K11" s="21">
        <v>1</v>
      </c>
      <c r="L11" s="21"/>
      <c r="M11" s="21"/>
    </row>
    <row r="12" spans="1:13" x14ac:dyDescent="0.25">
      <c r="A12" s="21" t="s">
        <v>272</v>
      </c>
      <c r="B12" s="21">
        <v>-3.7823592277759804E-2</v>
      </c>
      <c r="C12" s="21">
        <v>-3.5799674109371418E-2</v>
      </c>
      <c r="D12" s="21">
        <v>-0.15048132972631018</v>
      </c>
      <c r="E12" s="21">
        <v>0.11583983396003925</v>
      </c>
      <c r="F12" s="150">
        <v>0.99795765458604913</v>
      </c>
      <c r="G12" s="21">
        <v>-5.0051749062094336E-2</v>
      </c>
      <c r="H12" s="21">
        <v>-1.8074239390916239E-2</v>
      </c>
      <c r="I12" s="21">
        <v>-6.697479074277031E-2</v>
      </c>
      <c r="J12" s="21">
        <v>-0.13773441066256042</v>
      </c>
      <c r="K12" s="21">
        <v>0.10776391233212876</v>
      </c>
      <c r="L12" s="21">
        <v>1</v>
      </c>
      <c r="M12" s="21"/>
    </row>
    <row r="13" spans="1:13" ht="17.25" thickBot="1" x14ac:dyDescent="0.3">
      <c r="A13" s="22" t="s">
        <v>274</v>
      </c>
      <c r="B13" s="22">
        <v>-6.9876235540177578E-2</v>
      </c>
      <c r="C13" s="22">
        <v>3.7113001982985637E-2</v>
      </c>
      <c r="D13" s="22">
        <v>-1.0643949581473345E-2</v>
      </c>
      <c r="E13" s="22">
        <v>-9.6258538101037974E-2</v>
      </c>
      <c r="F13" s="22">
        <v>-6.8409761010321701E-2</v>
      </c>
      <c r="G13" s="151">
        <v>0.97117071658759102</v>
      </c>
      <c r="H13" s="22">
        <v>-5.7846058367620926E-2</v>
      </c>
      <c r="I13" s="22">
        <v>2.9864894785576319E-2</v>
      </c>
      <c r="J13" s="22">
        <v>-3.2465856725043887E-2</v>
      </c>
      <c r="K13" s="22">
        <v>-9.0700994097585544E-2</v>
      </c>
      <c r="L13" s="22">
        <v>-6.7820947109476032E-2</v>
      </c>
      <c r="M13" s="22">
        <v>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25" sqref="I25"/>
    </sheetView>
  </sheetViews>
  <sheetFormatPr defaultRowHeight="16.5" x14ac:dyDescent="0.25"/>
  <sheetData>
    <row r="1" spans="1:13" x14ac:dyDescent="0.25">
      <c r="A1" s="23"/>
      <c r="B1" s="23" t="s">
        <v>255</v>
      </c>
      <c r="C1" s="23" t="s">
        <v>256</v>
      </c>
      <c r="D1" s="23" t="s">
        <v>257</v>
      </c>
      <c r="E1" s="23" t="s">
        <v>258</v>
      </c>
      <c r="F1" s="23" t="s">
        <v>259</v>
      </c>
      <c r="G1" s="23" t="s">
        <v>260</v>
      </c>
      <c r="H1" s="23" t="s">
        <v>263</v>
      </c>
      <c r="I1" s="23" t="s">
        <v>265</v>
      </c>
      <c r="J1" s="23" t="s">
        <v>268</v>
      </c>
      <c r="K1" s="23" t="s">
        <v>270</v>
      </c>
      <c r="L1" s="23" t="s">
        <v>272</v>
      </c>
      <c r="M1" s="23" t="s">
        <v>274</v>
      </c>
    </row>
    <row r="2" spans="1:13" x14ac:dyDescent="0.25">
      <c r="A2" s="21" t="s">
        <v>255</v>
      </c>
      <c r="B2" s="21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25">
      <c r="A3" s="21" t="s">
        <v>256</v>
      </c>
      <c r="B3" s="21">
        <v>-8.1679710958951879E-2</v>
      </c>
      <c r="C3" s="21">
        <v>1</v>
      </c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x14ac:dyDescent="0.25">
      <c r="A4" s="21" t="s">
        <v>257</v>
      </c>
      <c r="B4" s="21">
        <v>-9.3475215738545295E-2</v>
      </c>
      <c r="C4" s="21">
        <v>-4.2761632711979962E-2</v>
      </c>
      <c r="D4" s="21">
        <v>1</v>
      </c>
      <c r="E4" s="21"/>
      <c r="F4" s="21"/>
      <c r="G4" s="21"/>
      <c r="H4" s="21"/>
      <c r="I4" s="21"/>
      <c r="J4" s="21"/>
      <c r="K4" s="21"/>
      <c r="L4" s="21"/>
      <c r="M4" s="21"/>
    </row>
    <row r="5" spans="1:13" x14ac:dyDescent="0.25">
      <c r="A5" s="21" t="s">
        <v>258</v>
      </c>
      <c r="B5" s="21">
        <v>-6.3908075574066595E-2</v>
      </c>
      <c r="C5" s="21">
        <v>-7.1236621037716247E-2</v>
      </c>
      <c r="D5" s="21">
        <v>-1.0304396864217929E-3</v>
      </c>
      <c r="E5" s="21">
        <v>1</v>
      </c>
      <c r="F5" s="21"/>
      <c r="G5" s="21"/>
      <c r="H5" s="21"/>
      <c r="I5" s="21"/>
      <c r="J5" s="21"/>
      <c r="K5" s="21"/>
      <c r="L5" s="21"/>
      <c r="M5" s="21"/>
    </row>
    <row r="6" spans="1:13" x14ac:dyDescent="0.25">
      <c r="A6" s="21" t="s">
        <v>259</v>
      </c>
      <c r="B6" s="21">
        <v>-3.7142757323399313E-2</v>
      </c>
      <c r="C6" s="21">
        <v>-4.5322351866769993E-2</v>
      </c>
      <c r="D6" s="21">
        <v>-0.15261401137810307</v>
      </c>
      <c r="E6" s="21">
        <v>0.11263169034751809</v>
      </c>
      <c r="F6" s="21">
        <v>1</v>
      </c>
      <c r="G6" s="21"/>
      <c r="H6" s="21"/>
      <c r="I6" s="21"/>
      <c r="J6" s="21"/>
      <c r="K6" s="21"/>
      <c r="L6" s="21"/>
      <c r="M6" s="21"/>
    </row>
    <row r="7" spans="1:13" x14ac:dyDescent="0.25">
      <c r="A7" s="21" t="s">
        <v>260</v>
      </c>
      <c r="B7" s="21">
        <v>-7.3009319548603208E-2</v>
      </c>
      <c r="C7" s="21">
        <v>9.128669289976199E-2</v>
      </c>
      <c r="D7" s="21">
        <v>-3.2855396067097253E-2</v>
      </c>
      <c r="E7" s="21">
        <v>-9.7323583104960462E-2</v>
      </c>
      <c r="F7" s="21">
        <v>-5.1541364715145629E-2</v>
      </c>
      <c r="G7" s="21">
        <v>1</v>
      </c>
      <c r="H7" s="21"/>
      <c r="I7" s="21"/>
      <c r="J7" s="21"/>
      <c r="K7" s="21"/>
      <c r="L7" s="21"/>
      <c r="M7" s="21"/>
    </row>
    <row r="8" spans="1:13" x14ac:dyDescent="0.25">
      <c r="A8" s="21" t="s">
        <v>263</v>
      </c>
      <c r="B8" s="21">
        <v>0.99362949110119714</v>
      </c>
      <c r="C8" s="21">
        <v>-8.5256032771462473E-2</v>
      </c>
      <c r="D8" s="21">
        <v>-9.8532984132660692E-2</v>
      </c>
      <c r="E8" s="21">
        <v>-6.0579726992712378E-2</v>
      </c>
      <c r="F8" s="21">
        <v>-1.7859821227965905E-2</v>
      </c>
      <c r="G8" s="21">
        <v>-5.8506648589527699E-2</v>
      </c>
      <c r="H8" s="21">
        <v>1</v>
      </c>
      <c r="I8" s="21"/>
      <c r="J8" s="21"/>
      <c r="K8" s="21"/>
      <c r="L8" s="21"/>
      <c r="M8" s="21"/>
    </row>
    <row r="9" spans="1:13" x14ac:dyDescent="0.25">
      <c r="A9" s="21" t="s">
        <v>265</v>
      </c>
      <c r="B9" s="21">
        <v>-0.13844462964714699</v>
      </c>
      <c r="C9" s="21">
        <v>0.96546055124052488</v>
      </c>
      <c r="D9" s="21">
        <v>-6.3421845356143813E-2</v>
      </c>
      <c r="E9" s="21">
        <v>-9.8163692044656678E-2</v>
      </c>
      <c r="F9" s="21">
        <v>-7.4633528282208594E-2</v>
      </c>
      <c r="G9" s="21">
        <v>7.5450638947406584E-2</v>
      </c>
      <c r="H9" s="21">
        <v>-0.14433735374032441</v>
      </c>
      <c r="I9" s="21">
        <v>1</v>
      </c>
      <c r="J9" s="21"/>
      <c r="K9" s="21"/>
      <c r="L9" s="21"/>
      <c r="M9" s="21"/>
    </row>
    <row r="10" spans="1:13" x14ac:dyDescent="0.25">
      <c r="A10" s="21" t="s">
        <v>268</v>
      </c>
      <c r="B10" s="21">
        <v>-4.7146043998586566E-2</v>
      </c>
      <c r="C10" s="21">
        <v>-3.1950290359758576E-2</v>
      </c>
      <c r="D10" s="21">
        <v>0.97768736855337313</v>
      </c>
      <c r="E10" s="21">
        <v>-1.7641004138806659E-2</v>
      </c>
      <c r="F10" s="21">
        <v>-0.13938481865962485</v>
      </c>
      <c r="G10" s="21">
        <v>-5.6077203072052328E-2</v>
      </c>
      <c r="H10" s="21">
        <v>-4.9803301816944597E-2</v>
      </c>
      <c r="I10" s="21">
        <v>-4.8309077422842149E-2</v>
      </c>
      <c r="J10" s="21">
        <v>1</v>
      </c>
      <c r="K10" s="21"/>
      <c r="L10" s="21"/>
      <c r="M10" s="21"/>
    </row>
    <row r="11" spans="1:13" x14ac:dyDescent="0.25">
      <c r="A11" s="21" t="s">
        <v>270</v>
      </c>
      <c r="B11" s="21">
        <v>-5.8784280484184506E-2</v>
      </c>
      <c r="C11" s="21">
        <v>-6.8205305097231592E-2</v>
      </c>
      <c r="D11" s="21">
        <v>1.1251889364348644E-2</v>
      </c>
      <c r="E11" s="21">
        <v>0.9870190346954032</v>
      </c>
      <c r="F11" s="21">
        <v>0.10441408175333891</v>
      </c>
      <c r="G11" s="21">
        <v>-8.593047215297267E-2</v>
      </c>
      <c r="H11" s="21">
        <v>-5.5326582485441186E-2</v>
      </c>
      <c r="I11" s="21">
        <v>-9.8537636824387972E-2</v>
      </c>
      <c r="J11" s="21">
        <v>-6.1393361148834921E-3</v>
      </c>
      <c r="K11" s="21">
        <v>1</v>
      </c>
      <c r="L11" s="21"/>
      <c r="M11" s="21"/>
    </row>
    <row r="12" spans="1:13" x14ac:dyDescent="0.25">
      <c r="A12" s="21" t="s">
        <v>272</v>
      </c>
      <c r="B12" s="21">
        <v>-3.7823592277759804E-2</v>
      </c>
      <c r="C12" s="21">
        <v>-3.5799674109371418E-2</v>
      </c>
      <c r="D12" s="21">
        <v>-0.15048132972631018</v>
      </c>
      <c r="E12" s="21">
        <v>0.11583983396003925</v>
      </c>
      <c r="F12" s="21">
        <v>0.99795765458604913</v>
      </c>
      <c r="G12" s="21">
        <v>-5.0051749062094336E-2</v>
      </c>
      <c r="H12" s="21">
        <v>-1.8074239390916239E-2</v>
      </c>
      <c r="I12" s="21">
        <v>-6.697479074277031E-2</v>
      </c>
      <c r="J12" s="21">
        <v>-0.13773441066256042</v>
      </c>
      <c r="K12" s="21">
        <v>0.10776391233212876</v>
      </c>
      <c r="L12" s="21">
        <v>1</v>
      </c>
      <c r="M12" s="21"/>
    </row>
    <row r="13" spans="1:13" ht="17.25" thickBot="1" x14ac:dyDescent="0.3">
      <c r="A13" s="22" t="s">
        <v>274</v>
      </c>
      <c r="B13" s="22">
        <v>-6.9876235540177578E-2</v>
      </c>
      <c r="C13" s="22">
        <v>3.7113001982985637E-2</v>
      </c>
      <c r="D13" s="22">
        <v>-1.0643949581473345E-2</v>
      </c>
      <c r="E13" s="22">
        <v>-9.6258538101037974E-2</v>
      </c>
      <c r="F13" s="22">
        <v>-6.8409761010321701E-2</v>
      </c>
      <c r="G13" s="22">
        <v>0.97117071658759102</v>
      </c>
      <c r="H13" s="22">
        <v>-5.7846058367620926E-2</v>
      </c>
      <c r="I13" s="22">
        <v>2.9864894785576319E-2</v>
      </c>
      <c r="J13" s="22">
        <v>-3.2465856725043887E-2</v>
      </c>
      <c r="K13" s="22">
        <v>-9.0700994097585544E-2</v>
      </c>
      <c r="L13" s="22">
        <v>-6.7820947109476032E-2</v>
      </c>
      <c r="M13" s="22">
        <v>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zoomScale="85" zoomScaleNormal="85" workbookViewId="0">
      <selection activeCell="C1" sqref="C1:Q101"/>
    </sheetView>
  </sheetViews>
  <sheetFormatPr defaultRowHeight="16.5" x14ac:dyDescent="0.25"/>
  <cols>
    <col min="9" max="9" width="10" style="149" bestFit="1" customWidth="1"/>
    <col min="10" max="14" width="9" style="149"/>
  </cols>
  <sheetData>
    <row r="1" spans="1:17" x14ac:dyDescent="0.25">
      <c r="A1" s="113" t="s">
        <v>253</v>
      </c>
      <c r="B1" s="113" t="s">
        <v>254</v>
      </c>
      <c r="C1" s="113" t="s">
        <v>255</v>
      </c>
      <c r="D1" s="113" t="s">
        <v>256</v>
      </c>
      <c r="E1" s="113" t="s">
        <v>257</v>
      </c>
      <c r="F1" s="113" t="s">
        <v>258</v>
      </c>
      <c r="G1" s="113" t="s">
        <v>259</v>
      </c>
      <c r="H1" s="113" t="s">
        <v>260</v>
      </c>
      <c r="I1" s="148" t="s">
        <v>264</v>
      </c>
      <c r="J1" s="148" t="s">
        <v>266</v>
      </c>
      <c r="K1" s="148" t="s">
        <v>269</v>
      </c>
      <c r="L1" s="148" t="s">
        <v>271</v>
      </c>
      <c r="M1" s="148" t="s">
        <v>273</v>
      </c>
      <c r="N1" s="148" t="s">
        <v>275</v>
      </c>
      <c r="O1" s="148" t="s">
        <v>276</v>
      </c>
      <c r="P1" s="148" t="s">
        <v>277</v>
      </c>
      <c r="Q1" s="148" t="s">
        <v>278</v>
      </c>
    </row>
    <row r="2" spans="1:17" x14ac:dyDescent="0.25">
      <c r="A2" s="114">
        <v>1</v>
      </c>
      <c r="B2" s="114">
        <v>55.5</v>
      </c>
      <c r="C2" s="114">
        <v>3203</v>
      </c>
      <c r="D2" s="114">
        <v>0.1</v>
      </c>
      <c r="E2" s="114">
        <v>549</v>
      </c>
      <c r="F2" s="114">
        <v>8</v>
      </c>
      <c r="G2" s="114">
        <v>37</v>
      </c>
      <c r="H2" s="114">
        <v>12.1</v>
      </c>
      <c r="I2" s="149">
        <f>C2^2</f>
        <v>10259209</v>
      </c>
      <c r="J2" s="149">
        <f>D2^2</f>
        <v>1.0000000000000002E-2</v>
      </c>
      <c r="K2" s="149">
        <f>E2^2</f>
        <v>301401</v>
      </c>
      <c r="L2" s="149">
        <f>F2^2</f>
        <v>64</v>
      </c>
      <c r="M2" s="149">
        <f>G2^2</f>
        <v>1369</v>
      </c>
      <c r="N2" s="149">
        <f>H2^2</f>
        <v>146.41</v>
      </c>
      <c r="O2" s="149">
        <f>C2*D2</f>
        <v>320.3</v>
      </c>
      <c r="P2" s="149">
        <f>C2*E2</f>
        <v>1758447</v>
      </c>
      <c r="Q2">
        <f>C2*F2</f>
        <v>25624</v>
      </c>
    </row>
    <row r="3" spans="1:17" x14ac:dyDescent="0.25">
      <c r="A3" s="114">
        <v>2</v>
      </c>
      <c r="B3" s="114">
        <v>33.799999999999997</v>
      </c>
      <c r="C3" s="114">
        <v>2810</v>
      </c>
      <c r="D3" s="114">
        <v>1.5</v>
      </c>
      <c r="E3" s="114">
        <v>496</v>
      </c>
      <c r="F3" s="114">
        <v>17.5</v>
      </c>
      <c r="G3" s="114">
        <v>39</v>
      </c>
      <c r="H3" s="114">
        <v>0.4</v>
      </c>
      <c r="I3" s="149">
        <f t="shared" ref="I3:I66" si="0">C3^2</f>
        <v>7896100</v>
      </c>
      <c r="J3" s="149">
        <f t="shared" ref="J3:J66" si="1">D3^2</f>
        <v>2.25</v>
      </c>
      <c r="K3" s="149">
        <f t="shared" ref="K3:K66" si="2">E3^2</f>
        <v>246016</v>
      </c>
      <c r="L3" s="149">
        <f t="shared" ref="L3:L66" si="3">F3^2</f>
        <v>306.25</v>
      </c>
      <c r="M3" s="149">
        <f t="shared" ref="M3:M66" si="4">G3^2</f>
        <v>1521</v>
      </c>
      <c r="N3" s="149">
        <f t="shared" ref="N3:N66" si="5">H3^2</f>
        <v>0.16000000000000003</v>
      </c>
      <c r="O3" s="149">
        <f t="shared" ref="O3:O66" si="6">C3*D3</f>
        <v>4215</v>
      </c>
      <c r="P3" s="149">
        <f t="shared" ref="P3:P66" si="7">C3*E3</f>
        <v>1393760</v>
      </c>
      <c r="Q3">
        <f t="shared" ref="Q3:Q66" si="8">C3*F3</f>
        <v>49175</v>
      </c>
    </row>
    <row r="4" spans="1:17" x14ac:dyDescent="0.25">
      <c r="A4" s="114">
        <v>3</v>
      </c>
      <c r="B4" s="114">
        <v>49</v>
      </c>
      <c r="C4" s="114">
        <v>2890</v>
      </c>
      <c r="D4" s="114">
        <v>1.9</v>
      </c>
      <c r="E4" s="114">
        <v>254</v>
      </c>
      <c r="F4" s="114">
        <v>20</v>
      </c>
      <c r="G4" s="114">
        <v>39</v>
      </c>
      <c r="H4" s="114">
        <v>12.2</v>
      </c>
      <c r="I4" s="149">
        <f t="shared" si="0"/>
        <v>8352100</v>
      </c>
      <c r="J4" s="149">
        <f t="shared" si="1"/>
        <v>3.61</v>
      </c>
      <c r="K4" s="149">
        <f t="shared" si="2"/>
        <v>64516</v>
      </c>
      <c r="L4" s="149">
        <f t="shared" si="3"/>
        <v>400</v>
      </c>
      <c r="M4" s="149">
        <f t="shared" si="4"/>
        <v>1521</v>
      </c>
      <c r="N4" s="149">
        <f t="shared" si="5"/>
        <v>148.83999999999997</v>
      </c>
      <c r="O4" s="149">
        <f t="shared" si="6"/>
        <v>5491</v>
      </c>
      <c r="P4" s="149">
        <f t="shared" si="7"/>
        <v>734060</v>
      </c>
      <c r="Q4">
        <f t="shared" si="8"/>
        <v>57800</v>
      </c>
    </row>
    <row r="5" spans="1:17" x14ac:dyDescent="0.25">
      <c r="A5" s="114">
        <v>4</v>
      </c>
      <c r="B5" s="114">
        <v>31.9</v>
      </c>
      <c r="C5" s="114">
        <v>3422</v>
      </c>
      <c r="D5" s="114">
        <v>1</v>
      </c>
      <c r="E5" s="114">
        <v>434</v>
      </c>
      <c r="F5" s="114">
        <v>15.5</v>
      </c>
      <c r="G5" s="114">
        <v>36</v>
      </c>
      <c r="H5" s="114">
        <v>2.7</v>
      </c>
      <c r="I5" s="149">
        <f t="shared" si="0"/>
        <v>11710084</v>
      </c>
      <c r="J5" s="149">
        <f t="shared" si="1"/>
        <v>1</v>
      </c>
      <c r="K5" s="149">
        <f t="shared" si="2"/>
        <v>188356</v>
      </c>
      <c r="L5" s="149">
        <f t="shared" si="3"/>
        <v>240.25</v>
      </c>
      <c r="M5" s="149">
        <f t="shared" si="4"/>
        <v>1296</v>
      </c>
      <c r="N5" s="149">
        <f t="shared" si="5"/>
        <v>7.2900000000000009</v>
      </c>
      <c r="O5" s="149">
        <f t="shared" si="6"/>
        <v>3422</v>
      </c>
      <c r="P5" s="149">
        <f t="shared" si="7"/>
        <v>1485148</v>
      </c>
      <c r="Q5">
        <f t="shared" si="8"/>
        <v>53041</v>
      </c>
    </row>
    <row r="6" spans="1:17" x14ac:dyDescent="0.25">
      <c r="A6" s="114">
        <v>5</v>
      </c>
      <c r="B6" s="114">
        <v>57.4</v>
      </c>
      <c r="C6" s="114">
        <v>2687</v>
      </c>
      <c r="D6" s="114">
        <v>3.4</v>
      </c>
      <c r="E6" s="114">
        <v>678</v>
      </c>
      <c r="F6" s="114">
        <v>15.5</v>
      </c>
      <c r="G6" s="114">
        <v>32</v>
      </c>
      <c r="H6" s="114">
        <v>7.9</v>
      </c>
      <c r="I6" s="149">
        <f t="shared" si="0"/>
        <v>7219969</v>
      </c>
      <c r="J6" s="149">
        <f t="shared" si="1"/>
        <v>11.559999999999999</v>
      </c>
      <c r="K6" s="149">
        <f t="shared" si="2"/>
        <v>459684</v>
      </c>
      <c r="L6" s="149">
        <f t="shared" si="3"/>
        <v>240.25</v>
      </c>
      <c r="M6" s="149">
        <f t="shared" si="4"/>
        <v>1024</v>
      </c>
      <c r="N6" s="149">
        <f t="shared" si="5"/>
        <v>62.410000000000004</v>
      </c>
      <c r="O6" s="149">
        <f t="shared" si="6"/>
        <v>9135.7999999999993</v>
      </c>
      <c r="P6" s="149">
        <f t="shared" si="7"/>
        <v>1821786</v>
      </c>
      <c r="Q6">
        <f t="shared" si="8"/>
        <v>41648.5</v>
      </c>
    </row>
    <row r="7" spans="1:17" x14ac:dyDescent="0.25">
      <c r="A7" s="114">
        <v>6</v>
      </c>
      <c r="B7" s="114">
        <v>49</v>
      </c>
      <c r="C7" s="114">
        <v>3759</v>
      </c>
      <c r="D7" s="114">
        <v>1.4</v>
      </c>
      <c r="E7" s="114">
        <v>635</v>
      </c>
      <c r="F7" s="114">
        <v>19</v>
      </c>
      <c r="G7" s="114">
        <v>41</v>
      </c>
      <c r="H7" s="114">
        <v>4</v>
      </c>
      <c r="I7" s="149">
        <f t="shared" si="0"/>
        <v>14130081</v>
      </c>
      <c r="J7" s="149">
        <f t="shared" si="1"/>
        <v>1.9599999999999997</v>
      </c>
      <c r="K7" s="149">
        <f t="shared" si="2"/>
        <v>403225</v>
      </c>
      <c r="L7" s="149">
        <f t="shared" si="3"/>
        <v>361</v>
      </c>
      <c r="M7" s="149">
        <f t="shared" si="4"/>
        <v>1681</v>
      </c>
      <c r="N7" s="149">
        <f t="shared" si="5"/>
        <v>16</v>
      </c>
      <c r="O7" s="149">
        <f t="shared" si="6"/>
        <v>5262.5999999999995</v>
      </c>
      <c r="P7" s="149">
        <f t="shared" si="7"/>
        <v>2386965</v>
      </c>
      <c r="Q7">
        <f t="shared" si="8"/>
        <v>71421</v>
      </c>
    </row>
    <row r="8" spans="1:17" x14ac:dyDescent="0.25">
      <c r="A8" s="114">
        <v>7</v>
      </c>
      <c r="B8" s="114">
        <v>46</v>
      </c>
      <c r="C8" s="114">
        <v>2341</v>
      </c>
      <c r="D8" s="114">
        <v>2</v>
      </c>
      <c r="E8" s="114">
        <v>580</v>
      </c>
      <c r="F8" s="114">
        <v>23</v>
      </c>
      <c r="G8" s="114">
        <v>45</v>
      </c>
      <c r="H8" s="114">
        <v>7.4</v>
      </c>
      <c r="I8" s="149">
        <f t="shared" si="0"/>
        <v>5480281</v>
      </c>
      <c r="J8" s="149">
        <f t="shared" si="1"/>
        <v>4</v>
      </c>
      <c r="K8" s="149">
        <f t="shared" si="2"/>
        <v>336400</v>
      </c>
      <c r="L8" s="149">
        <f t="shared" si="3"/>
        <v>529</v>
      </c>
      <c r="M8" s="149">
        <f t="shared" si="4"/>
        <v>2025</v>
      </c>
      <c r="N8" s="149">
        <f t="shared" si="5"/>
        <v>54.760000000000005</v>
      </c>
      <c r="O8" s="149">
        <f t="shared" si="6"/>
        <v>4682</v>
      </c>
      <c r="P8" s="149">
        <f t="shared" si="7"/>
        <v>1357780</v>
      </c>
      <c r="Q8">
        <f t="shared" si="8"/>
        <v>53843</v>
      </c>
    </row>
    <row r="9" spans="1:17" x14ac:dyDescent="0.25">
      <c r="A9" s="114">
        <v>8</v>
      </c>
      <c r="B9" s="114">
        <v>50.2</v>
      </c>
      <c r="C9" s="114">
        <v>3021</v>
      </c>
      <c r="D9" s="114">
        <v>2.6</v>
      </c>
      <c r="E9" s="114">
        <v>572</v>
      </c>
      <c r="F9" s="114">
        <v>8.5</v>
      </c>
      <c r="G9" s="114">
        <v>33</v>
      </c>
      <c r="H9" s="114">
        <v>9.3000000000000007</v>
      </c>
      <c r="I9" s="149">
        <f t="shared" si="0"/>
        <v>9126441</v>
      </c>
      <c r="J9" s="149">
        <f t="shared" si="1"/>
        <v>6.7600000000000007</v>
      </c>
      <c r="K9" s="149">
        <f t="shared" si="2"/>
        <v>327184</v>
      </c>
      <c r="L9" s="149">
        <f t="shared" si="3"/>
        <v>72.25</v>
      </c>
      <c r="M9" s="149">
        <f t="shared" si="4"/>
        <v>1089</v>
      </c>
      <c r="N9" s="149">
        <f t="shared" si="5"/>
        <v>86.490000000000009</v>
      </c>
      <c r="O9" s="149">
        <f t="shared" si="6"/>
        <v>7854.6</v>
      </c>
      <c r="P9" s="149">
        <f t="shared" si="7"/>
        <v>1728012</v>
      </c>
      <c r="Q9">
        <f t="shared" si="8"/>
        <v>25678.5</v>
      </c>
    </row>
    <row r="10" spans="1:17" x14ac:dyDescent="0.25">
      <c r="A10" s="114">
        <v>9</v>
      </c>
      <c r="B10" s="114">
        <v>46</v>
      </c>
      <c r="C10" s="114">
        <v>2655</v>
      </c>
      <c r="D10" s="114">
        <v>3.2</v>
      </c>
      <c r="E10" s="114">
        <v>666</v>
      </c>
      <c r="F10" s="114">
        <v>22</v>
      </c>
      <c r="G10" s="114">
        <v>40</v>
      </c>
      <c r="H10" s="114">
        <v>6.7</v>
      </c>
      <c r="I10" s="149">
        <f t="shared" si="0"/>
        <v>7049025</v>
      </c>
      <c r="J10" s="149">
        <f t="shared" si="1"/>
        <v>10.240000000000002</v>
      </c>
      <c r="K10" s="149">
        <f t="shared" si="2"/>
        <v>443556</v>
      </c>
      <c r="L10" s="149">
        <f t="shared" si="3"/>
        <v>484</v>
      </c>
      <c r="M10" s="149">
        <f t="shared" si="4"/>
        <v>1600</v>
      </c>
      <c r="N10" s="149">
        <f t="shared" si="5"/>
        <v>44.89</v>
      </c>
      <c r="O10" s="149">
        <f t="shared" si="6"/>
        <v>8496</v>
      </c>
      <c r="P10" s="149">
        <f t="shared" si="7"/>
        <v>1768230</v>
      </c>
      <c r="Q10">
        <f t="shared" si="8"/>
        <v>58410</v>
      </c>
    </row>
    <row r="11" spans="1:17" x14ac:dyDescent="0.25">
      <c r="A11" s="114">
        <v>10</v>
      </c>
      <c r="B11" s="114">
        <v>45.5</v>
      </c>
      <c r="C11" s="114">
        <v>2691</v>
      </c>
      <c r="D11" s="114">
        <v>1.1000000000000001</v>
      </c>
      <c r="E11" s="114">
        <v>519</v>
      </c>
      <c r="F11" s="114">
        <v>13.5</v>
      </c>
      <c r="G11" s="114">
        <v>28</v>
      </c>
      <c r="H11" s="114">
        <v>9.1</v>
      </c>
      <c r="I11" s="149">
        <f t="shared" si="0"/>
        <v>7241481</v>
      </c>
      <c r="J11" s="149">
        <f t="shared" si="1"/>
        <v>1.2100000000000002</v>
      </c>
      <c r="K11" s="149">
        <f t="shared" si="2"/>
        <v>269361</v>
      </c>
      <c r="L11" s="149">
        <f t="shared" si="3"/>
        <v>182.25</v>
      </c>
      <c r="M11" s="149">
        <f t="shared" si="4"/>
        <v>784</v>
      </c>
      <c r="N11" s="149">
        <f t="shared" si="5"/>
        <v>82.809999999999988</v>
      </c>
      <c r="O11" s="149">
        <f t="shared" si="6"/>
        <v>2960.1000000000004</v>
      </c>
      <c r="P11" s="149">
        <f t="shared" si="7"/>
        <v>1396629</v>
      </c>
      <c r="Q11">
        <f t="shared" si="8"/>
        <v>36328.5</v>
      </c>
    </row>
    <row r="12" spans="1:17" x14ac:dyDescent="0.25">
      <c r="A12" s="114">
        <v>11</v>
      </c>
      <c r="B12" s="114">
        <v>44.2</v>
      </c>
      <c r="C12" s="114">
        <v>3471</v>
      </c>
      <c r="D12" s="114">
        <v>2.1</v>
      </c>
      <c r="E12" s="114">
        <v>523</v>
      </c>
      <c r="F12" s="114">
        <v>12</v>
      </c>
      <c r="G12" s="114">
        <v>35</v>
      </c>
      <c r="H12" s="114">
        <v>9.4</v>
      </c>
      <c r="I12" s="149">
        <f t="shared" si="0"/>
        <v>12047841</v>
      </c>
      <c r="J12" s="149">
        <f t="shared" si="1"/>
        <v>4.41</v>
      </c>
      <c r="K12" s="149">
        <f t="shared" si="2"/>
        <v>273529</v>
      </c>
      <c r="L12" s="149">
        <f t="shared" si="3"/>
        <v>144</v>
      </c>
      <c r="M12" s="149">
        <f t="shared" si="4"/>
        <v>1225</v>
      </c>
      <c r="N12" s="149">
        <f t="shared" si="5"/>
        <v>88.360000000000014</v>
      </c>
      <c r="O12" s="149">
        <f t="shared" si="6"/>
        <v>7289.1</v>
      </c>
      <c r="P12" s="149">
        <f t="shared" si="7"/>
        <v>1815333</v>
      </c>
      <c r="Q12">
        <f t="shared" si="8"/>
        <v>41652</v>
      </c>
    </row>
    <row r="13" spans="1:17" x14ac:dyDescent="0.25">
      <c r="A13" s="114">
        <v>12</v>
      </c>
      <c r="B13" s="114">
        <v>29.8</v>
      </c>
      <c r="C13" s="114">
        <v>3567</v>
      </c>
      <c r="D13" s="114">
        <v>1.8</v>
      </c>
      <c r="E13" s="114">
        <v>140</v>
      </c>
      <c r="F13" s="114">
        <v>13.5</v>
      </c>
      <c r="G13" s="114">
        <v>42</v>
      </c>
      <c r="H13" s="114">
        <v>5.7</v>
      </c>
      <c r="I13" s="149">
        <f t="shared" si="0"/>
        <v>12723489</v>
      </c>
      <c r="J13" s="149">
        <f t="shared" si="1"/>
        <v>3.24</v>
      </c>
      <c r="K13" s="149">
        <f t="shared" si="2"/>
        <v>19600</v>
      </c>
      <c r="L13" s="149">
        <f t="shared" si="3"/>
        <v>182.25</v>
      </c>
      <c r="M13" s="149">
        <f t="shared" si="4"/>
        <v>1764</v>
      </c>
      <c r="N13" s="149">
        <f t="shared" si="5"/>
        <v>32.49</v>
      </c>
      <c r="O13" s="149">
        <f t="shared" si="6"/>
        <v>6420.6</v>
      </c>
      <c r="P13" s="149">
        <f t="shared" si="7"/>
        <v>499380</v>
      </c>
      <c r="Q13">
        <f t="shared" si="8"/>
        <v>48154.5</v>
      </c>
    </row>
    <row r="14" spans="1:17" x14ac:dyDescent="0.25">
      <c r="A14" s="114">
        <v>13</v>
      </c>
      <c r="B14" s="114">
        <v>38.4</v>
      </c>
      <c r="C14" s="114">
        <v>3264</v>
      </c>
      <c r="D14" s="114">
        <v>1.6</v>
      </c>
      <c r="E14" s="114">
        <v>404</v>
      </c>
      <c r="F14" s="114">
        <v>22.5</v>
      </c>
      <c r="G14" s="114">
        <v>45</v>
      </c>
      <c r="H14" s="114">
        <v>4.4000000000000004</v>
      </c>
      <c r="I14" s="149">
        <f t="shared" si="0"/>
        <v>10653696</v>
      </c>
      <c r="J14" s="149">
        <f t="shared" si="1"/>
        <v>2.5600000000000005</v>
      </c>
      <c r="K14" s="149">
        <f t="shared" si="2"/>
        <v>163216</v>
      </c>
      <c r="L14" s="149">
        <f t="shared" si="3"/>
        <v>506.25</v>
      </c>
      <c r="M14" s="149">
        <f t="shared" si="4"/>
        <v>2025</v>
      </c>
      <c r="N14" s="149">
        <f t="shared" si="5"/>
        <v>19.360000000000003</v>
      </c>
      <c r="O14" s="149">
        <f t="shared" si="6"/>
        <v>5222.4000000000005</v>
      </c>
      <c r="P14" s="149">
        <f t="shared" si="7"/>
        <v>1318656</v>
      </c>
      <c r="Q14">
        <f t="shared" si="8"/>
        <v>73440</v>
      </c>
    </row>
    <row r="15" spans="1:17" x14ac:dyDescent="0.25">
      <c r="A15" s="114">
        <v>14</v>
      </c>
      <c r="B15" s="114">
        <v>54.4</v>
      </c>
      <c r="C15" s="114">
        <v>3234</v>
      </c>
      <c r="D15" s="114">
        <v>1.1000000000000001</v>
      </c>
      <c r="E15" s="114">
        <v>649</v>
      </c>
      <c r="F15" s="114">
        <v>19.5</v>
      </c>
      <c r="G15" s="114">
        <v>35</v>
      </c>
      <c r="H15" s="114">
        <v>6.5</v>
      </c>
      <c r="I15" s="149">
        <f t="shared" si="0"/>
        <v>10458756</v>
      </c>
      <c r="J15" s="149">
        <f t="shared" si="1"/>
        <v>1.2100000000000002</v>
      </c>
      <c r="K15" s="149">
        <f t="shared" si="2"/>
        <v>421201</v>
      </c>
      <c r="L15" s="149">
        <f t="shared" si="3"/>
        <v>380.25</v>
      </c>
      <c r="M15" s="149">
        <f t="shared" si="4"/>
        <v>1225</v>
      </c>
      <c r="N15" s="149">
        <f t="shared" si="5"/>
        <v>42.25</v>
      </c>
      <c r="O15" s="149">
        <f t="shared" si="6"/>
        <v>3557.4</v>
      </c>
      <c r="P15" s="149">
        <f t="shared" si="7"/>
        <v>2098866</v>
      </c>
      <c r="Q15">
        <f t="shared" si="8"/>
        <v>63063</v>
      </c>
    </row>
    <row r="16" spans="1:17" x14ac:dyDescent="0.25">
      <c r="A16" s="114">
        <v>15</v>
      </c>
      <c r="B16" s="114">
        <v>34.5</v>
      </c>
      <c r="C16" s="114">
        <v>2730</v>
      </c>
      <c r="D16" s="114">
        <v>4</v>
      </c>
      <c r="E16" s="114">
        <v>171</v>
      </c>
      <c r="F16" s="114">
        <v>17</v>
      </c>
      <c r="G16" s="114">
        <v>41</v>
      </c>
      <c r="H16" s="114">
        <v>10.5</v>
      </c>
      <c r="I16" s="149">
        <f t="shared" si="0"/>
        <v>7452900</v>
      </c>
      <c r="J16" s="149">
        <f t="shared" si="1"/>
        <v>16</v>
      </c>
      <c r="K16" s="149">
        <f t="shared" si="2"/>
        <v>29241</v>
      </c>
      <c r="L16" s="149">
        <f t="shared" si="3"/>
        <v>289</v>
      </c>
      <c r="M16" s="149">
        <f t="shared" si="4"/>
        <v>1681</v>
      </c>
      <c r="N16" s="149">
        <f t="shared" si="5"/>
        <v>110.25</v>
      </c>
      <c r="O16" s="149">
        <f t="shared" si="6"/>
        <v>10920</v>
      </c>
      <c r="P16" s="149">
        <f t="shared" si="7"/>
        <v>466830</v>
      </c>
      <c r="Q16">
        <f t="shared" si="8"/>
        <v>46410</v>
      </c>
    </row>
    <row r="17" spans="1:17" x14ac:dyDescent="0.25">
      <c r="A17" s="114">
        <v>16</v>
      </c>
      <c r="B17" s="114">
        <v>44.9</v>
      </c>
      <c r="C17" s="114">
        <v>3003</v>
      </c>
      <c r="D17" s="114">
        <v>3.4</v>
      </c>
      <c r="E17" s="114">
        <v>402</v>
      </c>
      <c r="F17" s="114">
        <v>15.5</v>
      </c>
      <c r="G17" s="114">
        <v>37</v>
      </c>
      <c r="H17" s="114">
        <v>4.5999999999999996</v>
      </c>
      <c r="I17" s="149">
        <f t="shared" si="0"/>
        <v>9018009</v>
      </c>
      <c r="J17" s="149">
        <f t="shared" si="1"/>
        <v>11.559999999999999</v>
      </c>
      <c r="K17" s="149">
        <f t="shared" si="2"/>
        <v>161604</v>
      </c>
      <c r="L17" s="149">
        <f t="shared" si="3"/>
        <v>240.25</v>
      </c>
      <c r="M17" s="149">
        <f t="shared" si="4"/>
        <v>1369</v>
      </c>
      <c r="N17" s="149">
        <f t="shared" si="5"/>
        <v>21.159999999999997</v>
      </c>
      <c r="O17" s="149">
        <f t="shared" si="6"/>
        <v>10210.199999999999</v>
      </c>
      <c r="P17" s="149">
        <f t="shared" si="7"/>
        <v>1207206</v>
      </c>
      <c r="Q17">
        <f t="shared" si="8"/>
        <v>46546.5</v>
      </c>
    </row>
    <row r="18" spans="1:17" x14ac:dyDescent="0.25">
      <c r="A18" s="114">
        <v>17</v>
      </c>
      <c r="B18" s="114">
        <v>56.5</v>
      </c>
      <c r="C18" s="114">
        <v>2045</v>
      </c>
      <c r="D18" s="114">
        <v>2.8</v>
      </c>
      <c r="E18" s="114">
        <v>562</v>
      </c>
      <c r="F18" s="114">
        <v>15</v>
      </c>
      <c r="G18" s="114">
        <v>36</v>
      </c>
      <c r="H18" s="114">
        <v>10.5</v>
      </c>
      <c r="I18" s="149">
        <f t="shared" si="0"/>
        <v>4182025</v>
      </c>
      <c r="J18" s="149">
        <f t="shared" si="1"/>
        <v>7.839999999999999</v>
      </c>
      <c r="K18" s="149">
        <f t="shared" si="2"/>
        <v>315844</v>
      </c>
      <c r="L18" s="149">
        <f t="shared" si="3"/>
        <v>225</v>
      </c>
      <c r="M18" s="149">
        <f t="shared" si="4"/>
        <v>1296</v>
      </c>
      <c r="N18" s="149">
        <f t="shared" si="5"/>
        <v>110.25</v>
      </c>
      <c r="O18" s="149">
        <f t="shared" si="6"/>
        <v>5726</v>
      </c>
      <c r="P18" s="149">
        <f t="shared" si="7"/>
        <v>1149290</v>
      </c>
      <c r="Q18">
        <f t="shared" si="8"/>
        <v>30675</v>
      </c>
    </row>
    <row r="19" spans="1:17" x14ac:dyDescent="0.25">
      <c r="A19" s="114">
        <v>18</v>
      </c>
      <c r="B19" s="114">
        <v>39.299999999999997</v>
      </c>
      <c r="C19" s="114">
        <v>3591</v>
      </c>
      <c r="D19" s="114">
        <v>2.2999999999999998</v>
      </c>
      <c r="E19" s="114">
        <v>510</v>
      </c>
      <c r="F19" s="114">
        <v>18.5</v>
      </c>
      <c r="G19" s="114">
        <v>45</v>
      </c>
      <c r="H19" s="114">
        <v>7.2</v>
      </c>
      <c r="I19" s="149">
        <f t="shared" si="0"/>
        <v>12895281</v>
      </c>
      <c r="J19" s="149">
        <f t="shared" si="1"/>
        <v>5.2899999999999991</v>
      </c>
      <c r="K19" s="149">
        <f t="shared" si="2"/>
        <v>260100</v>
      </c>
      <c r="L19" s="149">
        <f t="shared" si="3"/>
        <v>342.25</v>
      </c>
      <c r="M19" s="149">
        <f t="shared" si="4"/>
        <v>2025</v>
      </c>
      <c r="N19" s="149">
        <f t="shared" si="5"/>
        <v>51.84</v>
      </c>
      <c r="O19" s="149">
        <f t="shared" si="6"/>
        <v>8259.2999999999993</v>
      </c>
      <c r="P19" s="149">
        <f t="shared" si="7"/>
        <v>1831410</v>
      </c>
      <c r="Q19">
        <f t="shared" si="8"/>
        <v>66433.5</v>
      </c>
    </row>
    <row r="20" spans="1:17" x14ac:dyDescent="0.25">
      <c r="A20" s="114">
        <v>19</v>
      </c>
      <c r="B20" s="114">
        <v>62.8</v>
      </c>
      <c r="C20" s="114">
        <v>1613</v>
      </c>
      <c r="D20" s="114">
        <v>2.6</v>
      </c>
      <c r="E20" s="114">
        <v>686</v>
      </c>
      <c r="F20" s="114">
        <v>21.5</v>
      </c>
      <c r="G20" s="114">
        <v>45</v>
      </c>
      <c r="H20" s="114">
        <v>10.7</v>
      </c>
      <c r="I20" s="149">
        <f t="shared" si="0"/>
        <v>2601769</v>
      </c>
      <c r="J20" s="149">
        <f t="shared" si="1"/>
        <v>6.7600000000000007</v>
      </c>
      <c r="K20" s="149">
        <f t="shared" si="2"/>
        <v>470596</v>
      </c>
      <c r="L20" s="149">
        <f t="shared" si="3"/>
        <v>462.25</v>
      </c>
      <c r="M20" s="149">
        <f t="shared" si="4"/>
        <v>2025</v>
      </c>
      <c r="N20" s="149">
        <f t="shared" si="5"/>
        <v>114.48999999999998</v>
      </c>
      <c r="O20" s="149">
        <f t="shared" si="6"/>
        <v>4193.8</v>
      </c>
      <c r="P20" s="149">
        <f t="shared" si="7"/>
        <v>1106518</v>
      </c>
      <c r="Q20">
        <f t="shared" si="8"/>
        <v>34679.5</v>
      </c>
    </row>
    <row r="21" spans="1:17" x14ac:dyDescent="0.25">
      <c r="A21" s="114">
        <v>20</v>
      </c>
      <c r="B21" s="114">
        <v>40.299999999999997</v>
      </c>
      <c r="C21" s="114">
        <v>2848</v>
      </c>
      <c r="D21" s="114">
        <v>1.8</v>
      </c>
      <c r="E21" s="114">
        <v>744</v>
      </c>
      <c r="F21" s="114">
        <v>19</v>
      </c>
      <c r="G21" s="114">
        <v>44</v>
      </c>
      <c r="H21" s="114">
        <v>6.4</v>
      </c>
      <c r="I21" s="149">
        <f t="shared" si="0"/>
        <v>8111104</v>
      </c>
      <c r="J21" s="149">
        <f t="shared" si="1"/>
        <v>3.24</v>
      </c>
      <c r="K21" s="149">
        <f t="shared" si="2"/>
        <v>553536</v>
      </c>
      <c r="L21" s="149">
        <f t="shared" si="3"/>
        <v>361</v>
      </c>
      <c r="M21" s="149">
        <f t="shared" si="4"/>
        <v>1936</v>
      </c>
      <c r="N21" s="149">
        <f t="shared" si="5"/>
        <v>40.960000000000008</v>
      </c>
      <c r="O21" s="149">
        <f t="shared" si="6"/>
        <v>5126.4000000000005</v>
      </c>
      <c r="P21" s="149">
        <f t="shared" si="7"/>
        <v>2118912</v>
      </c>
      <c r="Q21">
        <f t="shared" si="8"/>
        <v>54112</v>
      </c>
    </row>
    <row r="22" spans="1:17" x14ac:dyDescent="0.25">
      <c r="A22" s="114">
        <v>21</v>
      </c>
      <c r="B22" s="114">
        <v>41.1</v>
      </c>
      <c r="C22" s="114">
        <v>3098</v>
      </c>
      <c r="D22" s="114">
        <v>2</v>
      </c>
      <c r="E22" s="114">
        <v>449</v>
      </c>
      <c r="F22" s="114">
        <v>11.5</v>
      </c>
      <c r="G22" s="114">
        <v>40</v>
      </c>
      <c r="H22" s="114">
        <v>7.1</v>
      </c>
      <c r="I22" s="149">
        <f t="shared" si="0"/>
        <v>9597604</v>
      </c>
      <c r="J22" s="149">
        <f t="shared" si="1"/>
        <v>4</v>
      </c>
      <c r="K22" s="149">
        <f t="shared" si="2"/>
        <v>201601</v>
      </c>
      <c r="L22" s="149">
        <f t="shared" si="3"/>
        <v>132.25</v>
      </c>
      <c r="M22" s="149">
        <f t="shared" si="4"/>
        <v>1600</v>
      </c>
      <c r="N22" s="149">
        <f t="shared" si="5"/>
        <v>50.41</v>
      </c>
      <c r="O22" s="149">
        <f t="shared" si="6"/>
        <v>6196</v>
      </c>
      <c r="P22" s="149">
        <f t="shared" si="7"/>
        <v>1391002</v>
      </c>
      <c r="Q22">
        <f t="shared" si="8"/>
        <v>35627</v>
      </c>
    </row>
    <row r="23" spans="1:17" x14ac:dyDescent="0.25">
      <c r="A23" s="114">
        <v>22</v>
      </c>
      <c r="B23" s="114">
        <v>35.700000000000003</v>
      </c>
      <c r="C23" s="114">
        <v>3591</v>
      </c>
      <c r="D23" s="114">
        <v>2.9</v>
      </c>
      <c r="E23" s="114">
        <v>270</v>
      </c>
      <c r="F23" s="114">
        <v>9.5</v>
      </c>
      <c r="G23" s="114">
        <v>31</v>
      </c>
      <c r="H23" s="114">
        <v>9.8000000000000007</v>
      </c>
      <c r="I23" s="149">
        <f t="shared" si="0"/>
        <v>12895281</v>
      </c>
      <c r="J23" s="149">
        <f t="shared" si="1"/>
        <v>8.41</v>
      </c>
      <c r="K23" s="149">
        <f t="shared" si="2"/>
        <v>72900</v>
      </c>
      <c r="L23" s="149">
        <f t="shared" si="3"/>
        <v>90.25</v>
      </c>
      <c r="M23" s="149">
        <f t="shared" si="4"/>
        <v>961</v>
      </c>
      <c r="N23" s="149">
        <f t="shared" si="5"/>
        <v>96.04000000000002</v>
      </c>
      <c r="O23" s="149">
        <f t="shared" si="6"/>
        <v>10413.9</v>
      </c>
      <c r="P23" s="149">
        <f t="shared" si="7"/>
        <v>969570</v>
      </c>
      <c r="Q23">
        <f t="shared" si="8"/>
        <v>34114.5</v>
      </c>
    </row>
    <row r="24" spans="1:17" x14ac:dyDescent="0.25">
      <c r="A24" s="114">
        <v>23</v>
      </c>
      <c r="B24" s="114">
        <v>58.5</v>
      </c>
      <c r="C24" s="114">
        <v>2210</v>
      </c>
      <c r="D24" s="114">
        <v>1.6</v>
      </c>
      <c r="E24" s="114">
        <v>611</v>
      </c>
      <c r="F24" s="114">
        <v>17.5</v>
      </c>
      <c r="G24" s="114">
        <v>39</v>
      </c>
      <c r="H24" s="114">
        <v>12.1</v>
      </c>
      <c r="I24" s="149">
        <f t="shared" si="0"/>
        <v>4884100</v>
      </c>
      <c r="J24" s="149">
        <f t="shared" si="1"/>
        <v>2.5600000000000005</v>
      </c>
      <c r="K24" s="149">
        <f t="shared" si="2"/>
        <v>373321</v>
      </c>
      <c r="L24" s="149">
        <f t="shared" si="3"/>
        <v>306.25</v>
      </c>
      <c r="M24" s="149">
        <f t="shared" si="4"/>
        <v>1521</v>
      </c>
      <c r="N24" s="149">
        <f t="shared" si="5"/>
        <v>146.41</v>
      </c>
      <c r="O24" s="149">
        <f t="shared" si="6"/>
        <v>3536</v>
      </c>
      <c r="P24" s="149">
        <f t="shared" si="7"/>
        <v>1350310</v>
      </c>
      <c r="Q24">
        <f t="shared" si="8"/>
        <v>38675</v>
      </c>
    </row>
    <row r="25" spans="1:17" x14ac:dyDescent="0.25">
      <c r="A25" s="114">
        <v>24</v>
      </c>
      <c r="B25" s="114">
        <v>53.5</v>
      </c>
      <c r="C25" s="114">
        <v>3285</v>
      </c>
      <c r="D25" s="114">
        <v>2.2999999999999998</v>
      </c>
      <c r="E25" s="114">
        <v>548</v>
      </c>
      <c r="F25" s="114">
        <v>23.5</v>
      </c>
      <c r="G25" s="114">
        <v>32</v>
      </c>
      <c r="H25" s="114">
        <v>11.9</v>
      </c>
      <c r="I25" s="149">
        <f t="shared" si="0"/>
        <v>10791225</v>
      </c>
      <c r="J25" s="149">
        <f t="shared" si="1"/>
        <v>5.2899999999999991</v>
      </c>
      <c r="K25" s="149">
        <f t="shared" si="2"/>
        <v>300304</v>
      </c>
      <c r="L25" s="149">
        <f t="shared" si="3"/>
        <v>552.25</v>
      </c>
      <c r="M25" s="149">
        <f t="shared" si="4"/>
        <v>1024</v>
      </c>
      <c r="N25" s="149">
        <f t="shared" si="5"/>
        <v>141.61000000000001</v>
      </c>
      <c r="O25" s="149">
        <f t="shared" si="6"/>
        <v>7555.4999999999991</v>
      </c>
      <c r="P25" s="149">
        <f t="shared" si="7"/>
        <v>1800180</v>
      </c>
      <c r="Q25">
        <f t="shared" si="8"/>
        <v>77197.5</v>
      </c>
    </row>
    <row r="26" spans="1:17" x14ac:dyDescent="0.25">
      <c r="A26" s="114">
        <v>25</v>
      </c>
      <c r="B26" s="114">
        <v>54.2</v>
      </c>
      <c r="C26" s="114">
        <v>3018</v>
      </c>
      <c r="D26" s="114">
        <v>1.2</v>
      </c>
      <c r="E26" s="114">
        <v>529</v>
      </c>
      <c r="F26" s="114">
        <v>20</v>
      </c>
      <c r="G26" s="114">
        <v>35</v>
      </c>
      <c r="H26" s="114">
        <v>6.6</v>
      </c>
      <c r="I26" s="149">
        <f t="shared" si="0"/>
        <v>9108324</v>
      </c>
      <c r="J26" s="149">
        <f t="shared" si="1"/>
        <v>1.44</v>
      </c>
      <c r="K26" s="149">
        <f t="shared" si="2"/>
        <v>279841</v>
      </c>
      <c r="L26" s="149">
        <f t="shared" si="3"/>
        <v>400</v>
      </c>
      <c r="M26" s="149">
        <f t="shared" si="4"/>
        <v>1225</v>
      </c>
      <c r="N26" s="149">
        <f t="shared" si="5"/>
        <v>43.559999999999995</v>
      </c>
      <c r="O26" s="149">
        <f t="shared" si="6"/>
        <v>3621.6</v>
      </c>
      <c r="P26" s="149">
        <f t="shared" si="7"/>
        <v>1596522</v>
      </c>
      <c r="Q26">
        <f t="shared" si="8"/>
        <v>60360</v>
      </c>
    </row>
    <row r="27" spans="1:17" x14ac:dyDescent="0.25">
      <c r="A27" s="114">
        <v>26</v>
      </c>
      <c r="B27" s="114">
        <v>43.3</v>
      </c>
      <c r="C27" s="114">
        <v>3383</v>
      </c>
      <c r="D27" s="114">
        <v>2.1</v>
      </c>
      <c r="E27" s="114">
        <v>790</v>
      </c>
      <c r="F27" s="114">
        <v>11.5</v>
      </c>
      <c r="G27" s="114">
        <v>41</v>
      </c>
      <c r="H27" s="114">
        <v>5.3</v>
      </c>
      <c r="I27" s="149">
        <f t="shared" si="0"/>
        <v>11444689</v>
      </c>
      <c r="J27" s="149">
        <f t="shared" si="1"/>
        <v>4.41</v>
      </c>
      <c r="K27" s="149">
        <f t="shared" si="2"/>
        <v>624100</v>
      </c>
      <c r="L27" s="149">
        <f t="shared" si="3"/>
        <v>132.25</v>
      </c>
      <c r="M27" s="149">
        <f t="shared" si="4"/>
        <v>1681</v>
      </c>
      <c r="N27" s="149">
        <f t="shared" si="5"/>
        <v>28.09</v>
      </c>
      <c r="O27" s="149">
        <f t="shared" si="6"/>
        <v>7104.3</v>
      </c>
      <c r="P27" s="149">
        <f t="shared" si="7"/>
        <v>2672570</v>
      </c>
      <c r="Q27">
        <f t="shared" si="8"/>
        <v>38904.5</v>
      </c>
    </row>
    <row r="28" spans="1:17" x14ac:dyDescent="0.25">
      <c r="A28" s="114">
        <v>27</v>
      </c>
      <c r="B28" s="114">
        <v>58</v>
      </c>
      <c r="C28" s="114">
        <v>2382</v>
      </c>
      <c r="D28" s="114">
        <v>1.1000000000000001</v>
      </c>
      <c r="E28" s="114">
        <v>484</v>
      </c>
      <c r="F28" s="114">
        <v>12</v>
      </c>
      <c r="G28" s="114">
        <v>35</v>
      </c>
      <c r="H28" s="114">
        <v>13.5</v>
      </c>
      <c r="I28" s="149">
        <f t="shared" si="0"/>
        <v>5673924</v>
      </c>
      <c r="J28" s="149">
        <f t="shared" si="1"/>
        <v>1.2100000000000002</v>
      </c>
      <c r="K28" s="149">
        <f t="shared" si="2"/>
        <v>234256</v>
      </c>
      <c r="L28" s="149">
        <f t="shared" si="3"/>
        <v>144</v>
      </c>
      <c r="M28" s="149">
        <f t="shared" si="4"/>
        <v>1225</v>
      </c>
      <c r="N28" s="149">
        <f t="shared" si="5"/>
        <v>182.25</v>
      </c>
      <c r="O28" s="149">
        <f t="shared" si="6"/>
        <v>2620.2000000000003</v>
      </c>
      <c r="P28" s="149">
        <f t="shared" si="7"/>
        <v>1152888</v>
      </c>
      <c r="Q28">
        <f t="shared" si="8"/>
        <v>28584</v>
      </c>
    </row>
    <row r="29" spans="1:17" x14ac:dyDescent="0.25">
      <c r="A29" s="114">
        <v>28</v>
      </c>
      <c r="B29" s="114">
        <v>38.1</v>
      </c>
      <c r="C29" s="114">
        <v>3568</v>
      </c>
      <c r="D29" s="114">
        <v>2</v>
      </c>
      <c r="E29" s="114">
        <v>365</v>
      </c>
      <c r="F29" s="114">
        <v>16.5</v>
      </c>
      <c r="G29" s="114">
        <v>37</v>
      </c>
      <c r="H29" s="114">
        <v>11.1</v>
      </c>
      <c r="I29" s="149">
        <f t="shared" si="0"/>
        <v>12730624</v>
      </c>
      <c r="J29" s="149">
        <f t="shared" si="1"/>
        <v>4</v>
      </c>
      <c r="K29" s="149">
        <f t="shared" si="2"/>
        <v>133225</v>
      </c>
      <c r="L29" s="149">
        <f t="shared" si="3"/>
        <v>272.25</v>
      </c>
      <c r="M29" s="149">
        <f t="shared" si="4"/>
        <v>1369</v>
      </c>
      <c r="N29" s="149">
        <f t="shared" si="5"/>
        <v>123.21</v>
      </c>
      <c r="O29" s="149">
        <f t="shared" si="6"/>
        <v>7136</v>
      </c>
      <c r="P29" s="149">
        <f t="shared" si="7"/>
        <v>1302320</v>
      </c>
      <c r="Q29">
        <f t="shared" si="8"/>
        <v>58872</v>
      </c>
    </row>
    <row r="30" spans="1:17" x14ac:dyDescent="0.25">
      <c r="A30" s="114">
        <v>29</v>
      </c>
      <c r="B30" s="114">
        <v>45.1</v>
      </c>
      <c r="C30" s="114">
        <v>2172</v>
      </c>
      <c r="D30" s="114">
        <v>2.9</v>
      </c>
      <c r="E30" s="114">
        <v>198</v>
      </c>
      <c r="F30" s="114">
        <v>7</v>
      </c>
      <c r="G30" s="114">
        <v>39</v>
      </c>
      <c r="H30" s="114">
        <v>5.6</v>
      </c>
      <c r="I30" s="149">
        <f t="shared" si="0"/>
        <v>4717584</v>
      </c>
      <c r="J30" s="149">
        <f t="shared" si="1"/>
        <v>8.41</v>
      </c>
      <c r="K30" s="149">
        <f t="shared" si="2"/>
        <v>39204</v>
      </c>
      <c r="L30" s="149">
        <f t="shared" si="3"/>
        <v>49</v>
      </c>
      <c r="M30" s="149">
        <f t="shared" si="4"/>
        <v>1521</v>
      </c>
      <c r="N30" s="149">
        <f t="shared" si="5"/>
        <v>31.359999999999996</v>
      </c>
      <c r="O30" s="149">
        <f t="shared" si="6"/>
        <v>6298.8</v>
      </c>
      <c r="P30" s="149">
        <f t="shared" si="7"/>
        <v>430056</v>
      </c>
      <c r="Q30">
        <f t="shared" si="8"/>
        <v>15204</v>
      </c>
    </row>
    <row r="31" spans="1:17" x14ac:dyDescent="0.25">
      <c r="A31" s="114">
        <v>30</v>
      </c>
      <c r="B31" s="114">
        <v>42.8</v>
      </c>
      <c r="C31" s="114">
        <v>3003</v>
      </c>
      <c r="D31" s="114">
        <v>2.1</v>
      </c>
      <c r="E31" s="114">
        <v>457</v>
      </c>
      <c r="F31" s="114">
        <v>19.5</v>
      </c>
      <c r="G31" s="114">
        <v>35</v>
      </c>
      <c r="H31" s="114">
        <v>2.8</v>
      </c>
      <c r="I31" s="149">
        <f t="shared" si="0"/>
        <v>9018009</v>
      </c>
      <c r="J31" s="149">
        <f t="shared" si="1"/>
        <v>4.41</v>
      </c>
      <c r="K31" s="149">
        <f t="shared" si="2"/>
        <v>208849</v>
      </c>
      <c r="L31" s="149">
        <f t="shared" si="3"/>
        <v>380.25</v>
      </c>
      <c r="M31" s="149">
        <f t="shared" si="4"/>
        <v>1225</v>
      </c>
      <c r="N31" s="149">
        <f t="shared" si="5"/>
        <v>7.839999999999999</v>
      </c>
      <c r="O31" s="149">
        <f t="shared" si="6"/>
        <v>6306.3</v>
      </c>
      <c r="P31" s="149">
        <f t="shared" si="7"/>
        <v>1372371</v>
      </c>
      <c r="Q31">
        <f t="shared" si="8"/>
        <v>58558.5</v>
      </c>
    </row>
    <row r="32" spans="1:17" x14ac:dyDescent="0.25">
      <c r="A32" s="114">
        <v>31</v>
      </c>
      <c r="B32" s="114">
        <v>51.4</v>
      </c>
      <c r="C32" s="114">
        <v>2640</v>
      </c>
      <c r="D32" s="114">
        <v>0.5</v>
      </c>
      <c r="E32" s="114">
        <v>431</v>
      </c>
      <c r="F32" s="114">
        <v>19.5</v>
      </c>
      <c r="G32" s="114">
        <v>37</v>
      </c>
      <c r="H32" s="114">
        <v>7.2</v>
      </c>
      <c r="I32" s="149">
        <f t="shared" si="0"/>
        <v>6969600</v>
      </c>
      <c r="J32" s="149">
        <f t="shared" si="1"/>
        <v>0.25</v>
      </c>
      <c r="K32" s="149">
        <f t="shared" si="2"/>
        <v>185761</v>
      </c>
      <c r="L32" s="149">
        <f t="shared" si="3"/>
        <v>380.25</v>
      </c>
      <c r="M32" s="149">
        <f t="shared" si="4"/>
        <v>1369</v>
      </c>
      <c r="N32" s="149">
        <f t="shared" si="5"/>
        <v>51.84</v>
      </c>
      <c r="O32" s="149">
        <f t="shared" si="6"/>
        <v>1320</v>
      </c>
      <c r="P32" s="149">
        <f t="shared" si="7"/>
        <v>1137840</v>
      </c>
      <c r="Q32">
        <f t="shared" si="8"/>
        <v>51480</v>
      </c>
    </row>
    <row r="33" spans="1:17" x14ac:dyDescent="0.25">
      <c r="A33" s="114">
        <v>32</v>
      </c>
      <c r="B33" s="114">
        <v>45.4</v>
      </c>
      <c r="C33" s="114">
        <v>2443</v>
      </c>
      <c r="D33" s="114">
        <v>4.2</v>
      </c>
      <c r="E33" s="114">
        <v>515</v>
      </c>
      <c r="F33" s="114">
        <v>10.5</v>
      </c>
      <c r="G33" s="114">
        <v>38</v>
      </c>
      <c r="H33" s="114">
        <v>7.3</v>
      </c>
      <c r="I33" s="149">
        <f t="shared" si="0"/>
        <v>5968249</v>
      </c>
      <c r="J33" s="149">
        <f t="shared" si="1"/>
        <v>17.64</v>
      </c>
      <c r="K33" s="149">
        <f t="shared" si="2"/>
        <v>265225</v>
      </c>
      <c r="L33" s="149">
        <f t="shared" si="3"/>
        <v>110.25</v>
      </c>
      <c r="M33" s="149">
        <f t="shared" si="4"/>
        <v>1444</v>
      </c>
      <c r="N33" s="149">
        <f t="shared" si="5"/>
        <v>53.29</v>
      </c>
      <c r="O33" s="149">
        <f t="shared" si="6"/>
        <v>10260.6</v>
      </c>
      <c r="P33" s="149">
        <f t="shared" si="7"/>
        <v>1258145</v>
      </c>
      <c r="Q33">
        <f t="shared" si="8"/>
        <v>25651.5</v>
      </c>
    </row>
    <row r="34" spans="1:17" x14ac:dyDescent="0.25">
      <c r="A34" s="114">
        <v>33</v>
      </c>
      <c r="B34" s="114">
        <v>48.2</v>
      </c>
      <c r="C34" s="114">
        <v>2429</v>
      </c>
      <c r="D34" s="114">
        <v>2</v>
      </c>
      <c r="E34" s="114">
        <v>498</v>
      </c>
      <c r="F34" s="114">
        <v>20</v>
      </c>
      <c r="G34" s="114">
        <v>41</v>
      </c>
      <c r="H34" s="114">
        <v>7.2</v>
      </c>
      <c r="I34" s="149">
        <f t="shared" si="0"/>
        <v>5900041</v>
      </c>
      <c r="J34" s="149">
        <f t="shared" si="1"/>
        <v>4</v>
      </c>
      <c r="K34" s="149">
        <f t="shared" si="2"/>
        <v>248004</v>
      </c>
      <c r="L34" s="149">
        <f t="shared" si="3"/>
        <v>400</v>
      </c>
      <c r="M34" s="149">
        <f t="shared" si="4"/>
        <v>1681</v>
      </c>
      <c r="N34" s="149">
        <f t="shared" si="5"/>
        <v>51.84</v>
      </c>
      <c r="O34" s="149">
        <f t="shared" si="6"/>
        <v>4858</v>
      </c>
      <c r="P34" s="149">
        <f t="shared" si="7"/>
        <v>1209642</v>
      </c>
      <c r="Q34">
        <f t="shared" si="8"/>
        <v>48580</v>
      </c>
    </row>
    <row r="35" spans="1:17" x14ac:dyDescent="0.25">
      <c r="A35" s="114">
        <v>34</v>
      </c>
      <c r="B35" s="114">
        <v>40.200000000000003</v>
      </c>
      <c r="C35" s="114">
        <v>3670</v>
      </c>
      <c r="D35" s="114">
        <v>1.5</v>
      </c>
      <c r="E35" s="114">
        <v>240</v>
      </c>
      <c r="F35" s="114">
        <v>17.5</v>
      </c>
      <c r="G35" s="114">
        <v>37</v>
      </c>
      <c r="H35" s="114">
        <v>4.9000000000000004</v>
      </c>
      <c r="I35" s="149">
        <f t="shared" si="0"/>
        <v>13468900</v>
      </c>
      <c r="J35" s="149">
        <f t="shared" si="1"/>
        <v>2.25</v>
      </c>
      <c r="K35" s="149">
        <f t="shared" si="2"/>
        <v>57600</v>
      </c>
      <c r="L35" s="149">
        <f t="shared" si="3"/>
        <v>306.25</v>
      </c>
      <c r="M35" s="149">
        <f t="shared" si="4"/>
        <v>1369</v>
      </c>
      <c r="N35" s="149">
        <f t="shared" si="5"/>
        <v>24.010000000000005</v>
      </c>
      <c r="O35" s="149">
        <f t="shared" si="6"/>
        <v>5505</v>
      </c>
      <c r="P35" s="149">
        <f t="shared" si="7"/>
        <v>880800</v>
      </c>
      <c r="Q35">
        <f t="shared" si="8"/>
        <v>64225</v>
      </c>
    </row>
    <row r="36" spans="1:17" x14ac:dyDescent="0.25">
      <c r="A36" s="114">
        <v>35</v>
      </c>
      <c r="B36" s="114">
        <v>36.799999999999997</v>
      </c>
      <c r="C36" s="114">
        <v>3006</v>
      </c>
      <c r="D36" s="114">
        <v>1.8</v>
      </c>
      <c r="E36" s="114">
        <v>456</v>
      </c>
      <c r="F36" s="114">
        <v>15.5</v>
      </c>
      <c r="G36" s="114">
        <v>37</v>
      </c>
      <c r="H36" s="114">
        <v>10.6</v>
      </c>
      <c r="I36" s="149">
        <f t="shared" si="0"/>
        <v>9036036</v>
      </c>
      <c r="J36" s="149">
        <f t="shared" si="1"/>
        <v>3.24</v>
      </c>
      <c r="K36" s="149">
        <f t="shared" si="2"/>
        <v>207936</v>
      </c>
      <c r="L36" s="149">
        <f t="shared" si="3"/>
        <v>240.25</v>
      </c>
      <c r="M36" s="149">
        <f t="shared" si="4"/>
        <v>1369</v>
      </c>
      <c r="N36" s="149">
        <f t="shared" si="5"/>
        <v>112.36</v>
      </c>
      <c r="O36" s="149">
        <f t="shared" si="6"/>
        <v>5410.8</v>
      </c>
      <c r="P36" s="149">
        <f t="shared" si="7"/>
        <v>1370736</v>
      </c>
      <c r="Q36">
        <f t="shared" si="8"/>
        <v>46593</v>
      </c>
    </row>
    <row r="37" spans="1:17" x14ac:dyDescent="0.25">
      <c r="A37" s="114">
        <v>36</v>
      </c>
      <c r="B37" s="114">
        <v>54.2</v>
      </c>
      <c r="C37" s="114">
        <v>2484</v>
      </c>
      <c r="D37" s="114">
        <v>1.5</v>
      </c>
      <c r="E37" s="114">
        <v>443</v>
      </c>
      <c r="F37" s="114">
        <v>16</v>
      </c>
      <c r="G37" s="114">
        <v>41</v>
      </c>
      <c r="H37" s="114">
        <v>14.2</v>
      </c>
      <c r="I37" s="149">
        <f t="shared" si="0"/>
        <v>6170256</v>
      </c>
      <c r="J37" s="149">
        <f t="shared" si="1"/>
        <v>2.25</v>
      </c>
      <c r="K37" s="149">
        <f t="shared" si="2"/>
        <v>196249</v>
      </c>
      <c r="L37" s="149">
        <f t="shared" si="3"/>
        <v>256</v>
      </c>
      <c r="M37" s="149">
        <f t="shared" si="4"/>
        <v>1681</v>
      </c>
      <c r="N37" s="149">
        <f t="shared" si="5"/>
        <v>201.64</v>
      </c>
      <c r="O37" s="149">
        <f t="shared" si="6"/>
        <v>3726</v>
      </c>
      <c r="P37" s="149">
        <f t="shared" si="7"/>
        <v>1100412</v>
      </c>
      <c r="Q37">
        <f t="shared" si="8"/>
        <v>39744</v>
      </c>
    </row>
    <row r="38" spans="1:17" x14ac:dyDescent="0.25">
      <c r="A38" s="114">
        <v>37</v>
      </c>
      <c r="B38" s="114">
        <v>36.9</v>
      </c>
      <c r="C38" s="114">
        <v>2923</v>
      </c>
      <c r="D38" s="114">
        <v>3.1</v>
      </c>
      <c r="E38" s="114">
        <v>449</v>
      </c>
      <c r="F38" s="114">
        <v>14</v>
      </c>
      <c r="G38" s="114">
        <v>34</v>
      </c>
      <c r="H38" s="114">
        <v>7.2</v>
      </c>
      <c r="I38" s="149">
        <f t="shared" si="0"/>
        <v>8543929</v>
      </c>
      <c r="J38" s="149">
        <f t="shared" si="1"/>
        <v>9.6100000000000012</v>
      </c>
      <c r="K38" s="149">
        <f t="shared" si="2"/>
        <v>201601</v>
      </c>
      <c r="L38" s="149">
        <f t="shared" si="3"/>
        <v>196</v>
      </c>
      <c r="M38" s="149">
        <f t="shared" si="4"/>
        <v>1156</v>
      </c>
      <c r="N38" s="149">
        <f t="shared" si="5"/>
        <v>51.84</v>
      </c>
      <c r="O38" s="149">
        <f t="shared" si="6"/>
        <v>9061.3000000000011</v>
      </c>
      <c r="P38" s="149">
        <f t="shared" si="7"/>
        <v>1312427</v>
      </c>
      <c r="Q38">
        <f t="shared" si="8"/>
        <v>40922</v>
      </c>
    </row>
    <row r="39" spans="1:17" x14ac:dyDescent="0.25">
      <c r="A39" s="114">
        <v>38</v>
      </c>
      <c r="B39" s="114">
        <v>53</v>
      </c>
      <c r="C39" s="114">
        <v>2844</v>
      </c>
      <c r="D39" s="114">
        <v>0.8</v>
      </c>
      <c r="E39" s="114">
        <v>406</v>
      </c>
      <c r="F39" s="114">
        <v>13.5</v>
      </c>
      <c r="G39" s="114">
        <v>44</v>
      </c>
      <c r="H39" s="114">
        <v>4</v>
      </c>
      <c r="I39" s="149">
        <f t="shared" si="0"/>
        <v>8088336</v>
      </c>
      <c r="J39" s="149">
        <f t="shared" si="1"/>
        <v>0.64000000000000012</v>
      </c>
      <c r="K39" s="149">
        <f t="shared" si="2"/>
        <v>164836</v>
      </c>
      <c r="L39" s="149">
        <f t="shared" si="3"/>
        <v>182.25</v>
      </c>
      <c r="M39" s="149">
        <f t="shared" si="4"/>
        <v>1936</v>
      </c>
      <c r="N39" s="149">
        <f t="shared" si="5"/>
        <v>16</v>
      </c>
      <c r="O39" s="149">
        <f t="shared" si="6"/>
        <v>2275.2000000000003</v>
      </c>
      <c r="P39" s="149">
        <f t="shared" si="7"/>
        <v>1154664</v>
      </c>
      <c r="Q39">
        <f t="shared" si="8"/>
        <v>38394</v>
      </c>
    </row>
    <row r="40" spans="1:17" x14ac:dyDescent="0.25">
      <c r="A40" s="114">
        <v>39</v>
      </c>
      <c r="B40" s="114">
        <v>39.299999999999997</v>
      </c>
      <c r="C40" s="114">
        <v>3159</v>
      </c>
      <c r="D40" s="114">
        <v>1.6</v>
      </c>
      <c r="E40" s="114">
        <v>392</v>
      </c>
      <c r="F40" s="114">
        <v>11</v>
      </c>
      <c r="G40" s="114">
        <v>40</v>
      </c>
      <c r="H40" s="114">
        <v>14.6</v>
      </c>
      <c r="I40" s="149">
        <f t="shared" si="0"/>
        <v>9979281</v>
      </c>
      <c r="J40" s="149">
        <f t="shared" si="1"/>
        <v>2.5600000000000005</v>
      </c>
      <c r="K40" s="149">
        <f t="shared" si="2"/>
        <v>153664</v>
      </c>
      <c r="L40" s="149">
        <f t="shared" si="3"/>
        <v>121</v>
      </c>
      <c r="M40" s="149">
        <f t="shared" si="4"/>
        <v>1600</v>
      </c>
      <c r="N40" s="149">
        <f t="shared" si="5"/>
        <v>213.16</v>
      </c>
      <c r="O40" s="149">
        <f t="shared" si="6"/>
        <v>5054.4000000000005</v>
      </c>
      <c r="P40" s="149">
        <f t="shared" si="7"/>
        <v>1238328</v>
      </c>
      <c r="Q40">
        <f t="shared" si="8"/>
        <v>34749</v>
      </c>
    </row>
    <row r="41" spans="1:17" x14ac:dyDescent="0.25">
      <c r="A41" s="114">
        <v>40</v>
      </c>
      <c r="B41" s="114">
        <v>54.4</v>
      </c>
      <c r="C41" s="114">
        <v>3241</v>
      </c>
      <c r="D41" s="114">
        <v>2.1</v>
      </c>
      <c r="E41" s="114">
        <v>578</v>
      </c>
      <c r="F41" s="114">
        <v>21.5</v>
      </c>
      <c r="G41" s="114">
        <v>30</v>
      </c>
      <c r="H41" s="114">
        <v>9.6999999999999993</v>
      </c>
      <c r="I41" s="149">
        <f t="shared" si="0"/>
        <v>10504081</v>
      </c>
      <c r="J41" s="149">
        <f t="shared" si="1"/>
        <v>4.41</v>
      </c>
      <c r="K41" s="149">
        <f t="shared" si="2"/>
        <v>334084</v>
      </c>
      <c r="L41" s="149">
        <f t="shared" si="3"/>
        <v>462.25</v>
      </c>
      <c r="M41" s="149">
        <f t="shared" si="4"/>
        <v>900</v>
      </c>
      <c r="N41" s="149">
        <f t="shared" si="5"/>
        <v>94.089999999999989</v>
      </c>
      <c r="O41" s="149">
        <f t="shared" si="6"/>
        <v>6806.1</v>
      </c>
      <c r="P41" s="149">
        <f t="shared" si="7"/>
        <v>1873298</v>
      </c>
      <c r="Q41">
        <f t="shared" si="8"/>
        <v>69681.5</v>
      </c>
    </row>
    <row r="42" spans="1:17" x14ac:dyDescent="0.25">
      <c r="A42" s="114">
        <v>41</v>
      </c>
      <c r="B42" s="114">
        <v>43.7</v>
      </c>
      <c r="C42" s="114">
        <v>2915</v>
      </c>
      <c r="D42" s="114">
        <v>2.7</v>
      </c>
      <c r="E42" s="114">
        <v>620</v>
      </c>
      <c r="F42" s="114">
        <v>13.5</v>
      </c>
      <c r="G42" s="114">
        <v>38</v>
      </c>
      <c r="H42" s="114">
        <v>9.5</v>
      </c>
      <c r="I42" s="149">
        <f t="shared" si="0"/>
        <v>8497225</v>
      </c>
      <c r="J42" s="149">
        <f t="shared" si="1"/>
        <v>7.2900000000000009</v>
      </c>
      <c r="K42" s="149">
        <f t="shared" si="2"/>
        <v>384400</v>
      </c>
      <c r="L42" s="149">
        <f t="shared" si="3"/>
        <v>182.25</v>
      </c>
      <c r="M42" s="149">
        <f t="shared" si="4"/>
        <v>1444</v>
      </c>
      <c r="N42" s="149">
        <f t="shared" si="5"/>
        <v>90.25</v>
      </c>
      <c r="O42" s="149">
        <f t="shared" si="6"/>
        <v>7870.5000000000009</v>
      </c>
      <c r="P42" s="149">
        <f t="shared" si="7"/>
        <v>1807300</v>
      </c>
      <c r="Q42">
        <f t="shared" si="8"/>
        <v>39352.5</v>
      </c>
    </row>
    <row r="43" spans="1:17" x14ac:dyDescent="0.25">
      <c r="A43" s="114">
        <v>42</v>
      </c>
      <c r="B43" s="114">
        <v>51.5</v>
      </c>
      <c r="C43" s="114">
        <v>3069</v>
      </c>
      <c r="D43" s="114">
        <v>1</v>
      </c>
      <c r="E43" s="114">
        <v>512</v>
      </c>
      <c r="F43" s="114">
        <v>20.5</v>
      </c>
      <c r="G43" s="114">
        <v>37</v>
      </c>
      <c r="H43" s="114">
        <v>7.1</v>
      </c>
      <c r="I43" s="149">
        <f t="shared" si="0"/>
        <v>9418761</v>
      </c>
      <c r="J43" s="149">
        <f t="shared" si="1"/>
        <v>1</v>
      </c>
      <c r="K43" s="149">
        <f t="shared" si="2"/>
        <v>262144</v>
      </c>
      <c r="L43" s="149">
        <f t="shared" si="3"/>
        <v>420.25</v>
      </c>
      <c r="M43" s="149">
        <f t="shared" si="4"/>
        <v>1369</v>
      </c>
      <c r="N43" s="149">
        <f t="shared" si="5"/>
        <v>50.41</v>
      </c>
      <c r="O43" s="149">
        <f t="shared" si="6"/>
        <v>3069</v>
      </c>
      <c r="P43" s="149">
        <f t="shared" si="7"/>
        <v>1571328</v>
      </c>
      <c r="Q43">
        <f t="shared" si="8"/>
        <v>62914.5</v>
      </c>
    </row>
    <row r="44" spans="1:17" x14ac:dyDescent="0.25">
      <c r="A44" s="114">
        <v>43</v>
      </c>
      <c r="B44" s="114">
        <v>43.5</v>
      </c>
      <c r="C44" s="114">
        <v>2910</v>
      </c>
      <c r="D44" s="114">
        <v>2.9</v>
      </c>
      <c r="E44" s="114">
        <v>418</v>
      </c>
      <c r="F44" s="114">
        <v>12.5</v>
      </c>
      <c r="G44" s="114">
        <v>39</v>
      </c>
      <c r="H44" s="114">
        <v>13</v>
      </c>
      <c r="I44" s="149">
        <f t="shared" si="0"/>
        <v>8468100</v>
      </c>
      <c r="J44" s="149">
        <f t="shared" si="1"/>
        <v>8.41</v>
      </c>
      <c r="K44" s="149">
        <f t="shared" si="2"/>
        <v>174724</v>
      </c>
      <c r="L44" s="149">
        <f t="shared" si="3"/>
        <v>156.25</v>
      </c>
      <c r="M44" s="149">
        <f t="shared" si="4"/>
        <v>1521</v>
      </c>
      <c r="N44" s="149">
        <f t="shared" si="5"/>
        <v>169</v>
      </c>
      <c r="O44" s="149">
        <f t="shared" si="6"/>
        <v>8439</v>
      </c>
      <c r="P44" s="149">
        <f t="shared" si="7"/>
        <v>1216380</v>
      </c>
      <c r="Q44">
        <f t="shared" si="8"/>
        <v>36375</v>
      </c>
    </row>
    <row r="45" spans="1:17" x14ac:dyDescent="0.25">
      <c r="A45" s="114">
        <v>44</v>
      </c>
      <c r="B45" s="114">
        <v>48.8</v>
      </c>
      <c r="C45" s="114">
        <v>2935</v>
      </c>
      <c r="D45" s="114">
        <v>0.4</v>
      </c>
      <c r="E45" s="114">
        <v>551</v>
      </c>
      <c r="F45" s="114">
        <v>20</v>
      </c>
      <c r="G45" s="114">
        <v>39</v>
      </c>
      <c r="H45" s="114">
        <v>8.6999999999999993</v>
      </c>
      <c r="I45" s="149">
        <f t="shared" si="0"/>
        <v>8614225</v>
      </c>
      <c r="J45" s="149">
        <f t="shared" si="1"/>
        <v>0.16000000000000003</v>
      </c>
      <c r="K45" s="149">
        <f t="shared" si="2"/>
        <v>303601</v>
      </c>
      <c r="L45" s="149">
        <f t="shared" si="3"/>
        <v>400</v>
      </c>
      <c r="M45" s="149">
        <f t="shared" si="4"/>
        <v>1521</v>
      </c>
      <c r="N45" s="149">
        <f t="shared" si="5"/>
        <v>75.689999999999984</v>
      </c>
      <c r="O45" s="149">
        <f t="shared" si="6"/>
        <v>1174</v>
      </c>
      <c r="P45" s="149">
        <f t="shared" si="7"/>
        <v>1617185</v>
      </c>
      <c r="Q45">
        <f t="shared" si="8"/>
        <v>58700</v>
      </c>
    </row>
    <row r="46" spans="1:17" x14ac:dyDescent="0.25">
      <c r="A46" s="114">
        <v>45</v>
      </c>
      <c r="B46" s="114">
        <v>36.1</v>
      </c>
      <c r="C46" s="114">
        <v>2962</v>
      </c>
      <c r="D46" s="114">
        <v>3.4</v>
      </c>
      <c r="E46" s="114">
        <v>164</v>
      </c>
      <c r="F46" s="114">
        <v>12.5</v>
      </c>
      <c r="G46" s="114">
        <v>33</v>
      </c>
      <c r="H46" s="114">
        <v>6.2</v>
      </c>
      <c r="I46" s="149">
        <f t="shared" si="0"/>
        <v>8773444</v>
      </c>
      <c r="J46" s="149">
        <f t="shared" si="1"/>
        <v>11.559999999999999</v>
      </c>
      <c r="K46" s="149">
        <f t="shared" si="2"/>
        <v>26896</v>
      </c>
      <c r="L46" s="149">
        <f t="shared" si="3"/>
        <v>156.25</v>
      </c>
      <c r="M46" s="149">
        <f t="shared" si="4"/>
        <v>1089</v>
      </c>
      <c r="N46" s="149">
        <f t="shared" si="5"/>
        <v>38.440000000000005</v>
      </c>
      <c r="O46" s="149">
        <f t="shared" si="6"/>
        <v>10070.799999999999</v>
      </c>
      <c r="P46" s="149">
        <f t="shared" si="7"/>
        <v>485768</v>
      </c>
      <c r="Q46">
        <f t="shared" si="8"/>
        <v>37025</v>
      </c>
    </row>
    <row r="47" spans="1:17" x14ac:dyDescent="0.25">
      <c r="A47" s="114">
        <v>46</v>
      </c>
      <c r="B47" s="114">
        <v>33.200000000000003</v>
      </c>
      <c r="C47" s="114">
        <v>2629</v>
      </c>
      <c r="D47" s="114">
        <v>2.9</v>
      </c>
      <c r="E47" s="114">
        <v>359</v>
      </c>
      <c r="F47" s="114">
        <v>20</v>
      </c>
      <c r="G47" s="114">
        <v>39</v>
      </c>
      <c r="H47" s="114">
        <v>7.6</v>
      </c>
      <c r="I47" s="149">
        <f t="shared" si="0"/>
        <v>6911641</v>
      </c>
      <c r="J47" s="149">
        <f t="shared" si="1"/>
        <v>8.41</v>
      </c>
      <c r="K47" s="149">
        <f t="shared" si="2"/>
        <v>128881</v>
      </c>
      <c r="L47" s="149">
        <f t="shared" si="3"/>
        <v>400</v>
      </c>
      <c r="M47" s="149">
        <f t="shared" si="4"/>
        <v>1521</v>
      </c>
      <c r="N47" s="149">
        <f t="shared" si="5"/>
        <v>57.76</v>
      </c>
      <c r="O47" s="149">
        <f t="shared" si="6"/>
        <v>7624.0999999999995</v>
      </c>
      <c r="P47" s="149">
        <f t="shared" si="7"/>
        <v>943811</v>
      </c>
      <c r="Q47">
        <f t="shared" si="8"/>
        <v>52580</v>
      </c>
    </row>
    <row r="48" spans="1:17" x14ac:dyDescent="0.25">
      <c r="A48" s="114">
        <v>47</v>
      </c>
      <c r="B48" s="114">
        <v>41.9</v>
      </c>
      <c r="C48" s="114">
        <v>3517</v>
      </c>
      <c r="D48" s="114">
        <v>1.4</v>
      </c>
      <c r="E48" s="114">
        <v>516</v>
      </c>
      <c r="F48" s="114">
        <v>6</v>
      </c>
      <c r="G48" s="114">
        <v>36</v>
      </c>
      <c r="H48" s="114">
        <v>5.7</v>
      </c>
      <c r="I48" s="149">
        <f t="shared" si="0"/>
        <v>12369289</v>
      </c>
      <c r="J48" s="149">
        <f t="shared" si="1"/>
        <v>1.9599999999999997</v>
      </c>
      <c r="K48" s="149">
        <f t="shared" si="2"/>
        <v>266256</v>
      </c>
      <c r="L48" s="149">
        <f t="shared" si="3"/>
        <v>36</v>
      </c>
      <c r="M48" s="149">
        <f t="shared" si="4"/>
        <v>1296</v>
      </c>
      <c r="N48" s="149">
        <f t="shared" si="5"/>
        <v>32.49</v>
      </c>
      <c r="O48" s="149">
        <f t="shared" si="6"/>
        <v>4923.7999999999993</v>
      </c>
      <c r="P48" s="149">
        <f t="shared" si="7"/>
        <v>1814772</v>
      </c>
      <c r="Q48">
        <f t="shared" si="8"/>
        <v>21102</v>
      </c>
    </row>
    <row r="49" spans="1:17" x14ac:dyDescent="0.25">
      <c r="A49" s="114">
        <v>48</v>
      </c>
      <c r="B49" s="114">
        <v>49.8</v>
      </c>
      <c r="C49" s="114">
        <v>2859</v>
      </c>
      <c r="D49" s="114">
        <v>2.6</v>
      </c>
      <c r="E49" s="114">
        <v>544</v>
      </c>
      <c r="F49" s="114">
        <v>14.5</v>
      </c>
      <c r="G49" s="114">
        <v>35</v>
      </c>
      <c r="H49" s="114">
        <v>11.8</v>
      </c>
      <c r="I49" s="149">
        <f t="shared" si="0"/>
        <v>8173881</v>
      </c>
      <c r="J49" s="149">
        <f t="shared" si="1"/>
        <v>6.7600000000000007</v>
      </c>
      <c r="K49" s="149">
        <f t="shared" si="2"/>
        <v>295936</v>
      </c>
      <c r="L49" s="149">
        <f t="shared" si="3"/>
        <v>210.25</v>
      </c>
      <c r="M49" s="149">
        <f t="shared" si="4"/>
        <v>1225</v>
      </c>
      <c r="N49" s="149">
        <f t="shared" si="5"/>
        <v>139.24</v>
      </c>
      <c r="O49" s="149">
        <f t="shared" si="6"/>
        <v>7433.4000000000005</v>
      </c>
      <c r="P49" s="149">
        <f t="shared" si="7"/>
        <v>1555296</v>
      </c>
      <c r="Q49">
        <f t="shared" si="8"/>
        <v>41455.5</v>
      </c>
    </row>
    <row r="50" spans="1:17" x14ac:dyDescent="0.25">
      <c r="A50" s="114">
        <v>49</v>
      </c>
      <c r="B50" s="114">
        <v>45</v>
      </c>
      <c r="C50" s="114">
        <v>3697</v>
      </c>
      <c r="D50" s="114">
        <v>2.2000000000000002</v>
      </c>
      <c r="E50" s="114">
        <v>236</v>
      </c>
      <c r="F50" s="114">
        <v>20.5</v>
      </c>
      <c r="G50" s="114">
        <v>34</v>
      </c>
      <c r="H50" s="114">
        <v>5.8</v>
      </c>
      <c r="I50" s="149">
        <f t="shared" si="0"/>
        <v>13667809</v>
      </c>
      <c r="J50" s="149">
        <f t="shared" si="1"/>
        <v>4.8400000000000007</v>
      </c>
      <c r="K50" s="149">
        <f t="shared" si="2"/>
        <v>55696</v>
      </c>
      <c r="L50" s="149">
        <f t="shared" si="3"/>
        <v>420.25</v>
      </c>
      <c r="M50" s="149">
        <f t="shared" si="4"/>
        <v>1156</v>
      </c>
      <c r="N50" s="149">
        <f t="shared" si="5"/>
        <v>33.64</v>
      </c>
      <c r="O50" s="149">
        <f t="shared" si="6"/>
        <v>8133.4000000000005</v>
      </c>
      <c r="P50" s="149">
        <f t="shared" si="7"/>
        <v>872492</v>
      </c>
      <c r="Q50">
        <f t="shared" si="8"/>
        <v>75788.5</v>
      </c>
    </row>
    <row r="51" spans="1:17" x14ac:dyDescent="0.25">
      <c r="A51" s="114">
        <v>50</v>
      </c>
      <c r="B51" s="114">
        <v>43.2</v>
      </c>
      <c r="C51" s="114">
        <v>2724</v>
      </c>
      <c r="D51" s="114">
        <v>3.1</v>
      </c>
      <c r="E51" s="114">
        <v>597</v>
      </c>
      <c r="F51" s="114">
        <v>14.5</v>
      </c>
      <c r="G51" s="114">
        <v>32</v>
      </c>
      <c r="H51" s="114">
        <v>14.5</v>
      </c>
      <c r="I51" s="149">
        <f t="shared" si="0"/>
        <v>7420176</v>
      </c>
      <c r="J51" s="149">
        <f t="shared" si="1"/>
        <v>9.6100000000000012</v>
      </c>
      <c r="K51" s="149">
        <f t="shared" si="2"/>
        <v>356409</v>
      </c>
      <c r="L51" s="149">
        <f t="shared" si="3"/>
        <v>210.25</v>
      </c>
      <c r="M51" s="149">
        <f t="shared" si="4"/>
        <v>1024</v>
      </c>
      <c r="N51" s="149">
        <f t="shared" si="5"/>
        <v>210.25</v>
      </c>
      <c r="O51" s="149">
        <f t="shared" si="6"/>
        <v>8444.4</v>
      </c>
      <c r="P51" s="149">
        <f t="shared" si="7"/>
        <v>1626228</v>
      </c>
      <c r="Q51">
        <f t="shared" si="8"/>
        <v>39498</v>
      </c>
    </row>
    <row r="52" spans="1:17" x14ac:dyDescent="0.25">
      <c r="A52" s="114">
        <v>51</v>
      </c>
      <c r="B52" s="114">
        <v>38.799999999999997</v>
      </c>
      <c r="C52" s="114">
        <v>3330</v>
      </c>
      <c r="D52" s="114">
        <v>1.6</v>
      </c>
      <c r="E52" s="114">
        <v>410</v>
      </c>
      <c r="F52" s="114">
        <v>13.5</v>
      </c>
      <c r="G52" s="114">
        <v>33</v>
      </c>
      <c r="H52" s="114">
        <v>10.8</v>
      </c>
      <c r="I52" s="149">
        <f t="shared" si="0"/>
        <v>11088900</v>
      </c>
      <c r="J52" s="149">
        <f t="shared" si="1"/>
        <v>2.5600000000000005</v>
      </c>
      <c r="K52" s="149">
        <f t="shared" si="2"/>
        <v>168100</v>
      </c>
      <c r="L52" s="149">
        <f t="shared" si="3"/>
        <v>182.25</v>
      </c>
      <c r="M52" s="149">
        <f t="shared" si="4"/>
        <v>1089</v>
      </c>
      <c r="N52" s="149">
        <f t="shared" si="5"/>
        <v>116.64000000000001</v>
      </c>
      <c r="O52" s="149">
        <f t="shared" si="6"/>
        <v>5328</v>
      </c>
      <c r="P52" s="149">
        <f t="shared" si="7"/>
        <v>1365300</v>
      </c>
      <c r="Q52">
        <f t="shared" si="8"/>
        <v>44955</v>
      </c>
    </row>
    <row r="53" spans="1:17" x14ac:dyDescent="0.25">
      <c r="A53" s="114">
        <v>52</v>
      </c>
      <c r="B53" s="114">
        <v>37.799999999999997</v>
      </c>
      <c r="C53" s="114">
        <v>2980</v>
      </c>
      <c r="D53" s="114">
        <v>1.1000000000000001</v>
      </c>
      <c r="E53" s="114">
        <v>427</v>
      </c>
      <c r="F53" s="114">
        <v>12</v>
      </c>
      <c r="G53" s="114">
        <v>42</v>
      </c>
      <c r="H53" s="114">
        <v>8.1999999999999993</v>
      </c>
      <c r="I53" s="149">
        <f t="shared" si="0"/>
        <v>8880400</v>
      </c>
      <c r="J53" s="149">
        <f t="shared" si="1"/>
        <v>1.2100000000000002</v>
      </c>
      <c r="K53" s="149">
        <f t="shared" si="2"/>
        <v>182329</v>
      </c>
      <c r="L53" s="149">
        <f t="shared" si="3"/>
        <v>144</v>
      </c>
      <c r="M53" s="149">
        <f t="shared" si="4"/>
        <v>1764</v>
      </c>
      <c r="N53" s="149">
        <f t="shared" si="5"/>
        <v>67.239999999999995</v>
      </c>
      <c r="O53" s="149">
        <f t="shared" si="6"/>
        <v>3278.0000000000005</v>
      </c>
      <c r="P53" s="149">
        <f t="shared" si="7"/>
        <v>1272460</v>
      </c>
      <c r="Q53">
        <f t="shared" si="8"/>
        <v>35760</v>
      </c>
    </row>
    <row r="54" spans="1:17" x14ac:dyDescent="0.25">
      <c r="A54" s="114">
        <v>53</v>
      </c>
      <c r="B54" s="114">
        <v>41</v>
      </c>
      <c r="C54" s="114">
        <v>2846</v>
      </c>
      <c r="D54" s="114">
        <v>1.2</v>
      </c>
      <c r="E54" s="114">
        <v>231</v>
      </c>
      <c r="F54" s="114">
        <v>20.5</v>
      </c>
      <c r="G54" s="114">
        <v>43</v>
      </c>
      <c r="H54" s="114">
        <v>6</v>
      </c>
      <c r="I54" s="149">
        <f t="shared" si="0"/>
        <v>8099716</v>
      </c>
      <c r="J54" s="149">
        <f t="shared" si="1"/>
        <v>1.44</v>
      </c>
      <c r="K54" s="149">
        <f t="shared" si="2"/>
        <v>53361</v>
      </c>
      <c r="L54" s="149">
        <f t="shared" si="3"/>
        <v>420.25</v>
      </c>
      <c r="M54" s="149">
        <f t="shared" si="4"/>
        <v>1849</v>
      </c>
      <c r="N54" s="149">
        <f t="shared" si="5"/>
        <v>36</v>
      </c>
      <c r="O54" s="149">
        <f t="shared" si="6"/>
        <v>3415.2</v>
      </c>
      <c r="P54" s="149">
        <f t="shared" si="7"/>
        <v>657426</v>
      </c>
      <c r="Q54">
        <f t="shared" si="8"/>
        <v>58343</v>
      </c>
    </row>
    <row r="55" spans="1:17" x14ac:dyDescent="0.25">
      <c r="A55" s="114">
        <v>54</v>
      </c>
      <c r="B55" s="114">
        <v>48.8</v>
      </c>
      <c r="C55" s="114">
        <v>2825</v>
      </c>
      <c r="D55" s="114">
        <v>3.2</v>
      </c>
      <c r="E55" s="114">
        <v>774</v>
      </c>
      <c r="F55" s="114">
        <v>13</v>
      </c>
      <c r="G55" s="114">
        <v>34</v>
      </c>
      <c r="H55" s="114">
        <v>5.8</v>
      </c>
      <c r="I55" s="149">
        <f t="shared" si="0"/>
        <v>7980625</v>
      </c>
      <c r="J55" s="149">
        <f t="shared" si="1"/>
        <v>10.240000000000002</v>
      </c>
      <c r="K55" s="149">
        <f t="shared" si="2"/>
        <v>599076</v>
      </c>
      <c r="L55" s="149">
        <f t="shared" si="3"/>
        <v>169</v>
      </c>
      <c r="M55" s="149">
        <f t="shared" si="4"/>
        <v>1156</v>
      </c>
      <c r="N55" s="149">
        <f t="shared" si="5"/>
        <v>33.64</v>
      </c>
      <c r="O55" s="149">
        <f t="shared" si="6"/>
        <v>9040</v>
      </c>
      <c r="P55" s="149">
        <f t="shared" si="7"/>
        <v>2186550</v>
      </c>
      <c r="Q55">
        <f t="shared" si="8"/>
        <v>36725</v>
      </c>
    </row>
    <row r="56" spans="1:17" x14ac:dyDescent="0.25">
      <c r="A56" s="114">
        <v>55</v>
      </c>
      <c r="B56" s="114">
        <v>34.299999999999997</v>
      </c>
      <c r="C56" s="114">
        <v>3548</v>
      </c>
      <c r="D56" s="114">
        <v>1.8</v>
      </c>
      <c r="E56" s="114">
        <v>449</v>
      </c>
      <c r="F56" s="114">
        <v>13.5</v>
      </c>
      <c r="G56" s="114">
        <v>43</v>
      </c>
      <c r="H56" s="114">
        <v>6.5</v>
      </c>
      <c r="I56" s="149">
        <f t="shared" si="0"/>
        <v>12588304</v>
      </c>
      <c r="J56" s="149">
        <f t="shared" si="1"/>
        <v>3.24</v>
      </c>
      <c r="K56" s="149">
        <f t="shared" si="2"/>
        <v>201601</v>
      </c>
      <c r="L56" s="149">
        <f t="shared" si="3"/>
        <v>182.25</v>
      </c>
      <c r="M56" s="149">
        <f t="shared" si="4"/>
        <v>1849</v>
      </c>
      <c r="N56" s="149">
        <f t="shared" si="5"/>
        <v>42.25</v>
      </c>
      <c r="O56" s="149">
        <f t="shared" si="6"/>
        <v>6386.4000000000005</v>
      </c>
      <c r="P56" s="149">
        <f t="shared" si="7"/>
        <v>1593052</v>
      </c>
      <c r="Q56">
        <f t="shared" si="8"/>
        <v>47898</v>
      </c>
    </row>
    <row r="57" spans="1:17" x14ac:dyDescent="0.25">
      <c r="A57" s="114">
        <v>56</v>
      </c>
      <c r="B57" s="114">
        <v>49.6</v>
      </c>
      <c r="C57" s="114">
        <v>2922</v>
      </c>
      <c r="D57" s="114">
        <v>2.4</v>
      </c>
      <c r="E57" s="114">
        <v>459</v>
      </c>
      <c r="F57" s="114">
        <v>19.5</v>
      </c>
      <c r="G57" s="114">
        <v>42</v>
      </c>
      <c r="H57" s="114">
        <v>10.4</v>
      </c>
      <c r="I57" s="149">
        <f t="shared" si="0"/>
        <v>8538084</v>
      </c>
      <c r="J57" s="149">
        <f t="shared" si="1"/>
        <v>5.76</v>
      </c>
      <c r="K57" s="149">
        <f t="shared" si="2"/>
        <v>210681</v>
      </c>
      <c r="L57" s="149">
        <f t="shared" si="3"/>
        <v>380.25</v>
      </c>
      <c r="M57" s="149">
        <f t="shared" si="4"/>
        <v>1764</v>
      </c>
      <c r="N57" s="149">
        <f t="shared" si="5"/>
        <v>108.16000000000001</v>
      </c>
      <c r="O57" s="149">
        <f t="shared" si="6"/>
        <v>7012.8</v>
      </c>
      <c r="P57" s="149">
        <f t="shared" si="7"/>
        <v>1341198</v>
      </c>
      <c r="Q57">
        <f t="shared" si="8"/>
        <v>56979</v>
      </c>
    </row>
    <row r="58" spans="1:17" x14ac:dyDescent="0.25">
      <c r="A58" s="114">
        <v>57</v>
      </c>
      <c r="B58" s="114">
        <v>49.9</v>
      </c>
      <c r="C58" s="114">
        <v>3255</v>
      </c>
      <c r="D58" s="114">
        <v>2.1</v>
      </c>
      <c r="E58" s="114">
        <v>551</v>
      </c>
      <c r="F58" s="114">
        <v>22.5</v>
      </c>
      <c r="G58" s="114">
        <v>38</v>
      </c>
      <c r="H58" s="114">
        <v>6.1</v>
      </c>
      <c r="I58" s="149">
        <f t="shared" si="0"/>
        <v>10595025</v>
      </c>
      <c r="J58" s="149">
        <f t="shared" si="1"/>
        <v>4.41</v>
      </c>
      <c r="K58" s="149">
        <f t="shared" si="2"/>
        <v>303601</v>
      </c>
      <c r="L58" s="149">
        <f t="shared" si="3"/>
        <v>506.25</v>
      </c>
      <c r="M58" s="149">
        <f t="shared" si="4"/>
        <v>1444</v>
      </c>
      <c r="N58" s="149">
        <f t="shared" si="5"/>
        <v>37.209999999999994</v>
      </c>
      <c r="O58" s="149">
        <f t="shared" si="6"/>
        <v>6835.5</v>
      </c>
      <c r="P58" s="149">
        <f t="shared" si="7"/>
        <v>1793505</v>
      </c>
      <c r="Q58">
        <f t="shared" si="8"/>
        <v>73237.5</v>
      </c>
    </row>
    <row r="59" spans="1:17" x14ac:dyDescent="0.25">
      <c r="A59" s="114">
        <v>58</v>
      </c>
      <c r="B59" s="114">
        <v>39.200000000000003</v>
      </c>
      <c r="C59" s="114">
        <v>2996</v>
      </c>
      <c r="D59" s="114">
        <v>3</v>
      </c>
      <c r="E59" s="114">
        <v>359</v>
      </c>
      <c r="F59" s="114">
        <v>15.5</v>
      </c>
      <c r="G59" s="114">
        <v>36</v>
      </c>
      <c r="H59" s="114">
        <v>6.3</v>
      </c>
      <c r="I59" s="149">
        <f t="shared" si="0"/>
        <v>8976016</v>
      </c>
      <c r="J59" s="149">
        <f t="shared" si="1"/>
        <v>9</v>
      </c>
      <c r="K59" s="149">
        <f t="shared" si="2"/>
        <v>128881</v>
      </c>
      <c r="L59" s="149">
        <f t="shared" si="3"/>
        <v>240.25</v>
      </c>
      <c r="M59" s="149">
        <f t="shared" si="4"/>
        <v>1296</v>
      </c>
      <c r="N59" s="149">
        <f t="shared" si="5"/>
        <v>39.69</v>
      </c>
      <c r="O59" s="149">
        <f t="shared" si="6"/>
        <v>8988</v>
      </c>
      <c r="P59" s="149">
        <f t="shared" si="7"/>
        <v>1075564</v>
      </c>
      <c r="Q59">
        <f t="shared" si="8"/>
        <v>46438</v>
      </c>
    </row>
    <row r="60" spans="1:17" x14ac:dyDescent="0.25">
      <c r="A60" s="114">
        <v>59</v>
      </c>
      <c r="B60" s="114">
        <v>42.5</v>
      </c>
      <c r="C60" s="114">
        <v>2403</v>
      </c>
      <c r="D60" s="114">
        <v>3.3</v>
      </c>
      <c r="E60" s="114">
        <v>345</v>
      </c>
      <c r="F60" s="114">
        <v>19</v>
      </c>
      <c r="G60" s="114">
        <v>42</v>
      </c>
      <c r="H60" s="114">
        <v>6.6</v>
      </c>
      <c r="I60" s="149">
        <f t="shared" si="0"/>
        <v>5774409</v>
      </c>
      <c r="J60" s="149">
        <f t="shared" si="1"/>
        <v>10.889999999999999</v>
      </c>
      <c r="K60" s="149">
        <f t="shared" si="2"/>
        <v>119025</v>
      </c>
      <c r="L60" s="149">
        <f t="shared" si="3"/>
        <v>361</v>
      </c>
      <c r="M60" s="149">
        <f t="shared" si="4"/>
        <v>1764</v>
      </c>
      <c r="N60" s="149">
        <f t="shared" si="5"/>
        <v>43.559999999999995</v>
      </c>
      <c r="O60" s="149">
        <f t="shared" si="6"/>
        <v>7929.9</v>
      </c>
      <c r="P60" s="149">
        <f t="shared" si="7"/>
        <v>829035</v>
      </c>
      <c r="Q60">
        <f t="shared" si="8"/>
        <v>45657</v>
      </c>
    </row>
    <row r="61" spans="1:17" x14ac:dyDescent="0.25">
      <c r="A61" s="114">
        <v>60</v>
      </c>
      <c r="B61" s="114">
        <v>52.6</v>
      </c>
      <c r="C61" s="114">
        <v>3013</v>
      </c>
      <c r="D61" s="114">
        <v>0.6</v>
      </c>
      <c r="E61" s="114">
        <v>830</v>
      </c>
      <c r="F61" s="114">
        <v>20</v>
      </c>
      <c r="G61" s="114">
        <v>33</v>
      </c>
      <c r="H61" s="114">
        <v>0.7</v>
      </c>
      <c r="I61" s="149">
        <f t="shared" si="0"/>
        <v>9078169</v>
      </c>
      <c r="J61" s="149">
        <f t="shared" si="1"/>
        <v>0.36</v>
      </c>
      <c r="K61" s="149">
        <f t="shared" si="2"/>
        <v>688900</v>
      </c>
      <c r="L61" s="149">
        <f t="shared" si="3"/>
        <v>400</v>
      </c>
      <c r="M61" s="149">
        <f t="shared" si="4"/>
        <v>1089</v>
      </c>
      <c r="N61" s="149">
        <f t="shared" si="5"/>
        <v>0.48999999999999994</v>
      </c>
      <c r="O61" s="149">
        <f t="shared" si="6"/>
        <v>1807.8</v>
      </c>
      <c r="P61" s="149">
        <f t="shared" si="7"/>
        <v>2500790</v>
      </c>
      <c r="Q61">
        <f t="shared" si="8"/>
        <v>60260</v>
      </c>
    </row>
    <row r="62" spans="1:17" x14ac:dyDescent="0.25">
      <c r="A62" s="114">
        <v>61</v>
      </c>
      <c r="B62" s="114">
        <v>47.3</v>
      </c>
      <c r="C62" s="114">
        <v>2642</v>
      </c>
      <c r="D62" s="114">
        <v>2.5</v>
      </c>
      <c r="E62" s="114">
        <v>450</v>
      </c>
      <c r="F62" s="114">
        <v>9</v>
      </c>
      <c r="G62" s="114">
        <v>44</v>
      </c>
      <c r="H62" s="114">
        <v>10</v>
      </c>
      <c r="I62" s="149">
        <f t="shared" si="0"/>
        <v>6980164</v>
      </c>
      <c r="J62" s="149">
        <f t="shared" si="1"/>
        <v>6.25</v>
      </c>
      <c r="K62" s="149">
        <f t="shared" si="2"/>
        <v>202500</v>
      </c>
      <c r="L62" s="149">
        <f t="shared" si="3"/>
        <v>81</v>
      </c>
      <c r="M62" s="149">
        <f t="shared" si="4"/>
        <v>1936</v>
      </c>
      <c r="N62" s="149">
        <f t="shared" si="5"/>
        <v>100</v>
      </c>
      <c r="O62" s="149">
        <f t="shared" si="6"/>
        <v>6605</v>
      </c>
      <c r="P62" s="149">
        <f t="shared" si="7"/>
        <v>1188900</v>
      </c>
      <c r="Q62">
        <f t="shared" si="8"/>
        <v>23778</v>
      </c>
    </row>
    <row r="63" spans="1:17" x14ac:dyDescent="0.25">
      <c r="A63" s="114">
        <v>62</v>
      </c>
      <c r="B63" s="114">
        <v>41</v>
      </c>
      <c r="C63" s="114">
        <v>3480</v>
      </c>
      <c r="D63" s="114">
        <v>2.4</v>
      </c>
      <c r="E63" s="114">
        <v>265</v>
      </c>
      <c r="F63" s="114">
        <v>18</v>
      </c>
      <c r="G63" s="114">
        <v>43</v>
      </c>
      <c r="H63" s="114">
        <v>3.8</v>
      </c>
      <c r="I63" s="149">
        <f t="shared" si="0"/>
        <v>12110400</v>
      </c>
      <c r="J63" s="149">
        <f t="shared" si="1"/>
        <v>5.76</v>
      </c>
      <c r="K63" s="149">
        <f t="shared" si="2"/>
        <v>70225</v>
      </c>
      <c r="L63" s="149">
        <f t="shared" si="3"/>
        <v>324</v>
      </c>
      <c r="M63" s="149">
        <f t="shared" si="4"/>
        <v>1849</v>
      </c>
      <c r="N63" s="149">
        <f t="shared" si="5"/>
        <v>14.44</v>
      </c>
      <c r="O63" s="149">
        <f t="shared" si="6"/>
        <v>8352</v>
      </c>
      <c r="P63" s="149">
        <f t="shared" si="7"/>
        <v>922200</v>
      </c>
      <c r="Q63">
        <f t="shared" si="8"/>
        <v>62640</v>
      </c>
    </row>
    <row r="64" spans="1:17" x14ac:dyDescent="0.25">
      <c r="A64" s="114">
        <v>63</v>
      </c>
      <c r="B64" s="114">
        <v>51.1</v>
      </c>
      <c r="C64" s="114">
        <v>3227</v>
      </c>
      <c r="D64" s="114">
        <v>2.4</v>
      </c>
      <c r="E64" s="114">
        <v>711</v>
      </c>
      <c r="F64" s="114">
        <v>11</v>
      </c>
      <c r="G64" s="114">
        <v>37</v>
      </c>
      <c r="H64" s="114">
        <v>8.8000000000000007</v>
      </c>
      <c r="I64" s="149">
        <f t="shared" si="0"/>
        <v>10413529</v>
      </c>
      <c r="J64" s="149">
        <f t="shared" si="1"/>
        <v>5.76</v>
      </c>
      <c r="K64" s="149">
        <f t="shared" si="2"/>
        <v>505521</v>
      </c>
      <c r="L64" s="149">
        <f t="shared" si="3"/>
        <v>121</v>
      </c>
      <c r="M64" s="149">
        <f t="shared" si="4"/>
        <v>1369</v>
      </c>
      <c r="N64" s="149">
        <f t="shared" si="5"/>
        <v>77.440000000000012</v>
      </c>
      <c r="O64" s="149">
        <f t="shared" si="6"/>
        <v>7744.7999999999993</v>
      </c>
      <c r="P64" s="149">
        <f t="shared" si="7"/>
        <v>2294397</v>
      </c>
      <c r="Q64">
        <f t="shared" si="8"/>
        <v>35497</v>
      </c>
    </row>
    <row r="65" spans="1:17" x14ac:dyDescent="0.25">
      <c r="A65" s="114">
        <v>64</v>
      </c>
      <c r="B65" s="114">
        <v>52.1</v>
      </c>
      <c r="C65" s="114">
        <v>3140</v>
      </c>
      <c r="D65" s="114">
        <v>2.1</v>
      </c>
      <c r="E65" s="114">
        <v>433</v>
      </c>
      <c r="F65" s="114">
        <v>23.5</v>
      </c>
      <c r="G65" s="114">
        <v>40</v>
      </c>
      <c r="H65" s="114">
        <v>11.1</v>
      </c>
      <c r="I65" s="149">
        <f t="shared" si="0"/>
        <v>9859600</v>
      </c>
      <c r="J65" s="149">
        <f t="shared" si="1"/>
        <v>4.41</v>
      </c>
      <c r="K65" s="149">
        <f t="shared" si="2"/>
        <v>187489</v>
      </c>
      <c r="L65" s="149">
        <f t="shared" si="3"/>
        <v>552.25</v>
      </c>
      <c r="M65" s="149">
        <f t="shared" si="4"/>
        <v>1600</v>
      </c>
      <c r="N65" s="149">
        <f t="shared" si="5"/>
        <v>123.21</v>
      </c>
      <c r="O65" s="149">
        <f t="shared" si="6"/>
        <v>6594</v>
      </c>
      <c r="P65" s="149">
        <f t="shared" si="7"/>
        <v>1359620</v>
      </c>
      <c r="Q65">
        <f t="shared" si="8"/>
        <v>73790</v>
      </c>
    </row>
    <row r="66" spans="1:17" x14ac:dyDescent="0.25">
      <c r="A66" s="114">
        <v>65</v>
      </c>
      <c r="B66" s="114">
        <v>47.6</v>
      </c>
      <c r="C66" s="114">
        <v>2751</v>
      </c>
      <c r="D66" s="114">
        <v>1.3</v>
      </c>
      <c r="E66" s="114">
        <v>426</v>
      </c>
      <c r="F66" s="114">
        <v>10.5</v>
      </c>
      <c r="G66" s="114">
        <v>38</v>
      </c>
      <c r="H66" s="114">
        <v>5.7</v>
      </c>
      <c r="I66" s="149">
        <f t="shared" si="0"/>
        <v>7568001</v>
      </c>
      <c r="J66" s="149">
        <f t="shared" si="1"/>
        <v>1.6900000000000002</v>
      </c>
      <c r="K66" s="149">
        <f t="shared" si="2"/>
        <v>181476</v>
      </c>
      <c r="L66" s="149">
        <f t="shared" si="3"/>
        <v>110.25</v>
      </c>
      <c r="M66" s="149">
        <f t="shared" si="4"/>
        <v>1444</v>
      </c>
      <c r="N66" s="149">
        <f t="shared" si="5"/>
        <v>32.49</v>
      </c>
      <c r="O66" s="149">
        <f t="shared" si="6"/>
        <v>3576.3</v>
      </c>
      <c r="P66" s="149">
        <f t="shared" si="7"/>
        <v>1171926</v>
      </c>
      <c r="Q66">
        <f t="shared" si="8"/>
        <v>28885.5</v>
      </c>
    </row>
    <row r="67" spans="1:17" x14ac:dyDescent="0.25">
      <c r="A67" s="114">
        <v>66</v>
      </c>
      <c r="B67" s="114">
        <v>40.799999999999997</v>
      </c>
      <c r="C67" s="114">
        <v>2676</v>
      </c>
      <c r="D67" s="114">
        <v>1</v>
      </c>
      <c r="E67" s="114">
        <v>300</v>
      </c>
      <c r="F67" s="114">
        <v>25</v>
      </c>
      <c r="G67" s="114">
        <v>33</v>
      </c>
      <c r="H67" s="114">
        <v>9.6999999999999993</v>
      </c>
      <c r="I67" s="149">
        <f t="shared" ref="I67:I101" si="9">C67^2</f>
        <v>7160976</v>
      </c>
      <c r="J67" s="149">
        <f t="shared" ref="J67:J101" si="10">D67^2</f>
        <v>1</v>
      </c>
      <c r="K67" s="149">
        <f t="shared" ref="K67:K101" si="11">E67^2</f>
        <v>90000</v>
      </c>
      <c r="L67" s="149">
        <f t="shared" ref="L67:L101" si="12">F67^2</f>
        <v>625</v>
      </c>
      <c r="M67" s="149">
        <f t="shared" ref="M67:M101" si="13">G67^2</f>
        <v>1089</v>
      </c>
      <c r="N67" s="149">
        <f t="shared" ref="N67:N101" si="14">H67^2</f>
        <v>94.089999999999989</v>
      </c>
      <c r="O67" s="149">
        <f t="shared" ref="O67:O101" si="15">C67*D67</f>
        <v>2676</v>
      </c>
      <c r="P67" s="149">
        <f t="shared" ref="P67:P101" si="16">C67*E67</f>
        <v>802800</v>
      </c>
      <c r="Q67">
        <f t="shared" ref="Q67:Q101" si="17">C67*F67</f>
        <v>66900</v>
      </c>
    </row>
    <row r="68" spans="1:17" x14ac:dyDescent="0.25">
      <c r="A68" s="114">
        <v>67</v>
      </c>
      <c r="B68" s="114">
        <v>52.2</v>
      </c>
      <c r="C68" s="114">
        <v>2879</v>
      </c>
      <c r="D68" s="114">
        <v>2.2000000000000002</v>
      </c>
      <c r="E68" s="114">
        <v>747</v>
      </c>
      <c r="F68" s="114">
        <v>19.5</v>
      </c>
      <c r="G68" s="114">
        <v>38</v>
      </c>
      <c r="H68" s="114">
        <v>11.9</v>
      </c>
      <c r="I68" s="149">
        <f t="shared" si="9"/>
        <v>8288641</v>
      </c>
      <c r="J68" s="149">
        <f t="shared" si="10"/>
        <v>4.8400000000000007</v>
      </c>
      <c r="K68" s="149">
        <f t="shared" si="11"/>
        <v>558009</v>
      </c>
      <c r="L68" s="149">
        <f t="shared" si="12"/>
        <v>380.25</v>
      </c>
      <c r="M68" s="149">
        <f t="shared" si="13"/>
        <v>1444</v>
      </c>
      <c r="N68" s="149">
        <f t="shared" si="14"/>
        <v>141.61000000000001</v>
      </c>
      <c r="O68" s="149">
        <f t="shared" si="15"/>
        <v>6333.8</v>
      </c>
      <c r="P68" s="149">
        <f t="shared" si="16"/>
        <v>2150613</v>
      </c>
      <c r="Q68">
        <f t="shared" si="17"/>
        <v>56140.5</v>
      </c>
    </row>
    <row r="69" spans="1:17" x14ac:dyDescent="0.25">
      <c r="A69" s="114">
        <v>68</v>
      </c>
      <c r="B69" s="114">
        <v>60.1</v>
      </c>
      <c r="C69" s="114">
        <v>2619</v>
      </c>
      <c r="D69" s="114">
        <v>1.4</v>
      </c>
      <c r="E69" s="114">
        <v>683</v>
      </c>
      <c r="F69" s="114">
        <v>12</v>
      </c>
      <c r="G69" s="114">
        <v>43</v>
      </c>
      <c r="H69" s="114">
        <v>8</v>
      </c>
      <c r="I69" s="149">
        <f t="shared" si="9"/>
        <v>6859161</v>
      </c>
      <c r="J69" s="149">
        <f t="shared" si="10"/>
        <v>1.9599999999999997</v>
      </c>
      <c r="K69" s="149">
        <f t="shared" si="11"/>
        <v>466489</v>
      </c>
      <c r="L69" s="149">
        <f t="shared" si="12"/>
        <v>144</v>
      </c>
      <c r="M69" s="149">
        <f t="shared" si="13"/>
        <v>1849</v>
      </c>
      <c r="N69" s="149">
        <f t="shared" si="14"/>
        <v>64</v>
      </c>
      <c r="O69" s="149">
        <f t="shared" si="15"/>
        <v>3666.6</v>
      </c>
      <c r="P69" s="149">
        <f t="shared" si="16"/>
        <v>1788777</v>
      </c>
      <c r="Q69">
        <f t="shared" si="17"/>
        <v>31428</v>
      </c>
    </row>
    <row r="70" spans="1:17" x14ac:dyDescent="0.25">
      <c r="A70" s="114">
        <v>69</v>
      </c>
      <c r="B70" s="114">
        <v>52</v>
      </c>
      <c r="C70" s="114">
        <v>3354</v>
      </c>
      <c r="D70" s="114">
        <v>2.2999999999999998</v>
      </c>
      <c r="E70" s="114">
        <v>614</v>
      </c>
      <c r="F70" s="114">
        <v>26.5</v>
      </c>
      <c r="G70" s="114">
        <v>37</v>
      </c>
      <c r="H70" s="114">
        <v>7.6</v>
      </c>
      <c r="I70" s="149">
        <f t="shared" si="9"/>
        <v>11249316</v>
      </c>
      <c r="J70" s="149">
        <f t="shared" si="10"/>
        <v>5.2899999999999991</v>
      </c>
      <c r="K70" s="149">
        <f t="shared" si="11"/>
        <v>376996</v>
      </c>
      <c r="L70" s="149">
        <f t="shared" si="12"/>
        <v>702.25</v>
      </c>
      <c r="M70" s="149">
        <f t="shared" si="13"/>
        <v>1369</v>
      </c>
      <c r="N70" s="149">
        <f t="shared" si="14"/>
        <v>57.76</v>
      </c>
      <c r="O70" s="149">
        <f t="shared" si="15"/>
        <v>7714.2</v>
      </c>
      <c r="P70" s="149">
        <f t="shared" si="16"/>
        <v>2059356</v>
      </c>
      <c r="Q70">
        <f t="shared" si="17"/>
        <v>88881</v>
      </c>
    </row>
    <row r="71" spans="1:17" x14ac:dyDescent="0.25">
      <c r="A71" s="114">
        <v>70</v>
      </c>
      <c r="B71" s="114">
        <v>51.2</v>
      </c>
      <c r="C71" s="114">
        <v>3082</v>
      </c>
      <c r="D71" s="114">
        <v>2.8</v>
      </c>
      <c r="E71" s="114">
        <v>637</v>
      </c>
      <c r="F71" s="114">
        <v>22</v>
      </c>
      <c r="G71" s="114">
        <v>34</v>
      </c>
      <c r="H71" s="114">
        <v>3.6</v>
      </c>
      <c r="I71" s="149">
        <f t="shared" si="9"/>
        <v>9498724</v>
      </c>
      <c r="J71" s="149">
        <f t="shared" si="10"/>
        <v>7.839999999999999</v>
      </c>
      <c r="K71" s="149">
        <f t="shared" si="11"/>
        <v>405769</v>
      </c>
      <c r="L71" s="149">
        <f t="shared" si="12"/>
        <v>484</v>
      </c>
      <c r="M71" s="149">
        <f t="shared" si="13"/>
        <v>1156</v>
      </c>
      <c r="N71" s="149">
        <f t="shared" si="14"/>
        <v>12.96</v>
      </c>
      <c r="O71" s="149">
        <f t="shared" si="15"/>
        <v>8629.5999999999985</v>
      </c>
      <c r="P71" s="149">
        <f t="shared" si="16"/>
        <v>1963234</v>
      </c>
      <c r="Q71">
        <f t="shared" si="17"/>
        <v>67804</v>
      </c>
    </row>
    <row r="72" spans="1:17" x14ac:dyDescent="0.25">
      <c r="A72" s="114">
        <v>71</v>
      </c>
      <c r="B72" s="114">
        <v>51.2</v>
      </c>
      <c r="C72" s="114">
        <v>2775</v>
      </c>
      <c r="D72" s="114">
        <v>1.8</v>
      </c>
      <c r="E72" s="114">
        <v>497</v>
      </c>
      <c r="F72" s="114">
        <v>15</v>
      </c>
      <c r="G72" s="114">
        <v>35</v>
      </c>
      <c r="H72" s="114">
        <v>9.1999999999999993</v>
      </c>
      <c r="I72" s="149">
        <f t="shared" si="9"/>
        <v>7700625</v>
      </c>
      <c r="J72" s="149">
        <f t="shared" si="10"/>
        <v>3.24</v>
      </c>
      <c r="K72" s="149">
        <f t="shared" si="11"/>
        <v>247009</v>
      </c>
      <c r="L72" s="149">
        <f t="shared" si="12"/>
        <v>225</v>
      </c>
      <c r="M72" s="149">
        <f t="shared" si="13"/>
        <v>1225</v>
      </c>
      <c r="N72" s="149">
        <f t="shared" si="14"/>
        <v>84.639999999999986</v>
      </c>
      <c r="O72" s="149">
        <f t="shared" si="15"/>
        <v>4995</v>
      </c>
      <c r="P72" s="149">
        <f t="shared" si="16"/>
        <v>1379175</v>
      </c>
      <c r="Q72">
        <f t="shared" si="17"/>
        <v>41625</v>
      </c>
    </row>
    <row r="73" spans="1:17" x14ac:dyDescent="0.25">
      <c r="A73" s="114">
        <v>72</v>
      </c>
      <c r="B73" s="114">
        <v>44</v>
      </c>
      <c r="C73" s="114">
        <v>2813</v>
      </c>
      <c r="D73" s="114">
        <v>0.5</v>
      </c>
      <c r="E73" s="114">
        <v>233</v>
      </c>
      <c r="F73" s="114">
        <v>15</v>
      </c>
      <c r="G73" s="114">
        <v>41</v>
      </c>
      <c r="H73" s="114">
        <v>3</v>
      </c>
      <c r="I73" s="149">
        <f t="shared" si="9"/>
        <v>7912969</v>
      </c>
      <c r="J73" s="149">
        <f t="shared" si="10"/>
        <v>0.25</v>
      </c>
      <c r="K73" s="149">
        <f t="shared" si="11"/>
        <v>54289</v>
      </c>
      <c r="L73" s="149">
        <f t="shared" si="12"/>
        <v>225</v>
      </c>
      <c r="M73" s="149">
        <f t="shared" si="13"/>
        <v>1681</v>
      </c>
      <c r="N73" s="149">
        <f t="shared" si="14"/>
        <v>9</v>
      </c>
      <c r="O73" s="149">
        <f t="shared" si="15"/>
        <v>1406.5</v>
      </c>
      <c r="P73" s="149">
        <f t="shared" si="16"/>
        <v>655429</v>
      </c>
      <c r="Q73">
        <f t="shared" si="17"/>
        <v>42195</v>
      </c>
    </row>
    <row r="74" spans="1:17" x14ac:dyDescent="0.25">
      <c r="A74" s="114">
        <v>73</v>
      </c>
      <c r="B74" s="114">
        <v>49.6</v>
      </c>
      <c r="C74" s="114">
        <v>3359</v>
      </c>
      <c r="D74" s="114">
        <v>2.7</v>
      </c>
      <c r="E74" s="114">
        <v>473</v>
      </c>
      <c r="F74" s="114">
        <v>10.5</v>
      </c>
      <c r="G74" s="114">
        <v>30</v>
      </c>
      <c r="H74" s="114">
        <v>12.2</v>
      </c>
      <c r="I74" s="149">
        <f t="shared" si="9"/>
        <v>11282881</v>
      </c>
      <c r="J74" s="149">
        <f t="shared" si="10"/>
        <v>7.2900000000000009</v>
      </c>
      <c r="K74" s="149">
        <f t="shared" si="11"/>
        <v>223729</v>
      </c>
      <c r="L74" s="149">
        <f t="shared" si="12"/>
        <v>110.25</v>
      </c>
      <c r="M74" s="149">
        <f t="shared" si="13"/>
        <v>900</v>
      </c>
      <c r="N74" s="149">
        <f t="shared" si="14"/>
        <v>148.83999999999997</v>
      </c>
      <c r="O74" s="149">
        <f t="shared" si="15"/>
        <v>9069.3000000000011</v>
      </c>
      <c r="P74" s="149">
        <f t="shared" si="16"/>
        <v>1588807</v>
      </c>
      <c r="Q74">
        <f t="shared" si="17"/>
        <v>35269.5</v>
      </c>
    </row>
    <row r="75" spans="1:17" x14ac:dyDescent="0.25">
      <c r="A75" s="114">
        <v>74</v>
      </c>
      <c r="B75" s="114">
        <v>47.5</v>
      </c>
      <c r="C75" s="114">
        <v>3080</v>
      </c>
      <c r="D75" s="114">
        <v>2.4</v>
      </c>
      <c r="E75" s="114">
        <v>488</v>
      </c>
      <c r="F75" s="114">
        <v>13.5</v>
      </c>
      <c r="G75" s="114">
        <v>31</v>
      </c>
      <c r="H75" s="114">
        <v>6.7</v>
      </c>
      <c r="I75" s="149">
        <f t="shared" si="9"/>
        <v>9486400</v>
      </c>
      <c r="J75" s="149">
        <f t="shared" si="10"/>
        <v>5.76</v>
      </c>
      <c r="K75" s="149">
        <f t="shared" si="11"/>
        <v>238144</v>
      </c>
      <c r="L75" s="149">
        <f t="shared" si="12"/>
        <v>182.25</v>
      </c>
      <c r="M75" s="149">
        <f t="shared" si="13"/>
        <v>961</v>
      </c>
      <c r="N75" s="149">
        <f t="shared" si="14"/>
        <v>44.89</v>
      </c>
      <c r="O75" s="149">
        <f t="shared" si="15"/>
        <v>7392</v>
      </c>
      <c r="P75" s="149">
        <f t="shared" si="16"/>
        <v>1503040</v>
      </c>
      <c r="Q75">
        <f t="shared" si="17"/>
        <v>41580</v>
      </c>
    </row>
    <row r="76" spans="1:17" x14ac:dyDescent="0.25">
      <c r="A76" s="114">
        <v>75</v>
      </c>
      <c r="B76" s="114">
        <v>54.4</v>
      </c>
      <c r="C76" s="114">
        <v>2756</v>
      </c>
      <c r="D76" s="114">
        <v>1.1000000000000001</v>
      </c>
      <c r="E76" s="114">
        <v>832</v>
      </c>
      <c r="F76" s="114">
        <v>14.5</v>
      </c>
      <c r="G76" s="114">
        <v>35</v>
      </c>
      <c r="H76" s="114">
        <v>6.9</v>
      </c>
      <c r="I76" s="149">
        <f t="shared" si="9"/>
        <v>7595536</v>
      </c>
      <c r="J76" s="149">
        <f t="shared" si="10"/>
        <v>1.2100000000000002</v>
      </c>
      <c r="K76" s="149">
        <f t="shared" si="11"/>
        <v>692224</v>
      </c>
      <c r="L76" s="149">
        <f t="shared" si="12"/>
        <v>210.25</v>
      </c>
      <c r="M76" s="149">
        <f t="shared" si="13"/>
        <v>1225</v>
      </c>
      <c r="N76" s="149">
        <f t="shared" si="14"/>
        <v>47.610000000000007</v>
      </c>
      <c r="O76" s="149">
        <f t="shared" si="15"/>
        <v>3031.6000000000004</v>
      </c>
      <c r="P76" s="149">
        <f t="shared" si="16"/>
        <v>2292992</v>
      </c>
      <c r="Q76">
        <f t="shared" si="17"/>
        <v>39962</v>
      </c>
    </row>
    <row r="77" spans="1:17" x14ac:dyDescent="0.25">
      <c r="A77" s="114">
        <v>76</v>
      </c>
      <c r="B77" s="114">
        <v>46.2</v>
      </c>
      <c r="C77" s="114">
        <v>2244</v>
      </c>
      <c r="D77" s="114">
        <v>0.7</v>
      </c>
      <c r="E77" s="114">
        <v>496</v>
      </c>
      <c r="F77" s="114">
        <v>15.5</v>
      </c>
      <c r="G77" s="114">
        <v>38</v>
      </c>
      <c r="H77" s="114">
        <v>8.9</v>
      </c>
      <c r="I77" s="149">
        <f t="shared" si="9"/>
        <v>5035536</v>
      </c>
      <c r="J77" s="149">
        <f t="shared" si="10"/>
        <v>0.48999999999999994</v>
      </c>
      <c r="K77" s="149">
        <f t="shared" si="11"/>
        <v>246016</v>
      </c>
      <c r="L77" s="149">
        <f t="shared" si="12"/>
        <v>240.25</v>
      </c>
      <c r="M77" s="149">
        <f t="shared" si="13"/>
        <v>1444</v>
      </c>
      <c r="N77" s="149">
        <f t="shared" si="14"/>
        <v>79.210000000000008</v>
      </c>
      <c r="O77" s="149">
        <f t="shared" si="15"/>
        <v>1570.8</v>
      </c>
      <c r="P77" s="149">
        <f t="shared" si="16"/>
        <v>1113024</v>
      </c>
      <c r="Q77">
        <f t="shared" si="17"/>
        <v>34782</v>
      </c>
    </row>
    <row r="78" spans="1:17" x14ac:dyDescent="0.25">
      <c r="A78" s="114">
        <v>77</v>
      </c>
      <c r="B78" s="114">
        <v>54.1</v>
      </c>
      <c r="C78" s="114">
        <v>2862</v>
      </c>
      <c r="D78" s="114">
        <v>1.4</v>
      </c>
      <c r="E78" s="114">
        <v>809</v>
      </c>
      <c r="F78" s="114">
        <v>16.5</v>
      </c>
      <c r="G78" s="114">
        <v>33</v>
      </c>
      <c r="H78" s="114">
        <v>3</v>
      </c>
      <c r="I78" s="149">
        <f t="shared" si="9"/>
        <v>8191044</v>
      </c>
      <c r="J78" s="149">
        <f t="shared" si="10"/>
        <v>1.9599999999999997</v>
      </c>
      <c r="K78" s="149">
        <f t="shared" si="11"/>
        <v>654481</v>
      </c>
      <c r="L78" s="149">
        <f t="shared" si="12"/>
        <v>272.25</v>
      </c>
      <c r="M78" s="149">
        <f t="shared" si="13"/>
        <v>1089</v>
      </c>
      <c r="N78" s="149">
        <f t="shared" si="14"/>
        <v>9</v>
      </c>
      <c r="O78" s="149">
        <f t="shared" si="15"/>
        <v>4006.7999999999997</v>
      </c>
      <c r="P78" s="149">
        <f t="shared" si="16"/>
        <v>2315358</v>
      </c>
      <c r="Q78">
        <f t="shared" si="17"/>
        <v>47223</v>
      </c>
    </row>
    <row r="79" spans="1:17" x14ac:dyDescent="0.25">
      <c r="A79" s="114">
        <v>78</v>
      </c>
      <c r="B79" s="114">
        <v>43.5</v>
      </c>
      <c r="C79" s="114">
        <v>3198</v>
      </c>
      <c r="D79" s="114">
        <v>2.5</v>
      </c>
      <c r="E79" s="114">
        <v>548</v>
      </c>
      <c r="F79" s="114">
        <v>17</v>
      </c>
      <c r="G79" s="114">
        <v>38</v>
      </c>
      <c r="H79" s="114">
        <v>10.199999999999999</v>
      </c>
      <c r="I79" s="149">
        <f t="shared" si="9"/>
        <v>10227204</v>
      </c>
      <c r="J79" s="149">
        <f t="shared" si="10"/>
        <v>6.25</v>
      </c>
      <c r="K79" s="149">
        <f t="shared" si="11"/>
        <v>300304</v>
      </c>
      <c r="L79" s="149">
        <f t="shared" si="12"/>
        <v>289</v>
      </c>
      <c r="M79" s="149">
        <f t="shared" si="13"/>
        <v>1444</v>
      </c>
      <c r="N79" s="149">
        <f t="shared" si="14"/>
        <v>104.03999999999999</v>
      </c>
      <c r="O79" s="149">
        <f t="shared" si="15"/>
        <v>7995</v>
      </c>
      <c r="P79" s="149">
        <f t="shared" si="16"/>
        <v>1752504</v>
      </c>
      <c r="Q79">
        <f t="shared" si="17"/>
        <v>54366</v>
      </c>
    </row>
    <row r="80" spans="1:17" x14ac:dyDescent="0.25">
      <c r="A80" s="114">
        <v>79</v>
      </c>
      <c r="B80" s="114">
        <v>52.7</v>
      </c>
      <c r="C80" s="114">
        <v>3378</v>
      </c>
      <c r="D80" s="114">
        <v>1</v>
      </c>
      <c r="E80" s="114">
        <v>815</v>
      </c>
      <c r="F80" s="114">
        <v>10</v>
      </c>
      <c r="G80" s="114">
        <v>40</v>
      </c>
      <c r="H80" s="114">
        <v>7.2</v>
      </c>
      <c r="I80" s="149">
        <f t="shared" si="9"/>
        <v>11410884</v>
      </c>
      <c r="J80" s="149">
        <f t="shared" si="10"/>
        <v>1</v>
      </c>
      <c r="K80" s="149">
        <f t="shared" si="11"/>
        <v>664225</v>
      </c>
      <c r="L80" s="149">
        <f t="shared" si="12"/>
        <v>100</v>
      </c>
      <c r="M80" s="149">
        <f t="shared" si="13"/>
        <v>1600</v>
      </c>
      <c r="N80" s="149">
        <f t="shared" si="14"/>
        <v>51.84</v>
      </c>
      <c r="O80" s="149">
        <f t="shared" si="15"/>
        <v>3378</v>
      </c>
      <c r="P80" s="149">
        <f t="shared" si="16"/>
        <v>2753070</v>
      </c>
      <c r="Q80">
        <f t="shared" si="17"/>
        <v>33780</v>
      </c>
    </row>
    <row r="81" spans="1:17" x14ac:dyDescent="0.25">
      <c r="A81" s="114">
        <v>80</v>
      </c>
      <c r="B81" s="114">
        <v>49.5</v>
      </c>
      <c r="C81" s="114">
        <v>2726</v>
      </c>
      <c r="D81" s="114">
        <v>3.1</v>
      </c>
      <c r="E81" s="114">
        <v>464</v>
      </c>
      <c r="F81" s="114">
        <v>19</v>
      </c>
      <c r="G81" s="114">
        <v>38</v>
      </c>
      <c r="H81" s="114">
        <v>5.5</v>
      </c>
      <c r="I81" s="149">
        <f t="shared" si="9"/>
        <v>7431076</v>
      </c>
      <c r="J81" s="149">
        <f t="shared" si="10"/>
        <v>9.6100000000000012</v>
      </c>
      <c r="K81" s="149">
        <f t="shared" si="11"/>
        <v>215296</v>
      </c>
      <c r="L81" s="149">
        <f t="shared" si="12"/>
        <v>361</v>
      </c>
      <c r="M81" s="149">
        <f t="shared" si="13"/>
        <v>1444</v>
      </c>
      <c r="N81" s="149">
        <f t="shared" si="14"/>
        <v>30.25</v>
      </c>
      <c r="O81" s="149">
        <f t="shared" si="15"/>
        <v>8450.6</v>
      </c>
      <c r="P81" s="149">
        <f t="shared" si="16"/>
        <v>1264864</v>
      </c>
      <c r="Q81">
        <f t="shared" si="17"/>
        <v>51794</v>
      </c>
    </row>
    <row r="82" spans="1:17" x14ac:dyDescent="0.25">
      <c r="A82" s="114">
        <v>81</v>
      </c>
      <c r="B82" s="114">
        <v>43.4</v>
      </c>
      <c r="C82" s="114">
        <v>3597</v>
      </c>
      <c r="D82" s="114">
        <v>0.4</v>
      </c>
      <c r="E82" s="114">
        <v>616</v>
      </c>
      <c r="F82" s="114">
        <v>15.5</v>
      </c>
      <c r="G82" s="114">
        <v>39</v>
      </c>
      <c r="H82" s="114">
        <v>1.6</v>
      </c>
      <c r="I82" s="149">
        <f t="shared" si="9"/>
        <v>12938409</v>
      </c>
      <c r="J82" s="149">
        <f t="shared" si="10"/>
        <v>0.16000000000000003</v>
      </c>
      <c r="K82" s="149">
        <f t="shared" si="11"/>
        <v>379456</v>
      </c>
      <c r="L82" s="149">
        <f t="shared" si="12"/>
        <v>240.25</v>
      </c>
      <c r="M82" s="149">
        <f t="shared" si="13"/>
        <v>1521</v>
      </c>
      <c r="N82" s="149">
        <f t="shared" si="14"/>
        <v>2.5600000000000005</v>
      </c>
      <c r="O82" s="149">
        <f t="shared" si="15"/>
        <v>1438.8000000000002</v>
      </c>
      <c r="P82" s="149">
        <f t="shared" si="16"/>
        <v>2215752</v>
      </c>
      <c r="Q82">
        <f t="shared" si="17"/>
        <v>55753.5</v>
      </c>
    </row>
    <row r="83" spans="1:17" x14ac:dyDescent="0.25">
      <c r="A83" s="114">
        <v>82</v>
      </c>
      <c r="B83" s="114">
        <v>33.5</v>
      </c>
      <c r="C83" s="114">
        <v>3657</v>
      </c>
      <c r="D83" s="114">
        <v>2.8</v>
      </c>
      <c r="E83" s="114">
        <v>372</v>
      </c>
      <c r="F83" s="114">
        <v>18</v>
      </c>
      <c r="G83" s="114">
        <v>46</v>
      </c>
      <c r="H83" s="114">
        <v>11.3</v>
      </c>
      <c r="I83" s="149">
        <f t="shared" si="9"/>
        <v>13373649</v>
      </c>
      <c r="J83" s="149">
        <f t="shared" si="10"/>
        <v>7.839999999999999</v>
      </c>
      <c r="K83" s="149">
        <f t="shared" si="11"/>
        <v>138384</v>
      </c>
      <c r="L83" s="149">
        <f t="shared" si="12"/>
        <v>324</v>
      </c>
      <c r="M83" s="149">
        <f t="shared" si="13"/>
        <v>2116</v>
      </c>
      <c r="N83" s="149">
        <f t="shared" si="14"/>
        <v>127.69000000000001</v>
      </c>
      <c r="O83" s="149">
        <f t="shared" si="15"/>
        <v>10239.599999999999</v>
      </c>
      <c r="P83" s="149">
        <f t="shared" si="16"/>
        <v>1360404</v>
      </c>
      <c r="Q83">
        <f t="shared" si="17"/>
        <v>65826</v>
      </c>
    </row>
    <row r="84" spans="1:17" x14ac:dyDescent="0.25">
      <c r="A84" s="114">
        <v>83</v>
      </c>
      <c r="B84" s="114">
        <v>46.3</v>
      </c>
      <c r="C84" s="114">
        <v>2554</v>
      </c>
      <c r="D84" s="114">
        <v>2.2000000000000002</v>
      </c>
      <c r="E84" s="114">
        <v>585</v>
      </c>
      <c r="F84" s="114">
        <v>10</v>
      </c>
      <c r="G84" s="114">
        <v>42</v>
      </c>
      <c r="H84" s="114">
        <v>4.9000000000000004</v>
      </c>
      <c r="I84" s="149">
        <f t="shared" si="9"/>
        <v>6522916</v>
      </c>
      <c r="J84" s="149">
        <f t="shared" si="10"/>
        <v>4.8400000000000007</v>
      </c>
      <c r="K84" s="149">
        <f t="shared" si="11"/>
        <v>342225</v>
      </c>
      <c r="L84" s="149">
        <f t="shared" si="12"/>
        <v>100</v>
      </c>
      <c r="M84" s="149">
        <f t="shared" si="13"/>
        <v>1764</v>
      </c>
      <c r="N84" s="149">
        <f t="shared" si="14"/>
        <v>24.010000000000005</v>
      </c>
      <c r="O84" s="149">
        <f t="shared" si="15"/>
        <v>5618.8</v>
      </c>
      <c r="P84" s="149">
        <f t="shared" si="16"/>
        <v>1494090</v>
      </c>
      <c r="Q84">
        <f t="shared" si="17"/>
        <v>25540</v>
      </c>
    </row>
    <row r="85" spans="1:17" x14ac:dyDescent="0.25">
      <c r="A85" s="114">
        <v>84</v>
      </c>
      <c r="B85" s="114">
        <v>42.9</v>
      </c>
      <c r="C85" s="114">
        <v>3838</v>
      </c>
      <c r="D85" s="114">
        <v>1.9</v>
      </c>
      <c r="E85" s="114">
        <v>875</v>
      </c>
      <c r="F85" s="114">
        <v>10</v>
      </c>
      <c r="G85" s="114">
        <v>34</v>
      </c>
      <c r="H85" s="114">
        <v>11.9</v>
      </c>
      <c r="I85" s="149">
        <f t="shared" si="9"/>
        <v>14730244</v>
      </c>
      <c r="J85" s="149">
        <f t="shared" si="10"/>
        <v>3.61</v>
      </c>
      <c r="K85" s="149">
        <f t="shared" si="11"/>
        <v>765625</v>
      </c>
      <c r="L85" s="149">
        <f t="shared" si="12"/>
        <v>100</v>
      </c>
      <c r="M85" s="149">
        <f t="shared" si="13"/>
        <v>1156</v>
      </c>
      <c r="N85" s="149">
        <f t="shared" si="14"/>
        <v>141.61000000000001</v>
      </c>
      <c r="O85" s="149">
        <f t="shared" si="15"/>
        <v>7292.2</v>
      </c>
      <c r="P85" s="149">
        <f t="shared" si="16"/>
        <v>3358250</v>
      </c>
      <c r="Q85">
        <f t="shared" si="17"/>
        <v>38380</v>
      </c>
    </row>
    <row r="86" spans="1:17" x14ac:dyDescent="0.25">
      <c r="A86" s="114">
        <v>85</v>
      </c>
      <c r="B86" s="114">
        <v>27.3</v>
      </c>
      <c r="C86" s="114">
        <v>4214</v>
      </c>
      <c r="D86" s="114">
        <v>1.9</v>
      </c>
      <c r="E86" s="114">
        <v>358</v>
      </c>
      <c r="F86" s="114">
        <v>16</v>
      </c>
      <c r="G86" s="114">
        <v>40</v>
      </c>
      <c r="H86" s="114">
        <v>9.1999999999999993</v>
      </c>
      <c r="I86" s="149">
        <f t="shared" si="9"/>
        <v>17757796</v>
      </c>
      <c r="J86" s="149">
        <f t="shared" si="10"/>
        <v>3.61</v>
      </c>
      <c r="K86" s="149">
        <f t="shared" si="11"/>
        <v>128164</v>
      </c>
      <c r="L86" s="149">
        <f t="shared" si="12"/>
        <v>256</v>
      </c>
      <c r="M86" s="149">
        <f t="shared" si="13"/>
        <v>1600</v>
      </c>
      <c r="N86" s="149">
        <f t="shared" si="14"/>
        <v>84.639999999999986</v>
      </c>
      <c r="O86" s="149">
        <f t="shared" si="15"/>
        <v>8006.5999999999995</v>
      </c>
      <c r="P86" s="149">
        <f t="shared" si="16"/>
        <v>1508612</v>
      </c>
      <c r="Q86">
        <f t="shared" si="17"/>
        <v>67424</v>
      </c>
    </row>
    <row r="87" spans="1:17" x14ac:dyDescent="0.25">
      <c r="A87" s="114">
        <v>86</v>
      </c>
      <c r="B87" s="114">
        <v>41.6</v>
      </c>
      <c r="C87" s="114">
        <v>2776</v>
      </c>
      <c r="D87" s="114">
        <v>2.2000000000000002</v>
      </c>
      <c r="E87" s="114">
        <v>360</v>
      </c>
      <c r="F87" s="114">
        <v>16</v>
      </c>
      <c r="G87" s="114">
        <v>43</v>
      </c>
      <c r="H87" s="114">
        <v>7.5</v>
      </c>
      <c r="I87" s="149">
        <f t="shared" si="9"/>
        <v>7706176</v>
      </c>
      <c r="J87" s="149">
        <f t="shared" si="10"/>
        <v>4.8400000000000007</v>
      </c>
      <c r="K87" s="149">
        <f t="shared" si="11"/>
        <v>129600</v>
      </c>
      <c r="L87" s="149">
        <f t="shared" si="12"/>
        <v>256</v>
      </c>
      <c r="M87" s="149">
        <f t="shared" si="13"/>
        <v>1849</v>
      </c>
      <c r="N87" s="149">
        <f t="shared" si="14"/>
        <v>56.25</v>
      </c>
      <c r="O87" s="149">
        <f t="shared" si="15"/>
        <v>6107.2000000000007</v>
      </c>
      <c r="P87" s="149">
        <f t="shared" si="16"/>
        <v>999360</v>
      </c>
      <c r="Q87">
        <f t="shared" si="17"/>
        <v>44416</v>
      </c>
    </row>
    <row r="88" spans="1:17" x14ac:dyDescent="0.25">
      <c r="A88" s="114">
        <v>87</v>
      </c>
      <c r="B88" s="114">
        <v>49</v>
      </c>
      <c r="C88" s="114">
        <v>1998</v>
      </c>
      <c r="D88" s="114">
        <v>0.7</v>
      </c>
      <c r="E88" s="114">
        <v>461</v>
      </c>
      <c r="F88" s="114">
        <v>19</v>
      </c>
      <c r="G88" s="114">
        <v>33</v>
      </c>
      <c r="H88" s="114">
        <v>9.9</v>
      </c>
      <c r="I88" s="149">
        <f t="shared" si="9"/>
        <v>3992004</v>
      </c>
      <c r="J88" s="149">
        <f t="shared" si="10"/>
        <v>0.48999999999999994</v>
      </c>
      <c r="K88" s="149">
        <f t="shared" si="11"/>
        <v>212521</v>
      </c>
      <c r="L88" s="149">
        <f t="shared" si="12"/>
        <v>361</v>
      </c>
      <c r="M88" s="149">
        <f t="shared" si="13"/>
        <v>1089</v>
      </c>
      <c r="N88" s="149">
        <f t="shared" si="14"/>
        <v>98.01</v>
      </c>
      <c r="O88" s="149">
        <f t="shared" si="15"/>
        <v>1398.6</v>
      </c>
      <c r="P88" s="149">
        <f t="shared" si="16"/>
        <v>921078</v>
      </c>
      <c r="Q88">
        <f t="shared" si="17"/>
        <v>37962</v>
      </c>
    </row>
    <row r="89" spans="1:17" x14ac:dyDescent="0.25">
      <c r="A89" s="114">
        <v>88</v>
      </c>
      <c r="B89" s="114">
        <v>55.4</v>
      </c>
      <c r="C89" s="114">
        <v>2790</v>
      </c>
      <c r="D89" s="114">
        <v>2.7</v>
      </c>
      <c r="E89" s="114">
        <v>645</v>
      </c>
      <c r="F89" s="114">
        <v>12</v>
      </c>
      <c r="G89" s="114">
        <v>37</v>
      </c>
      <c r="H89" s="114">
        <v>5.7</v>
      </c>
      <c r="I89" s="149">
        <f t="shared" si="9"/>
        <v>7784100</v>
      </c>
      <c r="J89" s="149">
        <f t="shared" si="10"/>
        <v>7.2900000000000009</v>
      </c>
      <c r="K89" s="149">
        <f t="shared" si="11"/>
        <v>416025</v>
      </c>
      <c r="L89" s="149">
        <f t="shared" si="12"/>
        <v>144</v>
      </c>
      <c r="M89" s="149">
        <f t="shared" si="13"/>
        <v>1369</v>
      </c>
      <c r="N89" s="149">
        <f t="shared" si="14"/>
        <v>32.49</v>
      </c>
      <c r="O89" s="149">
        <f t="shared" si="15"/>
        <v>7533.0000000000009</v>
      </c>
      <c r="P89" s="149">
        <f t="shared" si="16"/>
        <v>1799550</v>
      </c>
      <c r="Q89">
        <f t="shared" si="17"/>
        <v>33480</v>
      </c>
    </row>
    <row r="90" spans="1:17" x14ac:dyDescent="0.25">
      <c r="A90" s="114">
        <v>89</v>
      </c>
      <c r="B90" s="114">
        <v>54.1</v>
      </c>
      <c r="C90" s="114">
        <v>2432</v>
      </c>
      <c r="D90" s="114">
        <v>1.4</v>
      </c>
      <c r="E90" s="114">
        <v>370</v>
      </c>
      <c r="F90" s="114">
        <v>17.5</v>
      </c>
      <c r="G90" s="114">
        <v>39</v>
      </c>
      <c r="H90" s="114">
        <v>4.5</v>
      </c>
      <c r="I90" s="149">
        <f t="shared" si="9"/>
        <v>5914624</v>
      </c>
      <c r="J90" s="149">
        <f t="shared" si="10"/>
        <v>1.9599999999999997</v>
      </c>
      <c r="K90" s="149">
        <f t="shared" si="11"/>
        <v>136900</v>
      </c>
      <c r="L90" s="149">
        <f t="shared" si="12"/>
        <v>306.25</v>
      </c>
      <c r="M90" s="149">
        <f t="shared" si="13"/>
        <v>1521</v>
      </c>
      <c r="N90" s="149">
        <f t="shared" si="14"/>
        <v>20.25</v>
      </c>
      <c r="O90" s="149">
        <f t="shared" si="15"/>
        <v>3404.7999999999997</v>
      </c>
      <c r="P90" s="149">
        <f t="shared" si="16"/>
        <v>899840</v>
      </c>
      <c r="Q90">
        <f t="shared" si="17"/>
        <v>42560</v>
      </c>
    </row>
    <row r="91" spans="1:17" x14ac:dyDescent="0.25">
      <c r="A91" s="114">
        <v>90</v>
      </c>
      <c r="B91" s="114">
        <v>32.4</v>
      </c>
      <c r="C91" s="114">
        <v>3124</v>
      </c>
      <c r="D91" s="114">
        <v>2.7</v>
      </c>
      <c r="E91" s="114">
        <v>349</v>
      </c>
      <c r="F91" s="114">
        <v>17</v>
      </c>
      <c r="G91" s="114">
        <v>45</v>
      </c>
      <c r="H91" s="114">
        <v>7.5</v>
      </c>
      <c r="I91" s="149">
        <f t="shared" si="9"/>
        <v>9759376</v>
      </c>
      <c r="J91" s="149">
        <f t="shared" si="10"/>
        <v>7.2900000000000009</v>
      </c>
      <c r="K91" s="149">
        <f t="shared" si="11"/>
        <v>121801</v>
      </c>
      <c r="L91" s="149">
        <f t="shared" si="12"/>
        <v>289</v>
      </c>
      <c r="M91" s="149">
        <f t="shared" si="13"/>
        <v>2025</v>
      </c>
      <c r="N91" s="149">
        <f t="shared" si="14"/>
        <v>56.25</v>
      </c>
      <c r="O91" s="149">
        <f t="shared" si="15"/>
        <v>8434.8000000000011</v>
      </c>
      <c r="P91" s="149">
        <f t="shared" si="16"/>
        <v>1090276</v>
      </c>
      <c r="Q91">
        <f t="shared" si="17"/>
        <v>53108</v>
      </c>
    </row>
    <row r="92" spans="1:17" x14ac:dyDescent="0.25">
      <c r="A92" s="114">
        <v>91</v>
      </c>
      <c r="B92" s="114">
        <v>47.3</v>
      </c>
      <c r="C92" s="114">
        <v>2761</v>
      </c>
      <c r="D92" s="114">
        <v>0.9</v>
      </c>
      <c r="E92" s="114">
        <v>485</v>
      </c>
      <c r="F92" s="114">
        <v>16</v>
      </c>
      <c r="G92" s="114">
        <v>35</v>
      </c>
      <c r="H92" s="114">
        <v>8.1999999999999993</v>
      </c>
      <c r="I92" s="149">
        <f t="shared" si="9"/>
        <v>7623121</v>
      </c>
      <c r="J92" s="149">
        <f t="shared" si="10"/>
        <v>0.81</v>
      </c>
      <c r="K92" s="149">
        <f t="shared" si="11"/>
        <v>235225</v>
      </c>
      <c r="L92" s="149">
        <f t="shared" si="12"/>
        <v>256</v>
      </c>
      <c r="M92" s="149">
        <f t="shared" si="13"/>
        <v>1225</v>
      </c>
      <c r="N92" s="149">
        <f t="shared" si="14"/>
        <v>67.239999999999995</v>
      </c>
      <c r="O92" s="149">
        <f t="shared" si="15"/>
        <v>2484.9</v>
      </c>
      <c r="P92" s="149">
        <f t="shared" si="16"/>
        <v>1339085</v>
      </c>
      <c r="Q92">
        <f t="shared" si="17"/>
        <v>44176</v>
      </c>
    </row>
    <row r="93" spans="1:17" x14ac:dyDescent="0.25">
      <c r="A93" s="114">
        <v>92</v>
      </c>
      <c r="B93" s="114">
        <v>30.8</v>
      </c>
      <c r="C93" s="114">
        <v>3622</v>
      </c>
      <c r="D93" s="114">
        <v>2</v>
      </c>
      <c r="E93" s="114">
        <v>347</v>
      </c>
      <c r="F93" s="114">
        <v>15</v>
      </c>
      <c r="G93" s="114">
        <v>40</v>
      </c>
      <c r="H93" s="114">
        <v>7.2</v>
      </c>
      <c r="I93" s="149">
        <f t="shared" si="9"/>
        <v>13118884</v>
      </c>
      <c r="J93" s="149">
        <f t="shared" si="10"/>
        <v>4</v>
      </c>
      <c r="K93" s="149">
        <f t="shared" si="11"/>
        <v>120409</v>
      </c>
      <c r="L93" s="149">
        <f t="shared" si="12"/>
        <v>225</v>
      </c>
      <c r="M93" s="149">
        <f t="shared" si="13"/>
        <v>1600</v>
      </c>
      <c r="N93" s="149">
        <f t="shared" si="14"/>
        <v>51.84</v>
      </c>
      <c r="O93" s="149">
        <f t="shared" si="15"/>
        <v>7244</v>
      </c>
      <c r="P93" s="149">
        <f t="shared" si="16"/>
        <v>1256834</v>
      </c>
      <c r="Q93">
        <f t="shared" si="17"/>
        <v>54330</v>
      </c>
    </row>
    <row r="94" spans="1:17" x14ac:dyDescent="0.25">
      <c r="A94" s="114">
        <v>93</v>
      </c>
      <c r="B94" s="114">
        <v>49</v>
      </c>
      <c r="C94" s="114">
        <v>2826</v>
      </c>
      <c r="D94" s="114">
        <v>0.1</v>
      </c>
      <c r="E94" s="114">
        <v>390</v>
      </c>
      <c r="F94" s="114">
        <v>17</v>
      </c>
      <c r="G94" s="114">
        <v>40</v>
      </c>
      <c r="H94" s="114">
        <v>13.6</v>
      </c>
      <c r="I94" s="149">
        <f t="shared" si="9"/>
        <v>7986276</v>
      </c>
      <c r="J94" s="149">
        <f t="shared" si="10"/>
        <v>1.0000000000000002E-2</v>
      </c>
      <c r="K94" s="149">
        <f t="shared" si="11"/>
        <v>152100</v>
      </c>
      <c r="L94" s="149">
        <f t="shared" si="12"/>
        <v>289</v>
      </c>
      <c r="M94" s="149">
        <f t="shared" si="13"/>
        <v>1600</v>
      </c>
      <c r="N94" s="149">
        <f t="shared" si="14"/>
        <v>184.95999999999998</v>
      </c>
      <c r="O94" s="149">
        <f t="shared" si="15"/>
        <v>282.60000000000002</v>
      </c>
      <c r="P94" s="149">
        <f t="shared" si="16"/>
        <v>1102140</v>
      </c>
      <c r="Q94">
        <f t="shared" si="17"/>
        <v>48042</v>
      </c>
    </row>
    <row r="95" spans="1:17" x14ac:dyDescent="0.25">
      <c r="A95" s="114">
        <v>94</v>
      </c>
      <c r="B95" s="114">
        <v>57.3</v>
      </c>
      <c r="C95" s="114">
        <v>2601</v>
      </c>
      <c r="D95" s="114">
        <v>1.2</v>
      </c>
      <c r="E95" s="114">
        <v>520</v>
      </c>
      <c r="F95" s="114">
        <v>18.5</v>
      </c>
      <c r="G95" s="114">
        <v>35</v>
      </c>
      <c r="H95" s="114">
        <v>3.8</v>
      </c>
      <c r="I95" s="149">
        <f t="shared" si="9"/>
        <v>6765201</v>
      </c>
      <c r="J95" s="149">
        <f t="shared" si="10"/>
        <v>1.44</v>
      </c>
      <c r="K95" s="149">
        <f t="shared" si="11"/>
        <v>270400</v>
      </c>
      <c r="L95" s="149">
        <f t="shared" si="12"/>
        <v>342.25</v>
      </c>
      <c r="M95" s="149">
        <f t="shared" si="13"/>
        <v>1225</v>
      </c>
      <c r="N95" s="149">
        <f t="shared" si="14"/>
        <v>14.44</v>
      </c>
      <c r="O95" s="149">
        <f t="shared" si="15"/>
        <v>3121.2</v>
      </c>
      <c r="P95" s="149">
        <f t="shared" si="16"/>
        <v>1352520</v>
      </c>
      <c r="Q95">
        <f t="shared" si="17"/>
        <v>48118.5</v>
      </c>
    </row>
    <row r="96" spans="1:17" x14ac:dyDescent="0.25">
      <c r="A96" s="114">
        <v>95</v>
      </c>
      <c r="B96" s="114">
        <v>60.5</v>
      </c>
      <c r="C96" s="114">
        <v>2932</v>
      </c>
      <c r="D96" s="114">
        <v>2.5</v>
      </c>
      <c r="E96" s="114">
        <v>469</v>
      </c>
      <c r="F96" s="114">
        <v>19.5</v>
      </c>
      <c r="G96" s="114">
        <v>35</v>
      </c>
      <c r="H96" s="114">
        <v>8.6999999999999993</v>
      </c>
      <c r="I96" s="149">
        <f t="shared" si="9"/>
        <v>8596624</v>
      </c>
      <c r="J96" s="149">
        <f t="shared" si="10"/>
        <v>6.25</v>
      </c>
      <c r="K96" s="149">
        <f t="shared" si="11"/>
        <v>219961</v>
      </c>
      <c r="L96" s="149">
        <f t="shared" si="12"/>
        <v>380.25</v>
      </c>
      <c r="M96" s="149">
        <f t="shared" si="13"/>
        <v>1225</v>
      </c>
      <c r="N96" s="149">
        <f t="shared" si="14"/>
        <v>75.689999999999984</v>
      </c>
      <c r="O96" s="149">
        <f t="shared" si="15"/>
        <v>7330</v>
      </c>
      <c r="P96" s="149">
        <f t="shared" si="16"/>
        <v>1375108</v>
      </c>
      <c r="Q96">
        <f t="shared" si="17"/>
        <v>57174</v>
      </c>
    </row>
    <row r="97" spans="1:17" x14ac:dyDescent="0.25">
      <c r="A97" s="114">
        <v>96</v>
      </c>
      <c r="B97" s="114">
        <v>53.4</v>
      </c>
      <c r="C97" s="114">
        <v>2772</v>
      </c>
      <c r="D97" s="114">
        <v>3.5</v>
      </c>
      <c r="E97" s="114">
        <v>622</v>
      </c>
      <c r="F97" s="114">
        <v>14.5</v>
      </c>
      <c r="G97" s="114">
        <v>29</v>
      </c>
      <c r="H97" s="114">
        <v>3.5</v>
      </c>
      <c r="I97" s="149">
        <f t="shared" si="9"/>
        <v>7683984</v>
      </c>
      <c r="J97" s="149">
        <f t="shared" si="10"/>
        <v>12.25</v>
      </c>
      <c r="K97" s="149">
        <f t="shared" si="11"/>
        <v>386884</v>
      </c>
      <c r="L97" s="149">
        <f t="shared" si="12"/>
        <v>210.25</v>
      </c>
      <c r="M97" s="149">
        <f t="shared" si="13"/>
        <v>841</v>
      </c>
      <c r="N97" s="149">
        <f t="shared" si="14"/>
        <v>12.25</v>
      </c>
      <c r="O97" s="149">
        <f t="shared" si="15"/>
        <v>9702</v>
      </c>
      <c r="P97" s="149">
        <f t="shared" si="16"/>
        <v>1724184</v>
      </c>
      <c r="Q97">
        <f t="shared" si="17"/>
        <v>40194</v>
      </c>
    </row>
    <row r="98" spans="1:17" x14ac:dyDescent="0.25">
      <c r="A98" s="114">
        <v>97</v>
      </c>
      <c r="B98" s="114">
        <v>35.9</v>
      </c>
      <c r="C98" s="114">
        <v>2786</v>
      </c>
      <c r="D98" s="114">
        <v>2.4</v>
      </c>
      <c r="E98" s="114">
        <v>511</v>
      </c>
      <c r="F98" s="114">
        <v>15.5</v>
      </c>
      <c r="G98" s="114">
        <v>37</v>
      </c>
      <c r="H98" s="114">
        <v>6.3</v>
      </c>
      <c r="I98" s="149">
        <f t="shared" si="9"/>
        <v>7761796</v>
      </c>
      <c r="J98" s="149">
        <f t="shared" si="10"/>
        <v>5.76</v>
      </c>
      <c r="K98" s="149">
        <f t="shared" si="11"/>
        <v>261121</v>
      </c>
      <c r="L98" s="149">
        <f t="shared" si="12"/>
        <v>240.25</v>
      </c>
      <c r="M98" s="149">
        <f t="shared" si="13"/>
        <v>1369</v>
      </c>
      <c r="N98" s="149">
        <f t="shared" si="14"/>
        <v>39.69</v>
      </c>
      <c r="O98" s="149">
        <f t="shared" si="15"/>
        <v>6686.4</v>
      </c>
      <c r="P98" s="149">
        <f t="shared" si="16"/>
        <v>1423646</v>
      </c>
      <c r="Q98">
        <f t="shared" si="17"/>
        <v>43183</v>
      </c>
    </row>
    <row r="99" spans="1:17" x14ac:dyDescent="0.25">
      <c r="A99" s="114">
        <v>98</v>
      </c>
      <c r="B99" s="114">
        <v>40</v>
      </c>
      <c r="C99" s="114">
        <v>3397</v>
      </c>
      <c r="D99" s="114">
        <v>2.7</v>
      </c>
      <c r="E99" s="114">
        <v>855</v>
      </c>
      <c r="F99" s="114">
        <v>19.5</v>
      </c>
      <c r="G99" s="114">
        <v>42</v>
      </c>
      <c r="H99" s="114">
        <v>11.7</v>
      </c>
      <c r="I99" s="149">
        <f t="shared" si="9"/>
        <v>11539609</v>
      </c>
      <c r="J99" s="149">
        <f t="shared" si="10"/>
        <v>7.2900000000000009</v>
      </c>
      <c r="K99" s="149">
        <f t="shared" si="11"/>
        <v>731025</v>
      </c>
      <c r="L99" s="149">
        <f t="shared" si="12"/>
        <v>380.25</v>
      </c>
      <c r="M99" s="149">
        <f t="shared" si="13"/>
        <v>1764</v>
      </c>
      <c r="N99" s="149">
        <f t="shared" si="14"/>
        <v>136.88999999999999</v>
      </c>
      <c r="O99" s="149">
        <f t="shared" si="15"/>
        <v>9171.9000000000015</v>
      </c>
      <c r="P99" s="149">
        <f t="shared" si="16"/>
        <v>2904435</v>
      </c>
      <c r="Q99">
        <f t="shared" si="17"/>
        <v>66241.5</v>
      </c>
    </row>
    <row r="100" spans="1:17" x14ac:dyDescent="0.25">
      <c r="A100" s="114">
        <v>99</v>
      </c>
      <c r="B100" s="114">
        <v>39.799999999999997</v>
      </c>
      <c r="C100" s="114">
        <v>3823</v>
      </c>
      <c r="D100" s="114">
        <v>0.7</v>
      </c>
      <c r="E100" s="114">
        <v>202</v>
      </c>
      <c r="F100" s="114">
        <v>17</v>
      </c>
      <c r="G100" s="114">
        <v>36</v>
      </c>
      <c r="H100" s="114">
        <v>10</v>
      </c>
      <c r="I100" s="149">
        <f t="shared" si="9"/>
        <v>14615329</v>
      </c>
      <c r="J100" s="149">
        <f t="shared" si="10"/>
        <v>0.48999999999999994</v>
      </c>
      <c r="K100" s="149">
        <f t="shared" si="11"/>
        <v>40804</v>
      </c>
      <c r="L100" s="149">
        <f t="shared" si="12"/>
        <v>289</v>
      </c>
      <c r="M100" s="149">
        <f t="shared" si="13"/>
        <v>1296</v>
      </c>
      <c r="N100" s="149">
        <f t="shared" si="14"/>
        <v>100</v>
      </c>
      <c r="O100" s="149">
        <f t="shared" si="15"/>
        <v>2676.1</v>
      </c>
      <c r="P100" s="149">
        <f t="shared" si="16"/>
        <v>772246</v>
      </c>
      <c r="Q100">
        <f t="shared" si="17"/>
        <v>64991</v>
      </c>
    </row>
    <row r="101" spans="1:17" x14ac:dyDescent="0.25">
      <c r="A101" s="114">
        <v>100</v>
      </c>
      <c r="B101" s="114">
        <v>35.200000000000003</v>
      </c>
      <c r="C101" s="114">
        <v>3251</v>
      </c>
      <c r="D101" s="114">
        <v>2.6</v>
      </c>
      <c r="E101" s="114">
        <v>275</v>
      </c>
      <c r="F101" s="114">
        <v>13</v>
      </c>
      <c r="G101" s="114">
        <v>39</v>
      </c>
      <c r="H101" s="114">
        <v>10.5</v>
      </c>
      <c r="I101" s="149">
        <f t="shared" si="9"/>
        <v>10569001</v>
      </c>
      <c r="J101" s="149">
        <f t="shared" si="10"/>
        <v>6.7600000000000007</v>
      </c>
      <c r="K101" s="149">
        <f t="shared" si="11"/>
        <v>75625</v>
      </c>
      <c r="L101" s="149">
        <f t="shared" si="12"/>
        <v>169</v>
      </c>
      <c r="M101" s="149">
        <f t="shared" si="13"/>
        <v>1521</v>
      </c>
      <c r="N101" s="149">
        <f t="shared" si="14"/>
        <v>110.25</v>
      </c>
      <c r="O101" s="149">
        <f t="shared" si="15"/>
        <v>8452.6</v>
      </c>
      <c r="P101" s="149">
        <f t="shared" si="16"/>
        <v>894025</v>
      </c>
      <c r="Q101">
        <f t="shared" si="17"/>
        <v>42263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J33" sqref="J33"/>
    </sheetView>
  </sheetViews>
  <sheetFormatPr defaultRowHeight="16.5" x14ac:dyDescent="0.25"/>
  <sheetData>
    <row r="1" spans="1:9" x14ac:dyDescent="0.25">
      <c r="A1" t="s">
        <v>122</v>
      </c>
    </row>
    <row r="2" spans="1:9" ht="17.25" thickBot="1" x14ac:dyDescent="0.3"/>
    <row r="3" spans="1:9" x14ac:dyDescent="0.25">
      <c r="A3" s="24" t="s">
        <v>123</v>
      </c>
      <c r="B3" s="24"/>
    </row>
    <row r="4" spans="1:9" x14ac:dyDescent="0.25">
      <c r="A4" s="21" t="s">
        <v>124</v>
      </c>
      <c r="B4" s="21">
        <v>0.72461135818765321</v>
      </c>
    </row>
    <row r="5" spans="1:9" x14ac:dyDescent="0.25">
      <c r="A5" s="21" t="s">
        <v>125</v>
      </c>
      <c r="B5" s="21">
        <v>0.5250616204145554</v>
      </c>
    </row>
    <row r="6" spans="1:9" x14ac:dyDescent="0.25">
      <c r="A6" s="21" t="s">
        <v>126</v>
      </c>
      <c r="B6" s="21">
        <v>0.4944204346348493</v>
      </c>
    </row>
    <row r="7" spans="1:9" x14ac:dyDescent="0.25">
      <c r="A7" s="21" t="s">
        <v>127</v>
      </c>
      <c r="B7" s="21">
        <v>5.5120843728792854</v>
      </c>
    </row>
    <row r="8" spans="1:9" ht="17.25" thickBot="1" x14ac:dyDescent="0.3">
      <c r="A8" s="22" t="s">
        <v>128</v>
      </c>
      <c r="B8" s="22">
        <v>100</v>
      </c>
    </row>
    <row r="10" spans="1:9" ht="17.25" thickBot="1" x14ac:dyDescent="0.3">
      <c r="A10" t="s">
        <v>129</v>
      </c>
    </row>
    <row r="11" spans="1:9" x14ac:dyDescent="0.25">
      <c r="A11" s="23"/>
      <c r="B11" s="23" t="s">
        <v>134</v>
      </c>
      <c r="C11" s="23" t="s">
        <v>5</v>
      </c>
      <c r="D11" s="23" t="s">
        <v>8</v>
      </c>
      <c r="E11" s="23" t="s">
        <v>31</v>
      </c>
      <c r="F11" s="23" t="s">
        <v>135</v>
      </c>
    </row>
    <row r="12" spans="1:9" x14ac:dyDescent="0.25">
      <c r="A12" s="21" t="s">
        <v>130</v>
      </c>
      <c r="B12" s="21">
        <v>6</v>
      </c>
      <c r="C12" s="21">
        <v>3123.8320055621775</v>
      </c>
      <c r="D12" s="21">
        <v>520.63866759369625</v>
      </c>
      <c r="E12" s="21">
        <v>17.135812699595583</v>
      </c>
      <c r="F12" s="21">
        <v>3.0338150705478259E-13</v>
      </c>
    </row>
    <row r="13" spans="1:9" x14ac:dyDescent="0.25">
      <c r="A13" s="21" t="s">
        <v>131</v>
      </c>
      <c r="B13" s="21">
        <v>93</v>
      </c>
      <c r="C13" s="21">
        <v>2825.6258944378219</v>
      </c>
      <c r="D13" s="21">
        <v>30.383074133740021</v>
      </c>
      <c r="E13" s="21"/>
      <c r="F13" s="21"/>
    </row>
    <row r="14" spans="1:9" ht="17.25" thickBot="1" x14ac:dyDescent="0.3">
      <c r="A14" s="22" t="s">
        <v>132</v>
      </c>
      <c r="B14" s="22">
        <v>99</v>
      </c>
      <c r="C14" s="22">
        <v>5949.4578999999994</v>
      </c>
      <c r="D14" s="22"/>
      <c r="E14" s="22"/>
      <c r="F14" s="22"/>
    </row>
    <row r="15" spans="1:9" ht="17.25" thickBot="1" x14ac:dyDescent="0.3"/>
    <row r="16" spans="1:9" x14ac:dyDescent="0.25">
      <c r="A16" s="23"/>
      <c r="B16" s="23" t="s">
        <v>136</v>
      </c>
      <c r="C16" s="23" t="s">
        <v>127</v>
      </c>
      <c r="D16" s="23" t="s">
        <v>137</v>
      </c>
      <c r="E16" s="23" t="s">
        <v>138</v>
      </c>
      <c r="F16" s="23" t="s">
        <v>139</v>
      </c>
      <c r="G16" s="23" t="s">
        <v>140</v>
      </c>
      <c r="H16" s="23" t="s">
        <v>141</v>
      </c>
      <c r="I16" s="23" t="s">
        <v>142</v>
      </c>
    </row>
    <row r="17" spans="1:9" x14ac:dyDescent="0.25">
      <c r="A17" s="21" t="s">
        <v>133</v>
      </c>
      <c r="B17" s="21">
        <v>72.454611395530137</v>
      </c>
      <c r="C17" s="21">
        <v>7.8931037452324668</v>
      </c>
      <c r="D17" s="21">
        <v>9.1794829681915218</v>
      </c>
      <c r="E17" s="21">
        <v>1.1138794671621106E-14</v>
      </c>
      <c r="F17" s="21">
        <v>56.780471657427704</v>
      </c>
      <c r="G17" s="21">
        <v>88.128751133632562</v>
      </c>
      <c r="H17" s="21">
        <v>56.780471657427704</v>
      </c>
      <c r="I17" s="21">
        <v>88.128751133632562</v>
      </c>
    </row>
    <row r="18" spans="1:9" x14ac:dyDescent="0.25">
      <c r="A18" s="21" t="s">
        <v>255</v>
      </c>
      <c r="B18" s="21">
        <v>-7.6178672079861261E-3</v>
      </c>
      <c r="C18" s="21">
        <v>1.2552700152592634E-3</v>
      </c>
      <c r="D18" s="21">
        <v>-6.0687080192963361</v>
      </c>
      <c r="E18" s="21">
        <v>2.7662034713098484E-8</v>
      </c>
      <c r="F18" s="21">
        <v>-1.0110584681781878E-2</v>
      </c>
      <c r="G18" s="21">
        <v>-5.1251497341903741E-3</v>
      </c>
      <c r="H18" s="21">
        <v>-1.0110584681781878E-2</v>
      </c>
      <c r="I18" s="21">
        <v>-5.1251497341903741E-3</v>
      </c>
    </row>
    <row r="19" spans="1:9" x14ac:dyDescent="0.25">
      <c r="A19" s="21" t="s">
        <v>256</v>
      </c>
      <c r="B19" s="21">
        <v>-1.6462370910999249</v>
      </c>
      <c r="C19" s="21">
        <v>0.6328369128263911</v>
      </c>
      <c r="D19" s="21">
        <v>-2.60136072617424</v>
      </c>
      <c r="E19" s="21">
        <v>1.080332708035216E-2</v>
      </c>
      <c r="F19" s="21">
        <v>-2.9029257807755808</v>
      </c>
      <c r="G19" s="21">
        <v>-0.38954840142426894</v>
      </c>
      <c r="H19" s="21">
        <v>-2.9029257807755808</v>
      </c>
      <c r="I19" s="21">
        <v>-0.38954840142426894</v>
      </c>
    </row>
    <row r="20" spans="1:9" x14ac:dyDescent="0.25">
      <c r="A20" s="21" t="s">
        <v>257</v>
      </c>
      <c r="B20" s="21">
        <v>1.9765540599083961E-2</v>
      </c>
      <c r="C20" s="21">
        <v>3.4104424760235635E-3</v>
      </c>
      <c r="D20" s="21">
        <v>5.7955941899157244</v>
      </c>
      <c r="E20" s="21">
        <v>9.2433091238088247E-8</v>
      </c>
      <c r="F20" s="21">
        <v>1.2993077742474313E-2</v>
      </c>
      <c r="G20" s="21">
        <v>2.6538003455693609E-2</v>
      </c>
      <c r="H20" s="21">
        <v>1.2993077742474313E-2</v>
      </c>
      <c r="I20" s="21">
        <v>2.6538003455693609E-2</v>
      </c>
    </row>
    <row r="21" spans="1:9" x14ac:dyDescent="0.25">
      <c r="A21" s="21" t="s">
        <v>258</v>
      </c>
      <c r="B21" s="21">
        <v>0.21178294229021347</v>
      </c>
      <c r="C21" s="21">
        <v>0.13342793529796157</v>
      </c>
      <c r="D21" s="21">
        <v>1.5872458928280289</v>
      </c>
      <c r="E21" s="21">
        <v>0.11585127821005387</v>
      </c>
      <c r="F21" s="21">
        <v>-5.3178493708895519E-2</v>
      </c>
      <c r="G21" s="21">
        <v>0.47674437828932248</v>
      </c>
      <c r="H21" s="21">
        <v>-5.3178493708895519E-2</v>
      </c>
      <c r="I21" s="21">
        <v>0.47674437828932248</v>
      </c>
    </row>
    <row r="22" spans="1:9" x14ac:dyDescent="0.25">
      <c r="A22" s="21" t="s">
        <v>259</v>
      </c>
      <c r="B22" s="21">
        <v>-0.41312211212055067</v>
      </c>
      <c r="C22" s="21">
        <v>0.13955239539828262</v>
      </c>
      <c r="D22" s="21">
        <v>-2.9603369468614273</v>
      </c>
      <c r="E22" s="21">
        <v>3.8988021498865487E-3</v>
      </c>
      <c r="F22" s="21">
        <v>-0.69024551209876583</v>
      </c>
      <c r="G22" s="21">
        <v>-0.13599871214233555</v>
      </c>
      <c r="H22" s="21">
        <v>-0.69024551209876583</v>
      </c>
      <c r="I22" s="21">
        <v>-0.13599871214233555</v>
      </c>
    </row>
    <row r="23" spans="1:9" ht="17.25" thickBot="1" x14ac:dyDescent="0.3">
      <c r="A23" s="22" t="s">
        <v>260</v>
      </c>
      <c r="B23" s="22">
        <v>0.2252580986073455</v>
      </c>
      <c r="C23" s="22">
        <v>0.17870888780709754</v>
      </c>
      <c r="D23" s="22">
        <v>1.2604750741356201</v>
      </c>
      <c r="E23" s="22">
        <v>0.21065141665825957</v>
      </c>
      <c r="F23" s="22">
        <v>-0.12962233503971268</v>
      </c>
      <c r="G23" s="22">
        <v>0.5801385322544037</v>
      </c>
      <c r="H23" s="22">
        <v>-0.12962233503971268</v>
      </c>
      <c r="I23" s="22">
        <v>0.5801385322544037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opLeftCell="A22" zoomScale="85" zoomScaleNormal="85" workbookViewId="0">
      <selection activeCell="M17" sqref="M17"/>
    </sheetView>
  </sheetViews>
  <sheetFormatPr defaultRowHeight="15.75" x14ac:dyDescent="0.25"/>
  <cols>
    <col min="1" max="1" width="10.125" style="31" customWidth="1"/>
    <col min="2" max="2" width="8.125" style="31" customWidth="1"/>
    <col min="3" max="3" width="14.875" style="31" customWidth="1"/>
    <col min="4" max="4" width="5.875" style="31" customWidth="1"/>
    <col min="5" max="7" width="13.375" style="31" customWidth="1"/>
    <col min="8" max="8" width="10.25" style="31" customWidth="1"/>
    <col min="9" max="16" width="9" style="31"/>
    <col min="17" max="17" width="10" style="31" bestFit="1" customWidth="1"/>
    <col min="18" max="16384" width="9" style="31"/>
  </cols>
  <sheetData>
    <row r="1" spans="1:33" x14ac:dyDescent="0.25">
      <c r="A1" s="29" t="s">
        <v>0</v>
      </c>
      <c r="B1" s="29" t="s">
        <v>35</v>
      </c>
      <c r="C1" s="29" t="s">
        <v>36</v>
      </c>
      <c r="D1" s="29" t="s">
        <v>37</v>
      </c>
      <c r="E1" s="29" t="s">
        <v>1</v>
      </c>
      <c r="F1" s="29" t="s">
        <v>2</v>
      </c>
      <c r="G1" s="29" t="s">
        <v>3</v>
      </c>
      <c r="H1" s="29" t="s">
        <v>16</v>
      </c>
      <c r="I1" s="28" t="s">
        <v>1</v>
      </c>
      <c r="J1" s="1" t="s">
        <v>2</v>
      </c>
      <c r="K1" s="4" t="s">
        <v>3</v>
      </c>
      <c r="L1" s="7" t="s">
        <v>11</v>
      </c>
      <c r="M1" s="8" t="s">
        <v>17</v>
      </c>
      <c r="N1" s="8" t="s">
        <v>18</v>
      </c>
      <c r="O1" s="8" t="s">
        <v>19</v>
      </c>
      <c r="R1" s="10" t="s">
        <v>42</v>
      </c>
      <c r="S1" s="10" t="s">
        <v>43</v>
      </c>
      <c r="T1" s="10" t="s">
        <v>44</v>
      </c>
      <c r="U1" s="10" t="s">
        <v>45</v>
      </c>
      <c r="V1" s="10" t="s">
        <v>46</v>
      </c>
      <c r="W1" s="10" t="s">
        <v>47</v>
      </c>
      <c r="X1" s="11" t="s">
        <v>48</v>
      </c>
      <c r="Z1" s="10" t="s">
        <v>42</v>
      </c>
      <c r="AA1" s="10" t="s">
        <v>43</v>
      </c>
      <c r="AB1" s="10" t="s">
        <v>44</v>
      </c>
      <c r="AC1" s="10" t="s">
        <v>45</v>
      </c>
      <c r="AD1" s="10" t="s">
        <v>46</v>
      </c>
      <c r="AE1" s="10" t="s">
        <v>47</v>
      </c>
      <c r="AF1" s="11" t="s">
        <v>48</v>
      </c>
      <c r="AG1" s="1" t="s">
        <v>1</v>
      </c>
    </row>
    <row r="2" spans="1:33" x14ac:dyDescent="0.25">
      <c r="A2" s="30">
        <v>1</v>
      </c>
      <c r="B2" s="12">
        <v>-1</v>
      </c>
      <c r="C2" s="12">
        <v>-1</v>
      </c>
      <c r="D2" s="12">
        <v>-1</v>
      </c>
      <c r="E2" s="12">
        <v>61.43</v>
      </c>
      <c r="F2" s="12">
        <v>58.58</v>
      </c>
      <c r="G2" s="12">
        <v>57.07</v>
      </c>
      <c r="H2" s="12">
        <f>AVERAGE(E2:G2)</f>
        <v>59.026666666666664</v>
      </c>
      <c r="I2" s="44">
        <f>E2-$A$12</f>
        <v>11.561250000000001</v>
      </c>
      <c r="J2" s="44">
        <f t="shared" ref="J2:K9" si="0">F2-$A$12</f>
        <v>8.7112499999999997</v>
      </c>
      <c r="K2" s="45">
        <f t="shared" si="0"/>
        <v>7.2012500000000017</v>
      </c>
      <c r="L2" s="46">
        <f>AVERAGE(E2:G2)-$A$12</f>
        <v>9.1579166666666652</v>
      </c>
      <c r="M2" s="31">
        <f>E2-$H2</f>
        <v>2.403333333333336</v>
      </c>
      <c r="N2" s="31">
        <f>F2-$H2</f>
        <v>-0.44666666666666544</v>
      </c>
      <c r="O2" s="31">
        <f>G2-$H2</f>
        <v>-1.9566666666666634</v>
      </c>
      <c r="R2" s="12">
        <v>-1</v>
      </c>
      <c r="S2" s="12">
        <v>-1</v>
      </c>
      <c r="T2" s="12">
        <v>-1</v>
      </c>
      <c r="U2" s="12">
        <f>R2*S2</f>
        <v>1</v>
      </c>
      <c r="V2" s="12">
        <f>R2*T2</f>
        <v>1</v>
      </c>
      <c r="W2" s="12">
        <f t="shared" ref="W2:W9" si="1">S2*T2</f>
        <v>1</v>
      </c>
      <c r="X2" s="13">
        <f>R2*S2*T2</f>
        <v>-1</v>
      </c>
      <c r="Z2" s="12">
        <v>-1</v>
      </c>
      <c r="AA2" s="12">
        <v>-1</v>
      </c>
      <c r="AB2" s="12">
        <v>-1</v>
      </c>
      <c r="AC2" s="12">
        <f>Z2*AA2</f>
        <v>1</v>
      </c>
      <c r="AD2" s="12">
        <f>Z2*AB2</f>
        <v>1</v>
      </c>
      <c r="AE2" s="12">
        <f t="shared" ref="AE2:AE25" si="2">AA2*AB2</f>
        <v>1</v>
      </c>
      <c r="AF2" s="13">
        <f>Z2*AA2*AB2</f>
        <v>-1</v>
      </c>
      <c r="AG2" s="2">
        <v>61.43</v>
      </c>
    </row>
    <row r="3" spans="1:33" x14ac:dyDescent="0.25">
      <c r="A3" s="30">
        <v>2</v>
      </c>
      <c r="B3" s="12">
        <v>1</v>
      </c>
      <c r="C3" s="12">
        <v>-1</v>
      </c>
      <c r="D3" s="12">
        <v>-1</v>
      </c>
      <c r="E3" s="12">
        <v>75.62</v>
      </c>
      <c r="F3" s="12">
        <v>77.569999999999993</v>
      </c>
      <c r="G3" s="12">
        <v>75.75</v>
      </c>
      <c r="H3" s="12">
        <f t="shared" ref="H3:H9" si="3">AVERAGE(E3:G3)</f>
        <v>76.313333333333333</v>
      </c>
      <c r="I3" s="44">
        <f t="shared" ref="I3:I8" si="4">E3-$A$12</f>
        <v>25.751250000000006</v>
      </c>
      <c r="J3" s="44">
        <f t="shared" si="0"/>
        <v>27.701249999999995</v>
      </c>
      <c r="K3" s="45">
        <f t="shared" si="0"/>
        <v>25.881250000000001</v>
      </c>
      <c r="L3" s="46">
        <f t="shared" ref="L2:L9" si="5">AVERAGE(E3:G3)-$A$12</f>
        <v>26.444583333333334</v>
      </c>
      <c r="M3" s="31">
        <f t="shared" ref="M3:M9" si="6">E3-$H3</f>
        <v>-0.69333333333332803</v>
      </c>
      <c r="N3" s="31">
        <f t="shared" ref="N3:N9" si="7">F3-$H3</f>
        <v>1.2566666666666606</v>
      </c>
      <c r="O3" s="31">
        <f t="shared" ref="O3:O9" si="8">G3-$H3</f>
        <v>-0.56333333333333258</v>
      </c>
      <c r="R3" s="12">
        <v>1</v>
      </c>
      <c r="S3" s="12">
        <v>-1</v>
      </c>
      <c r="T3" s="12">
        <v>-1</v>
      </c>
      <c r="U3" s="12">
        <f t="shared" ref="U3:U9" si="9">R3*S3</f>
        <v>-1</v>
      </c>
      <c r="V3" s="12">
        <f t="shared" ref="V3:V8" si="10">R3*T3</f>
        <v>-1</v>
      </c>
      <c r="W3" s="12">
        <f t="shared" si="1"/>
        <v>1</v>
      </c>
      <c r="X3" s="13">
        <f t="shared" ref="X3:X9" si="11">R3*S3*T3</f>
        <v>1</v>
      </c>
      <c r="Z3" s="12">
        <v>1</v>
      </c>
      <c r="AA3" s="12">
        <v>-1</v>
      </c>
      <c r="AB3" s="12">
        <v>-1</v>
      </c>
      <c r="AC3" s="12">
        <f t="shared" ref="AC3:AC9" si="12">Z3*AA3</f>
        <v>-1</v>
      </c>
      <c r="AD3" s="12">
        <f t="shared" ref="AD3:AD8" si="13">Z3*AB3</f>
        <v>-1</v>
      </c>
      <c r="AE3" s="12">
        <f t="shared" si="2"/>
        <v>1</v>
      </c>
      <c r="AF3" s="13">
        <f t="shared" ref="AF3:AF9" si="14">Z3*AA3*AB3</f>
        <v>1</v>
      </c>
      <c r="AG3" s="2">
        <v>75.62</v>
      </c>
    </row>
    <row r="4" spans="1:33" x14ac:dyDescent="0.25">
      <c r="A4" s="30">
        <v>3</v>
      </c>
      <c r="B4" s="12">
        <v>-1</v>
      </c>
      <c r="C4" s="12">
        <v>1</v>
      </c>
      <c r="D4" s="12">
        <v>-1</v>
      </c>
      <c r="E4" s="12">
        <v>27.51</v>
      </c>
      <c r="F4" s="12">
        <v>34.03</v>
      </c>
      <c r="G4" s="12">
        <v>25.07</v>
      </c>
      <c r="H4" s="12">
        <f t="shared" si="3"/>
        <v>28.870000000000005</v>
      </c>
      <c r="I4" s="44">
        <f t="shared" si="4"/>
        <v>-22.358749999999997</v>
      </c>
      <c r="J4" s="44">
        <f t="shared" si="0"/>
        <v>-15.838749999999997</v>
      </c>
      <c r="K4" s="45">
        <f t="shared" si="0"/>
        <v>-24.798749999999998</v>
      </c>
      <c r="L4" s="46">
        <f t="shared" si="5"/>
        <v>-20.998749999999994</v>
      </c>
      <c r="M4" s="31">
        <f t="shared" si="6"/>
        <v>-1.360000000000003</v>
      </c>
      <c r="N4" s="31">
        <f>F4-$H4</f>
        <v>5.1599999999999966</v>
      </c>
      <c r="O4" s="31">
        <f t="shared" si="8"/>
        <v>-3.8000000000000043</v>
      </c>
      <c r="R4" s="12">
        <v>-1</v>
      </c>
      <c r="S4" s="12">
        <v>1</v>
      </c>
      <c r="T4" s="12">
        <v>-1</v>
      </c>
      <c r="U4" s="12">
        <f t="shared" si="9"/>
        <v>-1</v>
      </c>
      <c r="V4" s="12">
        <f t="shared" si="10"/>
        <v>1</v>
      </c>
      <c r="W4" s="12">
        <f t="shared" si="1"/>
        <v>-1</v>
      </c>
      <c r="X4" s="13">
        <f t="shared" si="11"/>
        <v>1</v>
      </c>
      <c r="Z4" s="12">
        <v>-1</v>
      </c>
      <c r="AA4" s="12">
        <v>1</v>
      </c>
      <c r="AB4" s="12">
        <v>-1</v>
      </c>
      <c r="AC4" s="12">
        <f t="shared" si="12"/>
        <v>-1</v>
      </c>
      <c r="AD4" s="12">
        <f t="shared" si="13"/>
        <v>1</v>
      </c>
      <c r="AE4" s="12">
        <f t="shared" si="2"/>
        <v>-1</v>
      </c>
      <c r="AF4" s="13">
        <f t="shared" si="14"/>
        <v>1</v>
      </c>
      <c r="AG4" s="2">
        <v>27.51</v>
      </c>
    </row>
    <row r="5" spans="1:33" x14ac:dyDescent="0.25">
      <c r="A5" s="30">
        <v>4</v>
      </c>
      <c r="B5" s="12">
        <v>1</v>
      </c>
      <c r="C5" s="12">
        <v>1</v>
      </c>
      <c r="D5" s="12">
        <v>-1</v>
      </c>
      <c r="E5" s="12">
        <v>51.37</v>
      </c>
      <c r="F5" s="12">
        <v>48.49</v>
      </c>
      <c r="G5" s="12">
        <v>54.37</v>
      </c>
      <c r="H5" s="12">
        <f t="shared" si="3"/>
        <v>51.41</v>
      </c>
      <c r="I5" s="44">
        <f t="shared" si="4"/>
        <v>1.5012499999999989</v>
      </c>
      <c r="J5" s="44">
        <f t="shared" si="0"/>
        <v>-1.3787499999999966</v>
      </c>
      <c r="K5" s="45">
        <f t="shared" si="0"/>
        <v>4.5012499999999989</v>
      </c>
      <c r="L5" s="46">
        <f t="shared" si="5"/>
        <v>1.541249999999998</v>
      </c>
      <c r="M5" s="31">
        <f t="shared" si="6"/>
        <v>-3.9999999999999147E-2</v>
      </c>
      <c r="N5" s="31">
        <f>F5-$H5</f>
        <v>-2.9199999999999946</v>
      </c>
      <c r="O5" s="31">
        <f t="shared" si="8"/>
        <v>2.9600000000000009</v>
      </c>
      <c r="R5" s="12">
        <v>1</v>
      </c>
      <c r="S5" s="12">
        <v>1</v>
      </c>
      <c r="T5" s="12">
        <v>-1</v>
      </c>
      <c r="U5" s="12">
        <f t="shared" si="9"/>
        <v>1</v>
      </c>
      <c r="V5" s="12">
        <f t="shared" si="10"/>
        <v>-1</v>
      </c>
      <c r="W5" s="12">
        <f t="shared" si="1"/>
        <v>-1</v>
      </c>
      <c r="X5" s="13">
        <f t="shared" si="11"/>
        <v>-1</v>
      </c>
      <c r="Z5" s="12">
        <v>1</v>
      </c>
      <c r="AA5" s="12">
        <v>1</v>
      </c>
      <c r="AB5" s="12">
        <v>-1</v>
      </c>
      <c r="AC5" s="12">
        <f t="shared" si="12"/>
        <v>1</v>
      </c>
      <c r="AD5" s="12">
        <f t="shared" si="13"/>
        <v>-1</v>
      </c>
      <c r="AE5" s="12">
        <f t="shared" si="2"/>
        <v>-1</v>
      </c>
      <c r="AF5" s="13">
        <f t="shared" si="14"/>
        <v>-1</v>
      </c>
      <c r="AG5" s="2">
        <v>51.37</v>
      </c>
    </row>
    <row r="6" spans="1:33" x14ac:dyDescent="0.25">
      <c r="A6" s="30">
        <v>5</v>
      </c>
      <c r="B6" s="12">
        <v>-1</v>
      </c>
      <c r="C6" s="12">
        <v>-1</v>
      </c>
      <c r="D6" s="12">
        <v>1</v>
      </c>
      <c r="E6" s="12">
        <v>24.8</v>
      </c>
      <c r="F6" s="12">
        <v>20.69</v>
      </c>
      <c r="G6" s="12">
        <v>15.41</v>
      </c>
      <c r="H6" s="12">
        <f t="shared" si="3"/>
        <v>20.3</v>
      </c>
      <c r="I6" s="44">
        <f t="shared" si="4"/>
        <v>-25.068749999999998</v>
      </c>
      <c r="J6" s="44">
        <f t="shared" si="0"/>
        <v>-29.178749999999997</v>
      </c>
      <c r="K6" s="45">
        <f t="shared" si="0"/>
        <v>-34.458749999999995</v>
      </c>
      <c r="L6" s="46">
        <f t="shared" si="5"/>
        <v>-29.568749999999998</v>
      </c>
      <c r="M6" s="31">
        <f t="shared" si="6"/>
        <v>4.5</v>
      </c>
      <c r="N6" s="31">
        <f t="shared" si="7"/>
        <v>0.39000000000000057</v>
      </c>
      <c r="O6" s="31">
        <f t="shared" si="8"/>
        <v>-4.8900000000000006</v>
      </c>
      <c r="R6" s="12">
        <v>-1</v>
      </c>
      <c r="S6" s="12">
        <v>-1</v>
      </c>
      <c r="T6" s="12">
        <v>1</v>
      </c>
      <c r="U6" s="12">
        <f t="shared" si="9"/>
        <v>1</v>
      </c>
      <c r="V6" s="12">
        <f t="shared" si="10"/>
        <v>-1</v>
      </c>
      <c r="W6" s="12">
        <f t="shared" si="1"/>
        <v>-1</v>
      </c>
      <c r="X6" s="13">
        <f t="shared" si="11"/>
        <v>1</v>
      </c>
      <c r="Z6" s="12">
        <v>-1</v>
      </c>
      <c r="AA6" s="12">
        <v>-1</v>
      </c>
      <c r="AB6" s="12">
        <v>1</v>
      </c>
      <c r="AC6" s="12">
        <f t="shared" si="12"/>
        <v>1</v>
      </c>
      <c r="AD6" s="12">
        <f t="shared" si="13"/>
        <v>-1</v>
      </c>
      <c r="AE6" s="12">
        <f t="shared" si="2"/>
        <v>-1</v>
      </c>
      <c r="AF6" s="13">
        <f t="shared" si="14"/>
        <v>1</v>
      </c>
      <c r="AG6" s="2">
        <v>24.8</v>
      </c>
    </row>
    <row r="7" spans="1:33" x14ac:dyDescent="0.25">
      <c r="A7" s="30">
        <v>6</v>
      </c>
      <c r="B7" s="12">
        <v>1</v>
      </c>
      <c r="C7" s="12">
        <v>-1</v>
      </c>
      <c r="D7" s="12">
        <v>1</v>
      </c>
      <c r="E7" s="12">
        <v>43.58</v>
      </c>
      <c r="F7" s="12">
        <v>44.31</v>
      </c>
      <c r="G7" s="12">
        <v>36.99</v>
      </c>
      <c r="H7" s="12">
        <f t="shared" si="3"/>
        <v>41.626666666666665</v>
      </c>
      <c r="I7" s="44">
        <f t="shared" si="4"/>
        <v>-6.2887500000000003</v>
      </c>
      <c r="J7" s="44">
        <f t="shared" si="0"/>
        <v>-5.5587499999999963</v>
      </c>
      <c r="K7" s="45">
        <f t="shared" si="0"/>
        <v>-12.878749999999997</v>
      </c>
      <c r="L7" s="46">
        <f t="shared" si="5"/>
        <v>-8.2420833333333334</v>
      </c>
      <c r="M7" s="31">
        <f t="shared" si="6"/>
        <v>1.9533333333333331</v>
      </c>
      <c r="N7" s="31">
        <f t="shared" si="7"/>
        <v>2.6833333333333371</v>
      </c>
      <c r="O7" s="31">
        <f t="shared" si="8"/>
        <v>-4.6366666666666632</v>
      </c>
      <c r="R7" s="12">
        <v>1</v>
      </c>
      <c r="S7" s="12">
        <v>-1</v>
      </c>
      <c r="T7" s="12">
        <v>1</v>
      </c>
      <c r="U7" s="12">
        <f t="shared" si="9"/>
        <v>-1</v>
      </c>
      <c r="V7" s="12">
        <f t="shared" si="10"/>
        <v>1</v>
      </c>
      <c r="W7" s="12">
        <f t="shared" si="1"/>
        <v>-1</v>
      </c>
      <c r="X7" s="13">
        <f t="shared" si="11"/>
        <v>-1</v>
      </c>
      <c r="Z7" s="12">
        <v>1</v>
      </c>
      <c r="AA7" s="12">
        <v>-1</v>
      </c>
      <c r="AB7" s="12">
        <v>1</v>
      </c>
      <c r="AC7" s="12">
        <f t="shared" si="12"/>
        <v>-1</v>
      </c>
      <c r="AD7" s="12">
        <f t="shared" si="13"/>
        <v>1</v>
      </c>
      <c r="AE7" s="12">
        <f t="shared" si="2"/>
        <v>-1</v>
      </c>
      <c r="AF7" s="13">
        <f t="shared" si="14"/>
        <v>-1</v>
      </c>
      <c r="AG7" s="2">
        <v>43.58</v>
      </c>
    </row>
    <row r="8" spans="1:33" x14ac:dyDescent="0.25">
      <c r="A8" s="30">
        <v>7</v>
      </c>
      <c r="B8" s="12">
        <v>-1</v>
      </c>
      <c r="C8" s="12">
        <v>1</v>
      </c>
      <c r="D8" s="12">
        <v>1</v>
      </c>
      <c r="E8" s="12">
        <v>45.2</v>
      </c>
      <c r="F8" s="12">
        <v>49.53</v>
      </c>
      <c r="G8" s="12">
        <v>50.29</v>
      </c>
      <c r="H8" s="12">
        <f t="shared" si="3"/>
        <v>48.34</v>
      </c>
      <c r="I8" s="44">
        <f t="shared" si="4"/>
        <v>-4.6687499999999957</v>
      </c>
      <c r="J8" s="44">
        <f t="shared" si="0"/>
        <v>-0.33874999999999744</v>
      </c>
      <c r="K8" s="45">
        <f t="shared" si="0"/>
        <v>0.42125000000000057</v>
      </c>
      <c r="L8" s="46">
        <f t="shared" si="5"/>
        <v>-1.5287499999999952</v>
      </c>
      <c r="M8" s="31">
        <f t="shared" si="6"/>
        <v>-3.1400000000000006</v>
      </c>
      <c r="N8" s="31">
        <f t="shared" si="7"/>
        <v>1.1899999999999977</v>
      </c>
      <c r="O8" s="31">
        <f t="shared" si="8"/>
        <v>1.9499999999999957</v>
      </c>
      <c r="R8" s="12">
        <v>-1</v>
      </c>
      <c r="S8" s="12">
        <v>1</v>
      </c>
      <c r="T8" s="12">
        <v>1</v>
      </c>
      <c r="U8" s="12">
        <f t="shared" si="9"/>
        <v>-1</v>
      </c>
      <c r="V8" s="12">
        <f t="shared" si="10"/>
        <v>-1</v>
      </c>
      <c r="W8" s="12">
        <f t="shared" si="1"/>
        <v>1</v>
      </c>
      <c r="X8" s="13">
        <f t="shared" si="11"/>
        <v>-1</v>
      </c>
      <c r="Z8" s="12">
        <v>-1</v>
      </c>
      <c r="AA8" s="12">
        <v>1</v>
      </c>
      <c r="AB8" s="12">
        <v>1</v>
      </c>
      <c r="AC8" s="12">
        <f t="shared" si="12"/>
        <v>-1</v>
      </c>
      <c r="AD8" s="12">
        <f t="shared" si="13"/>
        <v>-1</v>
      </c>
      <c r="AE8" s="12">
        <f t="shared" si="2"/>
        <v>1</v>
      </c>
      <c r="AF8" s="13">
        <f t="shared" si="14"/>
        <v>-1</v>
      </c>
      <c r="AG8" s="2">
        <v>45.2</v>
      </c>
    </row>
    <row r="9" spans="1:33" ht="16.5" thickBot="1" x14ac:dyDescent="0.3">
      <c r="A9" s="30">
        <v>8</v>
      </c>
      <c r="B9" s="12">
        <v>1</v>
      </c>
      <c r="C9" s="12">
        <v>1</v>
      </c>
      <c r="D9" s="12">
        <v>1</v>
      </c>
      <c r="E9" s="12">
        <v>70.510000000000005</v>
      </c>
      <c r="F9" s="12">
        <v>74</v>
      </c>
      <c r="G9" s="12">
        <v>74.680000000000007</v>
      </c>
      <c r="H9" s="12">
        <f t="shared" si="3"/>
        <v>73.063333333333333</v>
      </c>
      <c r="I9" s="47">
        <f>E9-$A$12</f>
        <v>20.641250000000007</v>
      </c>
      <c r="J9" s="47">
        <f t="shared" si="0"/>
        <v>24.131250000000001</v>
      </c>
      <c r="K9" s="48">
        <f t="shared" si="0"/>
        <v>24.811250000000008</v>
      </c>
      <c r="L9" s="49">
        <f t="shared" si="5"/>
        <v>23.194583333333334</v>
      </c>
      <c r="M9" s="31">
        <f t="shared" si="6"/>
        <v>-2.5533333333333275</v>
      </c>
      <c r="N9" s="31">
        <f t="shared" si="7"/>
        <v>0.93666666666666742</v>
      </c>
      <c r="O9" s="31">
        <f t="shared" si="8"/>
        <v>1.6166666666666742</v>
      </c>
      <c r="R9" s="12">
        <v>1</v>
      </c>
      <c r="S9" s="12">
        <v>1</v>
      </c>
      <c r="T9" s="12">
        <v>1</v>
      </c>
      <c r="U9" s="12">
        <f t="shared" si="9"/>
        <v>1</v>
      </c>
      <c r="V9" s="12">
        <f>R9*T9</f>
        <v>1</v>
      </c>
      <c r="W9" s="12">
        <f t="shared" si="1"/>
        <v>1</v>
      </c>
      <c r="X9" s="13">
        <f t="shared" si="11"/>
        <v>1</v>
      </c>
      <c r="Z9" s="12">
        <v>1</v>
      </c>
      <c r="AA9" s="12">
        <v>1</v>
      </c>
      <c r="AB9" s="12">
        <v>1</v>
      </c>
      <c r="AC9" s="12">
        <f t="shared" si="12"/>
        <v>1</v>
      </c>
      <c r="AD9" s="12">
        <f>Z9*AB9</f>
        <v>1</v>
      </c>
      <c r="AE9" s="12">
        <f t="shared" si="2"/>
        <v>1</v>
      </c>
      <c r="AF9" s="13">
        <f t="shared" si="14"/>
        <v>1</v>
      </c>
      <c r="AG9" s="3">
        <v>70.510000000000005</v>
      </c>
    </row>
    <row r="10" spans="1:33" ht="16.5" thickBot="1" x14ac:dyDescent="0.3">
      <c r="Z10" s="12">
        <v>-1</v>
      </c>
      <c r="AA10" s="12">
        <v>-1</v>
      </c>
      <c r="AB10" s="12">
        <v>-1</v>
      </c>
      <c r="AC10" s="12">
        <f>Z10*AA10</f>
        <v>1</v>
      </c>
      <c r="AD10" s="12">
        <f>Z10*AB10</f>
        <v>1</v>
      </c>
      <c r="AE10" s="12">
        <f t="shared" si="2"/>
        <v>1</v>
      </c>
      <c r="AF10" s="13">
        <f>Z10*AA10*AB10</f>
        <v>-1</v>
      </c>
      <c r="AG10" s="2">
        <v>58.58</v>
      </c>
    </row>
    <row r="11" spans="1:33" x14ac:dyDescent="0.25">
      <c r="A11" s="31" t="s">
        <v>14</v>
      </c>
      <c r="B11" s="31" t="s">
        <v>21</v>
      </c>
      <c r="C11" s="31" t="s">
        <v>22</v>
      </c>
      <c r="Q11" s="36"/>
      <c r="R11" s="37" t="s">
        <v>52</v>
      </c>
      <c r="S11" s="37" t="s">
        <v>54</v>
      </c>
      <c r="T11" s="37" t="s">
        <v>56</v>
      </c>
      <c r="U11" s="37" t="s">
        <v>58</v>
      </c>
      <c r="V11" s="37" t="s">
        <v>60</v>
      </c>
      <c r="W11" s="37" t="s">
        <v>62</v>
      </c>
      <c r="X11" s="38" t="s">
        <v>64</v>
      </c>
      <c r="Z11" s="12">
        <v>1</v>
      </c>
      <c r="AA11" s="12">
        <v>-1</v>
      </c>
      <c r="AB11" s="12">
        <v>-1</v>
      </c>
      <c r="AC11" s="12">
        <f t="shared" ref="AC11:AC17" si="15">Z11*AA11</f>
        <v>-1</v>
      </c>
      <c r="AD11" s="12">
        <f t="shared" ref="AD11:AD16" si="16">Z11*AB11</f>
        <v>-1</v>
      </c>
      <c r="AE11" s="12">
        <f t="shared" si="2"/>
        <v>1</v>
      </c>
      <c r="AF11" s="13">
        <f t="shared" ref="AF11:AF17" si="17">Z11*AA11*AB11</f>
        <v>1</v>
      </c>
      <c r="AG11" s="2">
        <v>77.569999999999993</v>
      </c>
    </row>
    <row r="12" spans="1:33" x14ac:dyDescent="0.25">
      <c r="A12" s="31">
        <f>AVERAGE(E2:G9)</f>
        <v>49.868749999999999</v>
      </c>
      <c r="B12" s="9">
        <v>8</v>
      </c>
      <c r="C12" s="9">
        <v>3</v>
      </c>
      <c r="Q12" s="39">
        <v>1</v>
      </c>
      <c r="R12" s="12">
        <f>(H3+H5+H7+H9)/4</f>
        <v>60.603333333333332</v>
      </c>
      <c r="S12" s="12">
        <f>(H4+H5+H8+H9)/4</f>
        <v>50.420833333333334</v>
      </c>
      <c r="T12" s="12">
        <f>SUM(H6:H9)/4</f>
        <v>45.832499999999996</v>
      </c>
      <c r="U12" s="12">
        <f>(H2+H5+H6+H9)/4</f>
        <v>50.95</v>
      </c>
      <c r="V12" s="12">
        <f>(H2+H4+H9+H7)/4</f>
        <v>50.646666666666668</v>
      </c>
      <c r="W12" s="12">
        <f>(H2+H3+H8+H9)/4</f>
        <v>64.185833333333335</v>
      </c>
      <c r="X12" s="13">
        <f>(H3+H4+H9+H6)/4</f>
        <v>49.63666666666667</v>
      </c>
      <c r="Z12" s="12">
        <v>-1</v>
      </c>
      <c r="AA12" s="12">
        <v>1</v>
      </c>
      <c r="AB12" s="12">
        <v>-1</v>
      </c>
      <c r="AC12" s="12">
        <f t="shared" si="15"/>
        <v>-1</v>
      </c>
      <c r="AD12" s="12">
        <f t="shared" si="16"/>
        <v>1</v>
      </c>
      <c r="AE12" s="12">
        <f t="shared" si="2"/>
        <v>-1</v>
      </c>
      <c r="AF12" s="13">
        <f t="shared" si="17"/>
        <v>1</v>
      </c>
      <c r="AG12" s="2">
        <v>34.03</v>
      </c>
    </row>
    <row r="13" spans="1:33" ht="16.5" thickBot="1" x14ac:dyDescent="0.3">
      <c r="Q13" s="40">
        <v>-1</v>
      </c>
      <c r="R13" s="18">
        <f>(H2+H4+H6+H8)/4</f>
        <v>39.134166666666673</v>
      </c>
      <c r="S13" s="18">
        <f>(H2+H3+H6+H7)/4</f>
        <v>49.31666666666667</v>
      </c>
      <c r="T13" s="18">
        <f>AVERAGE(H2:H5)</f>
        <v>53.905000000000001</v>
      </c>
      <c r="U13" s="18">
        <f>(H3+H4+H7+H8)/4</f>
        <v>48.787500000000001</v>
      </c>
      <c r="V13" s="18">
        <f>(H3+H5+H6+H8)/4</f>
        <v>49.090833333333336</v>
      </c>
      <c r="W13" s="18">
        <f>AVERAGE(H4:H7)</f>
        <v>35.551666666666662</v>
      </c>
      <c r="X13" s="35">
        <f>(H2+H5+H7+H8)/4</f>
        <v>50.100833333333334</v>
      </c>
      <c r="Z13" s="12">
        <v>1</v>
      </c>
      <c r="AA13" s="12">
        <v>1</v>
      </c>
      <c r="AB13" s="12">
        <v>-1</v>
      </c>
      <c r="AC13" s="12">
        <f t="shared" si="15"/>
        <v>1</v>
      </c>
      <c r="AD13" s="12">
        <f t="shared" si="16"/>
        <v>-1</v>
      </c>
      <c r="AE13" s="12">
        <f t="shared" si="2"/>
        <v>-1</v>
      </c>
      <c r="AF13" s="13">
        <f t="shared" si="17"/>
        <v>-1</v>
      </c>
      <c r="AG13" s="2">
        <v>48.49</v>
      </c>
    </row>
    <row r="14" spans="1:33" ht="16.5" thickBot="1" x14ac:dyDescent="0.3">
      <c r="A14" s="31" t="s">
        <v>13</v>
      </c>
      <c r="B14" s="31" t="s">
        <v>15</v>
      </c>
      <c r="Q14" s="41" t="s">
        <v>65</v>
      </c>
      <c r="R14" s="42">
        <f>R12+R13</f>
        <v>99.737500000000011</v>
      </c>
      <c r="S14" s="42">
        <f t="shared" ref="S14:X14" si="18">S12+S13</f>
        <v>99.737500000000011</v>
      </c>
      <c r="T14" s="42">
        <f t="shared" si="18"/>
        <v>99.737499999999997</v>
      </c>
      <c r="U14" s="42">
        <f t="shared" si="18"/>
        <v>99.737500000000011</v>
      </c>
      <c r="V14" s="42">
        <f t="shared" si="18"/>
        <v>99.737500000000011</v>
      </c>
      <c r="W14" s="42">
        <f t="shared" si="18"/>
        <v>99.737499999999997</v>
      </c>
      <c r="X14" s="43">
        <f t="shared" si="18"/>
        <v>99.737500000000011</v>
      </c>
      <c r="Z14" s="12">
        <v>-1</v>
      </c>
      <c r="AA14" s="12">
        <v>-1</v>
      </c>
      <c r="AB14" s="12">
        <v>1</v>
      </c>
      <c r="AC14" s="12">
        <f t="shared" si="15"/>
        <v>1</v>
      </c>
      <c r="AD14" s="12">
        <f t="shared" si="16"/>
        <v>-1</v>
      </c>
      <c r="AE14" s="12">
        <f t="shared" si="2"/>
        <v>-1</v>
      </c>
      <c r="AF14" s="13">
        <f t="shared" si="17"/>
        <v>1</v>
      </c>
      <c r="AG14" s="2">
        <v>20.69</v>
      </c>
    </row>
    <row r="15" spans="1:33" x14ac:dyDescent="0.25">
      <c r="A15" s="31">
        <f>SUMSQ(I2:K9)</f>
        <v>8301.528662499999</v>
      </c>
      <c r="B15" s="31">
        <f>C12*SUMSQ(L2:L9)</f>
        <v>8127.2251958333327</v>
      </c>
      <c r="C15" s="31">
        <f>SUMSQ(M2:O9)</f>
        <v>174.30346666666662</v>
      </c>
      <c r="D15" s="31" t="s">
        <v>20</v>
      </c>
      <c r="Z15" s="12">
        <v>1</v>
      </c>
      <c r="AA15" s="12">
        <v>-1</v>
      </c>
      <c r="AB15" s="12">
        <v>1</v>
      </c>
      <c r="AC15" s="12">
        <f t="shared" si="15"/>
        <v>-1</v>
      </c>
      <c r="AD15" s="12">
        <f t="shared" si="16"/>
        <v>1</v>
      </c>
      <c r="AE15" s="12">
        <f t="shared" si="2"/>
        <v>-1</v>
      </c>
      <c r="AF15" s="13">
        <f t="shared" si="17"/>
        <v>-1</v>
      </c>
      <c r="AG15" s="2">
        <v>44.31</v>
      </c>
    </row>
    <row r="16" spans="1:33" x14ac:dyDescent="0.25">
      <c r="Z16" s="12">
        <v>-1</v>
      </c>
      <c r="AA16" s="12">
        <v>1</v>
      </c>
      <c r="AB16" s="12">
        <v>1</v>
      </c>
      <c r="AC16" s="12">
        <f t="shared" si="15"/>
        <v>-1</v>
      </c>
      <c r="AD16" s="12">
        <f t="shared" si="16"/>
        <v>-1</v>
      </c>
      <c r="AE16" s="12">
        <f t="shared" si="2"/>
        <v>1</v>
      </c>
      <c r="AF16" s="13">
        <f t="shared" si="17"/>
        <v>-1</v>
      </c>
      <c r="AG16" s="2">
        <v>49.53</v>
      </c>
    </row>
    <row r="17" spans="1:33" ht="16.5" thickBot="1" x14ac:dyDescent="0.3">
      <c r="A17" s="50" t="s">
        <v>26</v>
      </c>
      <c r="B17" s="50"/>
      <c r="C17" s="50"/>
      <c r="D17" s="50"/>
      <c r="E17" s="50"/>
      <c r="Z17" s="12">
        <v>1</v>
      </c>
      <c r="AA17" s="12">
        <v>1</v>
      </c>
      <c r="AB17" s="12">
        <v>1</v>
      </c>
      <c r="AC17" s="12">
        <f t="shared" si="15"/>
        <v>1</v>
      </c>
      <c r="AD17" s="12">
        <f>Z17*AB17</f>
        <v>1</v>
      </c>
      <c r="AE17" s="12">
        <f t="shared" si="2"/>
        <v>1</v>
      </c>
      <c r="AF17" s="13">
        <f t="shared" si="17"/>
        <v>1</v>
      </c>
      <c r="AG17" s="3">
        <v>74</v>
      </c>
    </row>
    <row r="18" spans="1:33" x14ac:dyDescent="0.25">
      <c r="A18" s="51" t="s">
        <v>4</v>
      </c>
      <c r="B18" s="52" t="s">
        <v>6</v>
      </c>
      <c r="C18" s="52" t="s">
        <v>7</v>
      </c>
      <c r="D18" s="52" t="s">
        <v>9</v>
      </c>
      <c r="E18" s="52" t="s">
        <v>10</v>
      </c>
      <c r="G18" s="31" t="s">
        <v>23</v>
      </c>
      <c r="H18" s="31">
        <f>SQRT(H19)</f>
        <v>0.98944603157237543</v>
      </c>
      <c r="Z18" s="12">
        <v>-1</v>
      </c>
      <c r="AA18" s="12">
        <v>-1</v>
      </c>
      <c r="AB18" s="12">
        <v>-1</v>
      </c>
      <c r="AC18" s="12">
        <f>Z18*AA18</f>
        <v>1</v>
      </c>
      <c r="AD18" s="12">
        <f>Z18*AB18</f>
        <v>1</v>
      </c>
      <c r="AE18" s="12">
        <f t="shared" si="2"/>
        <v>1</v>
      </c>
      <c r="AF18" s="13">
        <f>Z18*AA18*AB18</f>
        <v>-1</v>
      </c>
      <c r="AG18" s="5">
        <v>57.07</v>
      </c>
    </row>
    <row r="19" spans="1:33" x14ac:dyDescent="0.25">
      <c r="A19" s="53" t="s">
        <v>11</v>
      </c>
      <c r="B19" s="31">
        <f>B15</f>
        <v>8127.2251958333327</v>
      </c>
      <c r="C19" s="31">
        <f>B12-1</f>
        <v>7</v>
      </c>
      <c r="D19" s="31">
        <f>B19/C19</f>
        <v>1161.0321708333333</v>
      </c>
      <c r="E19" s="31">
        <f>D19/D20</f>
        <v>106.5757043654133</v>
      </c>
      <c r="G19" s="31" t="s">
        <v>24</v>
      </c>
      <c r="H19" s="31">
        <f>B19/B21</f>
        <v>0.97900344939432216</v>
      </c>
      <c r="Z19" s="12">
        <v>1</v>
      </c>
      <c r="AA19" s="12">
        <v>-1</v>
      </c>
      <c r="AB19" s="12">
        <v>-1</v>
      </c>
      <c r="AC19" s="12">
        <f t="shared" ref="AC19:AC25" si="19">Z19*AA19</f>
        <v>-1</v>
      </c>
      <c r="AD19" s="12">
        <f t="shared" ref="AD19:AD24" si="20">Z19*AB19</f>
        <v>-1</v>
      </c>
      <c r="AE19" s="12">
        <f t="shared" si="2"/>
        <v>1</v>
      </c>
      <c r="AF19" s="13">
        <f t="shared" ref="AF19:AF25" si="21">Z19*AA19*AB19</f>
        <v>1</v>
      </c>
      <c r="AG19" s="5">
        <v>75.75</v>
      </c>
    </row>
    <row r="20" spans="1:33" x14ac:dyDescent="0.25">
      <c r="A20" s="53" t="s">
        <v>12</v>
      </c>
      <c r="B20" s="31">
        <f>C15</f>
        <v>174.30346666666662</v>
      </c>
      <c r="C20" s="31">
        <f>B12*(C12-1)</f>
        <v>16</v>
      </c>
      <c r="D20" s="31">
        <f>B20/C20</f>
        <v>10.893966666666664</v>
      </c>
      <c r="G20" s="31" t="s">
        <v>25</v>
      </c>
      <c r="H20" s="31">
        <f>1-(B20/C20)/(B21/C21)</f>
        <v>0.96981745850433809</v>
      </c>
      <c r="Z20" s="12">
        <v>-1</v>
      </c>
      <c r="AA20" s="12">
        <v>1</v>
      </c>
      <c r="AB20" s="12">
        <v>-1</v>
      </c>
      <c r="AC20" s="12">
        <f t="shared" si="19"/>
        <v>-1</v>
      </c>
      <c r="AD20" s="12">
        <f t="shared" si="20"/>
        <v>1</v>
      </c>
      <c r="AE20" s="12">
        <f t="shared" si="2"/>
        <v>-1</v>
      </c>
      <c r="AF20" s="13">
        <f t="shared" si="21"/>
        <v>1</v>
      </c>
      <c r="AG20" s="5">
        <v>25.07</v>
      </c>
    </row>
    <row r="21" spans="1:33" x14ac:dyDescent="0.25">
      <c r="A21" s="53" t="s">
        <v>13</v>
      </c>
      <c r="B21" s="31">
        <f>A15</f>
        <v>8301.528662499999</v>
      </c>
      <c r="C21" s="31">
        <f>B12*C12-1</f>
        <v>23</v>
      </c>
      <c r="Z21" s="12">
        <v>1</v>
      </c>
      <c r="AA21" s="12">
        <v>1</v>
      </c>
      <c r="AB21" s="12">
        <v>-1</v>
      </c>
      <c r="AC21" s="12">
        <f t="shared" si="19"/>
        <v>1</v>
      </c>
      <c r="AD21" s="12">
        <f t="shared" si="20"/>
        <v>-1</v>
      </c>
      <c r="AE21" s="12">
        <f t="shared" si="2"/>
        <v>-1</v>
      </c>
      <c r="AF21" s="13">
        <f t="shared" si="21"/>
        <v>-1</v>
      </c>
      <c r="AG21" s="5">
        <v>54.37</v>
      </c>
    </row>
    <row r="22" spans="1:33" ht="16.5" thickBot="1" x14ac:dyDescent="0.3">
      <c r="Z22" s="12">
        <v>-1</v>
      </c>
      <c r="AA22" s="12">
        <v>-1</v>
      </c>
      <c r="AB22" s="12">
        <v>1</v>
      </c>
      <c r="AC22" s="12">
        <f t="shared" si="19"/>
        <v>1</v>
      </c>
      <c r="AD22" s="12">
        <f t="shared" si="20"/>
        <v>-1</v>
      </c>
      <c r="AE22" s="12">
        <f t="shared" si="2"/>
        <v>-1</v>
      </c>
      <c r="AF22" s="13">
        <f t="shared" si="21"/>
        <v>1</v>
      </c>
      <c r="AG22" s="5">
        <v>15.41</v>
      </c>
    </row>
    <row r="23" spans="1:33" x14ac:dyDescent="0.25">
      <c r="A23" s="61" t="s">
        <v>27</v>
      </c>
      <c r="B23" s="62"/>
      <c r="C23" s="62"/>
      <c r="D23" s="62"/>
      <c r="E23" s="62"/>
      <c r="F23" s="62"/>
      <c r="G23" s="62"/>
      <c r="H23" s="63"/>
      <c r="Z23" s="12">
        <v>1</v>
      </c>
      <c r="AA23" s="12">
        <v>-1</v>
      </c>
      <c r="AB23" s="12">
        <v>1</v>
      </c>
      <c r="AC23" s="12">
        <f t="shared" si="19"/>
        <v>-1</v>
      </c>
      <c r="AD23" s="12">
        <f t="shared" si="20"/>
        <v>1</v>
      </c>
      <c r="AE23" s="12">
        <f t="shared" si="2"/>
        <v>-1</v>
      </c>
      <c r="AF23" s="13">
        <f t="shared" si="21"/>
        <v>-1</v>
      </c>
      <c r="AG23" s="5">
        <v>36.99</v>
      </c>
    </row>
    <row r="24" spans="1:33" x14ac:dyDescent="0.25">
      <c r="A24" s="64"/>
      <c r="B24" s="65" t="s">
        <v>28</v>
      </c>
      <c r="C24" s="65" t="s">
        <v>29</v>
      </c>
      <c r="D24" s="65" t="s">
        <v>7</v>
      </c>
      <c r="E24" s="65" t="s">
        <v>30</v>
      </c>
      <c r="F24" s="65" t="s">
        <v>107</v>
      </c>
      <c r="G24" s="65" t="s">
        <v>108</v>
      </c>
      <c r="H24" s="66" t="s">
        <v>109</v>
      </c>
      <c r="K24" s="31" t="s">
        <v>49</v>
      </c>
      <c r="Z24" s="12">
        <v>-1</v>
      </c>
      <c r="AA24" s="12">
        <v>1</v>
      </c>
      <c r="AB24" s="12">
        <v>1</v>
      </c>
      <c r="AC24" s="12">
        <f t="shared" si="19"/>
        <v>-1</v>
      </c>
      <c r="AD24" s="12">
        <f t="shared" si="20"/>
        <v>-1</v>
      </c>
      <c r="AE24" s="12">
        <f t="shared" si="2"/>
        <v>1</v>
      </c>
      <c r="AF24" s="13">
        <f t="shared" si="21"/>
        <v>-1</v>
      </c>
      <c r="AG24" s="5">
        <v>50.29</v>
      </c>
    </row>
    <row r="25" spans="1:33" ht="16.5" thickBot="1" x14ac:dyDescent="0.3">
      <c r="A25" s="57" t="s">
        <v>110</v>
      </c>
      <c r="B25" s="73" t="s">
        <v>32</v>
      </c>
      <c r="C25" s="2">
        <f>((R12-$A$12)^2+(R13-A12)^2)*12</f>
        <v>2765.5507041666647</v>
      </c>
      <c r="D25" s="2">
        <v>1</v>
      </c>
      <c r="E25" s="2">
        <f>C25/D25</f>
        <v>2765.5507041666647</v>
      </c>
      <c r="F25" s="2">
        <f t="shared" ref="F25:F32" si="22">E25/$E$32</f>
        <v>253.86076429154969</v>
      </c>
      <c r="G25" s="2">
        <f t="shared" ref="G25:G31" si="23">_xlfn.F.INV(0.99,D25,$D$32)</f>
        <v>8.5309652858961993</v>
      </c>
      <c r="H25" s="58" t="str">
        <f>IF(F25&gt;G25,"significant","NaN")</f>
        <v>significant</v>
      </c>
      <c r="K25" s="31">
        <f>(E2-$H2)^2+(F2-$H2)^2+(G2-$H2)^2</f>
        <v>9.8040666666666656</v>
      </c>
      <c r="Z25" s="12">
        <v>1</v>
      </c>
      <c r="AA25" s="12">
        <v>1</v>
      </c>
      <c r="AB25" s="12">
        <v>1</v>
      </c>
      <c r="AC25" s="12">
        <f t="shared" si="19"/>
        <v>1</v>
      </c>
      <c r="AD25" s="12">
        <f>Z25*AB25</f>
        <v>1</v>
      </c>
      <c r="AE25" s="12">
        <f t="shared" si="2"/>
        <v>1</v>
      </c>
      <c r="AF25" s="13">
        <f t="shared" si="21"/>
        <v>1</v>
      </c>
      <c r="AG25" s="6">
        <v>74.680000000000007</v>
      </c>
    </row>
    <row r="26" spans="1:33" x14ac:dyDescent="0.25">
      <c r="A26" s="57" t="s">
        <v>111</v>
      </c>
      <c r="B26" s="73" t="s">
        <v>33</v>
      </c>
      <c r="C26" s="2">
        <f>4*3*((S12-A12)^2+(S13-A12)^2)</f>
        <v>7.3151041666666359</v>
      </c>
      <c r="D26" s="2">
        <v>1</v>
      </c>
      <c r="E26" s="2">
        <f t="shared" ref="E26:E32" si="24">C26/D26</f>
        <v>7.3151041666666359</v>
      </c>
      <c r="F26" s="2">
        <f t="shared" si="22"/>
        <v>0.67148215067055206</v>
      </c>
      <c r="G26" s="2">
        <f t="shared" si="23"/>
        <v>8.5309652858961993</v>
      </c>
      <c r="H26" s="58" t="str">
        <f t="shared" ref="H26:H31" si="25">IF(F26&gt;G26,"significant","NaN")</f>
        <v>NaN</v>
      </c>
      <c r="K26" s="31">
        <f t="shared" ref="K26:K32" si="26">(E3-$H3)^2+(F3-$H3)^2+(G3-$H3)^2</f>
        <v>2.3772666666666433</v>
      </c>
    </row>
    <row r="27" spans="1:33" x14ac:dyDescent="0.25">
      <c r="A27" s="57" t="s">
        <v>112</v>
      </c>
      <c r="B27" s="73" t="s">
        <v>34</v>
      </c>
      <c r="C27" s="2">
        <f>((T12-A12)^2+(T13-A12)^2)*12</f>
        <v>390.9915375000005</v>
      </c>
      <c r="D27" s="2">
        <v>1</v>
      </c>
      <c r="E27" s="2">
        <f t="shared" si="24"/>
        <v>390.9915375000005</v>
      </c>
      <c r="F27" s="2">
        <f t="shared" si="22"/>
        <v>35.890649334953046</v>
      </c>
      <c r="G27" s="2">
        <f t="shared" si="23"/>
        <v>8.5309652858961993</v>
      </c>
      <c r="H27" s="58" t="str">
        <f t="shared" si="25"/>
        <v>significant</v>
      </c>
      <c r="K27" s="31">
        <f t="shared" si="26"/>
        <v>42.915200000000006</v>
      </c>
    </row>
    <row r="28" spans="1:33" x14ac:dyDescent="0.25">
      <c r="A28" s="57" t="s">
        <v>113</v>
      </c>
      <c r="B28" s="73" t="s">
        <v>38</v>
      </c>
      <c r="C28" s="2">
        <f>((U12-A12)^2+(U13-A12)^2)*12</f>
        <v>28.058437500000039</v>
      </c>
      <c r="D28" s="2">
        <v>1</v>
      </c>
      <c r="E28" s="2">
        <f t="shared" si="24"/>
        <v>28.058437500000039</v>
      </c>
      <c r="F28" s="2">
        <f t="shared" si="22"/>
        <v>2.575594212698777</v>
      </c>
      <c r="G28" s="2">
        <f t="shared" si="23"/>
        <v>8.5309652858961993</v>
      </c>
      <c r="H28" s="58" t="str">
        <f t="shared" si="25"/>
        <v>NaN</v>
      </c>
      <c r="K28" s="31">
        <f t="shared" si="26"/>
        <v>17.289599999999972</v>
      </c>
    </row>
    <row r="29" spans="1:33" x14ac:dyDescent="0.25">
      <c r="A29" s="57" t="s">
        <v>114</v>
      </c>
      <c r="B29" s="73" t="s">
        <v>39</v>
      </c>
      <c r="C29" s="2">
        <f>((V12-$A$12)^2+(V13-$A$12)^2)*12</f>
        <v>14.523704166666649</v>
      </c>
      <c r="D29" s="2">
        <v>1</v>
      </c>
      <c r="E29" s="2">
        <f t="shared" si="24"/>
        <v>14.523704166666649</v>
      </c>
      <c r="F29" s="2">
        <f t="shared" si="22"/>
        <v>1.3331878654545777</v>
      </c>
      <c r="G29" s="2">
        <f t="shared" si="23"/>
        <v>8.5309652858961993</v>
      </c>
      <c r="H29" s="58" t="str">
        <f t="shared" si="25"/>
        <v>NaN</v>
      </c>
      <c r="K29" s="31">
        <f t="shared" si="26"/>
        <v>44.314200000000007</v>
      </c>
    </row>
    <row r="30" spans="1:33" x14ac:dyDescent="0.25">
      <c r="A30" s="57" t="s">
        <v>115</v>
      </c>
      <c r="B30" s="73" t="s">
        <v>40</v>
      </c>
      <c r="C30" s="2">
        <f>((W12-$A$12)^2+(W13-$A$12)^2)*12</f>
        <v>4919.4930041666685</v>
      </c>
      <c r="D30" s="2">
        <v>1</v>
      </c>
      <c r="E30" s="2">
        <f t="shared" si="24"/>
        <v>4919.4930041666685</v>
      </c>
      <c r="F30" s="2">
        <f t="shared" si="22"/>
        <v>451.57959030839737</v>
      </c>
      <c r="G30" s="2">
        <f t="shared" si="23"/>
        <v>8.5309652858961993</v>
      </c>
      <c r="H30" s="58" t="str">
        <f t="shared" si="25"/>
        <v>significant</v>
      </c>
      <c r="K30" s="31">
        <f t="shared" si="26"/>
        <v>32.514466666666657</v>
      </c>
    </row>
    <row r="31" spans="1:33" x14ac:dyDescent="0.25">
      <c r="A31" s="57" t="s">
        <v>116</v>
      </c>
      <c r="B31" s="73" t="s">
        <v>41</v>
      </c>
      <c r="C31" s="2">
        <f>((X12-$A$12)^2+(X13-$A$12)^2)*12</f>
        <v>1.2927041666666503</v>
      </c>
      <c r="D31" s="2">
        <v>1</v>
      </c>
      <c r="E31" s="2">
        <f t="shared" si="24"/>
        <v>1.2927041666666503</v>
      </c>
      <c r="F31" s="2">
        <f t="shared" si="22"/>
        <v>0.11866239416924819</v>
      </c>
      <c r="G31" s="2">
        <f t="shared" si="23"/>
        <v>8.5309652858961993</v>
      </c>
      <c r="H31" s="58" t="str">
        <f t="shared" si="25"/>
        <v>NaN</v>
      </c>
      <c r="K31" s="31">
        <f t="shared" si="26"/>
        <v>15.078199999999981</v>
      </c>
    </row>
    <row r="32" spans="1:33" ht="16.5" thickBot="1" x14ac:dyDescent="0.3">
      <c r="A32" s="67"/>
      <c r="B32" s="74" t="s">
        <v>49</v>
      </c>
      <c r="C32" s="68">
        <f>SUM(K25:K32)</f>
        <v>174.30346666666659</v>
      </c>
      <c r="D32" s="68">
        <v>16</v>
      </c>
      <c r="E32" s="68">
        <f t="shared" si="24"/>
        <v>10.893966666666662</v>
      </c>
      <c r="F32" s="68">
        <f t="shared" si="22"/>
        <v>1</v>
      </c>
      <c r="G32" s="68"/>
      <c r="H32" s="69"/>
      <c r="K32" s="31">
        <f t="shared" si="26"/>
        <v>10.010466666666662</v>
      </c>
    </row>
    <row r="33" spans="1:9" ht="16.5" thickBot="1" x14ac:dyDescent="0.3">
      <c r="A33" s="70"/>
      <c r="B33" s="71" t="s">
        <v>50</v>
      </c>
      <c r="C33" s="71">
        <f>SUMSQ(I2:K9)</f>
        <v>8301.528662499999</v>
      </c>
      <c r="D33" s="71">
        <v>23</v>
      </c>
      <c r="E33" s="71"/>
      <c r="F33" s="71"/>
      <c r="G33" s="71"/>
      <c r="H33" s="72"/>
    </row>
    <row r="35" spans="1:9" x14ac:dyDescent="0.25">
      <c r="A35" s="31" t="s">
        <v>117</v>
      </c>
    </row>
    <row r="36" spans="1:9" x14ac:dyDescent="0.25">
      <c r="A36" s="31" t="s">
        <v>118</v>
      </c>
      <c r="B36" s="31" t="s">
        <v>119</v>
      </c>
      <c r="C36" s="31" t="s">
        <v>120</v>
      </c>
      <c r="D36" s="31" t="s">
        <v>121</v>
      </c>
    </row>
    <row r="37" spans="1:9" x14ac:dyDescent="0.25">
      <c r="A37" s="31">
        <f>A12</f>
        <v>49.868749999999999</v>
      </c>
      <c r="B37" s="31">
        <f>SUMPRODUCT(R2:R9,H2:H9)/8</f>
        <v>10.734583333333331</v>
      </c>
      <c r="C37" s="31">
        <f>SUMPRODUCT(T2:T9,H2:H9)/8</f>
        <v>-4.036249999999999</v>
      </c>
      <c r="D37" s="31">
        <f>SUMPRODUCT(W2:W9,H2:H9)/8</f>
        <v>14.317083333333334</v>
      </c>
    </row>
    <row r="38" spans="1:9" ht="16.5" thickBot="1" x14ac:dyDescent="0.3"/>
    <row r="39" spans="1:9" x14ac:dyDescent="0.25">
      <c r="A39" s="54" t="s">
        <v>143</v>
      </c>
      <c r="B39" s="55"/>
      <c r="C39" s="55"/>
      <c r="D39" s="55"/>
      <c r="E39" s="55"/>
      <c r="F39" s="55"/>
      <c r="G39" s="56"/>
    </row>
    <row r="40" spans="1:9" x14ac:dyDescent="0.25">
      <c r="A40" s="75"/>
      <c r="B40" s="76" t="s">
        <v>145</v>
      </c>
      <c r="C40" s="76" t="s">
        <v>29</v>
      </c>
      <c r="D40" s="76" t="s">
        <v>7</v>
      </c>
      <c r="E40" s="76" t="s">
        <v>30</v>
      </c>
      <c r="F40" s="76" t="s">
        <v>107</v>
      </c>
      <c r="G40" s="77" t="s">
        <v>146</v>
      </c>
    </row>
    <row r="41" spans="1:9" x14ac:dyDescent="0.25">
      <c r="A41" s="57" t="s">
        <v>110</v>
      </c>
      <c r="B41" s="73" t="s">
        <v>32</v>
      </c>
      <c r="C41" s="2">
        <f>C25</f>
        <v>2765.5507041666647</v>
      </c>
      <c r="D41" s="2">
        <v>1</v>
      </c>
      <c r="E41" s="2">
        <f>C41/D41</f>
        <v>2765.5507041666647</v>
      </c>
      <c r="F41" s="2">
        <f>E41/$E$45</f>
        <v>253.86076429154969</v>
      </c>
      <c r="G41" s="58">
        <f>_xlfn.F.INV(0.99,D41,$D$45)</f>
        <v>8.5309652858961993</v>
      </c>
      <c r="I41" s="31" t="s">
        <v>147</v>
      </c>
    </row>
    <row r="42" spans="1:9" x14ac:dyDescent="0.25">
      <c r="A42" s="57" t="s">
        <v>112</v>
      </c>
      <c r="B42" s="73" t="s">
        <v>34</v>
      </c>
      <c r="C42" s="2">
        <f>C27</f>
        <v>390.9915375000005</v>
      </c>
      <c r="D42" s="2">
        <v>1</v>
      </c>
      <c r="E42" s="2">
        <f>C42/D42</f>
        <v>390.9915375000005</v>
      </c>
      <c r="F42" s="2">
        <f>E42/$E$45</f>
        <v>35.890649334953046</v>
      </c>
      <c r="G42" s="58">
        <f>_xlfn.F.INV(0.99,D42,$D$45)</f>
        <v>8.5309652858961993</v>
      </c>
      <c r="I42" s="31">
        <f>(C41+C42+C43)/C46</f>
        <v>0.97283712122981936</v>
      </c>
    </row>
    <row r="43" spans="1:9" x14ac:dyDescent="0.25">
      <c r="A43" s="57" t="s">
        <v>115</v>
      </c>
      <c r="B43" s="73" t="s">
        <v>40</v>
      </c>
      <c r="C43" s="2">
        <f>C30</f>
        <v>4919.4930041666685</v>
      </c>
      <c r="D43" s="2">
        <v>1</v>
      </c>
      <c r="E43" s="2">
        <f>C43/D43</f>
        <v>4919.4930041666685</v>
      </c>
      <c r="F43" s="2">
        <f>E43/$E$45</f>
        <v>451.57959030839737</v>
      </c>
      <c r="G43" s="58">
        <f>_xlfn.F.INV(0.99,D43,$D$45)</f>
        <v>8.5309652858961993</v>
      </c>
      <c r="I43" s="31" t="s">
        <v>148</v>
      </c>
    </row>
    <row r="44" spans="1:9" x14ac:dyDescent="0.25">
      <c r="A44" s="57" t="s">
        <v>144</v>
      </c>
      <c r="B44" s="73" t="s">
        <v>144</v>
      </c>
      <c r="C44" s="2">
        <f>SUM(C26,C28,C29,C31)</f>
        <v>51.189949999999975</v>
      </c>
      <c r="D44" s="2">
        <v>4</v>
      </c>
      <c r="E44" s="2">
        <f>C44/D44</f>
        <v>12.797487499999994</v>
      </c>
      <c r="F44" s="2">
        <f>E44/$E$45</f>
        <v>1.1747316557482888</v>
      </c>
      <c r="G44" s="58">
        <f>_xlfn.F.INV(0.99,D44,$D$45)</f>
        <v>4.772577999723211</v>
      </c>
      <c r="I44" s="31">
        <f>1-(C45/D45)/(C46/D46)</f>
        <v>0.96981745850433809</v>
      </c>
    </row>
    <row r="45" spans="1:9" ht="16.5" thickBot="1" x14ac:dyDescent="0.3">
      <c r="A45" s="67" t="s">
        <v>12</v>
      </c>
      <c r="B45" s="74" t="s">
        <v>49</v>
      </c>
      <c r="C45" s="68">
        <f>C32</f>
        <v>174.30346666666659</v>
      </c>
      <c r="D45" s="68">
        <f>16</f>
        <v>16</v>
      </c>
      <c r="E45" s="68">
        <f>C45/D45</f>
        <v>10.893966666666662</v>
      </c>
      <c r="F45" s="68"/>
      <c r="G45" s="69"/>
    </row>
    <row r="46" spans="1:9" ht="16.5" thickBot="1" x14ac:dyDescent="0.3">
      <c r="A46" s="70"/>
      <c r="B46" s="71" t="s">
        <v>50</v>
      </c>
      <c r="C46" s="71">
        <f>SUM(C41:C45)</f>
        <v>8301.5286625000008</v>
      </c>
      <c r="D46" s="71">
        <f>SUM(D41:D45)</f>
        <v>23</v>
      </c>
      <c r="E46" s="71"/>
      <c r="F46" s="71"/>
      <c r="G46" s="72"/>
    </row>
    <row r="50" spans="1:11" ht="16.5" thickBot="1" x14ac:dyDescent="0.3"/>
    <row r="51" spans="1:11" x14ac:dyDescent="0.25">
      <c r="A51" s="10" t="s">
        <v>42</v>
      </c>
      <c r="B51" s="10" t="s">
        <v>44</v>
      </c>
      <c r="C51" s="10" t="s">
        <v>47</v>
      </c>
      <c r="D51" s="31" t="s">
        <v>241</v>
      </c>
      <c r="E51" s="31" t="s">
        <v>51</v>
      </c>
      <c r="F51" s="31" t="s">
        <v>53</v>
      </c>
      <c r="G51" s="31" t="s">
        <v>55</v>
      </c>
      <c r="H51" s="31" t="s">
        <v>57</v>
      </c>
      <c r="I51" s="31" t="s">
        <v>59</v>
      </c>
      <c r="J51" s="31" t="s">
        <v>61</v>
      </c>
      <c r="K51" s="31" t="s">
        <v>63</v>
      </c>
    </row>
    <row r="52" spans="1:11" x14ac:dyDescent="0.25">
      <c r="A52" s="12">
        <v>-1</v>
      </c>
      <c r="B52" s="12">
        <v>-1</v>
      </c>
      <c r="C52" s="12">
        <v>1</v>
      </c>
      <c r="D52" s="31">
        <v>59.026666666666664</v>
      </c>
      <c r="E52" s="31">
        <v>-1</v>
      </c>
      <c r="F52" s="31">
        <v>0</v>
      </c>
      <c r="G52" s="31">
        <v>-1</v>
      </c>
      <c r="H52" s="31">
        <v>0</v>
      </c>
      <c r="I52" s="31">
        <v>0</v>
      </c>
      <c r="J52" s="31">
        <v>1</v>
      </c>
      <c r="K52" s="31">
        <v>0</v>
      </c>
    </row>
    <row r="53" spans="1:11" x14ac:dyDescent="0.25">
      <c r="A53" s="12">
        <v>1</v>
      </c>
      <c r="B53" s="12">
        <v>-1</v>
      </c>
      <c r="C53" s="12">
        <v>1</v>
      </c>
      <c r="D53" s="31">
        <v>76.313333333333333</v>
      </c>
      <c r="E53" s="31">
        <v>1</v>
      </c>
      <c r="F53" s="31">
        <v>0</v>
      </c>
      <c r="G53" s="31">
        <v>-1</v>
      </c>
      <c r="H53" s="31">
        <v>0</v>
      </c>
      <c r="I53" s="31">
        <v>0</v>
      </c>
      <c r="J53" s="31">
        <v>1</v>
      </c>
      <c r="K53" s="31">
        <v>0</v>
      </c>
    </row>
    <row r="54" spans="1:11" x14ac:dyDescent="0.25">
      <c r="A54" s="12">
        <v>-1</v>
      </c>
      <c r="B54" s="12">
        <v>-1</v>
      </c>
      <c r="C54" s="12">
        <v>-1</v>
      </c>
      <c r="D54" s="31">
        <v>28.870000000000005</v>
      </c>
      <c r="E54" s="31">
        <v>-1</v>
      </c>
      <c r="F54" s="31">
        <v>0</v>
      </c>
      <c r="G54" s="31">
        <v>-1</v>
      </c>
      <c r="H54" s="31">
        <v>0</v>
      </c>
      <c r="I54" s="31">
        <v>0</v>
      </c>
      <c r="J54" s="31">
        <v>-1</v>
      </c>
      <c r="K54" s="31">
        <v>0</v>
      </c>
    </row>
    <row r="55" spans="1:11" x14ac:dyDescent="0.25">
      <c r="A55" s="12">
        <v>1</v>
      </c>
      <c r="B55" s="12">
        <v>-1</v>
      </c>
      <c r="C55" s="12">
        <v>-1</v>
      </c>
      <c r="D55" s="31">
        <v>51.41</v>
      </c>
      <c r="E55" s="31">
        <v>1</v>
      </c>
      <c r="F55" s="31">
        <v>0</v>
      </c>
      <c r="G55" s="31">
        <v>-1</v>
      </c>
      <c r="H55" s="31">
        <v>0</v>
      </c>
      <c r="I55" s="31">
        <v>0</v>
      </c>
      <c r="J55" s="31">
        <v>-1</v>
      </c>
      <c r="K55" s="31">
        <v>0</v>
      </c>
    </row>
    <row r="56" spans="1:11" x14ac:dyDescent="0.25">
      <c r="A56" s="12">
        <v>-1</v>
      </c>
      <c r="B56" s="12">
        <v>1</v>
      </c>
      <c r="C56" s="12">
        <v>-1</v>
      </c>
      <c r="D56" s="31">
        <v>20.3</v>
      </c>
      <c r="E56" s="31">
        <v>-1</v>
      </c>
      <c r="F56" s="31">
        <v>0</v>
      </c>
      <c r="G56" s="31">
        <v>1</v>
      </c>
      <c r="H56" s="31">
        <v>0</v>
      </c>
      <c r="I56" s="31">
        <v>0</v>
      </c>
      <c r="J56" s="31">
        <v>-1</v>
      </c>
      <c r="K56" s="31">
        <v>0</v>
      </c>
    </row>
    <row r="57" spans="1:11" x14ac:dyDescent="0.25">
      <c r="A57" s="12">
        <v>1</v>
      </c>
      <c r="B57" s="12">
        <v>1</v>
      </c>
      <c r="C57" s="12">
        <v>-1</v>
      </c>
      <c r="D57" s="31">
        <v>41.626666666666665</v>
      </c>
      <c r="E57" s="31">
        <v>1</v>
      </c>
      <c r="F57" s="31">
        <v>0</v>
      </c>
      <c r="G57" s="31">
        <v>1</v>
      </c>
      <c r="H57" s="31">
        <v>0</v>
      </c>
      <c r="I57" s="31">
        <v>0</v>
      </c>
      <c r="J57" s="31">
        <v>-1</v>
      </c>
      <c r="K57" s="31">
        <v>0</v>
      </c>
    </row>
    <row r="58" spans="1:11" x14ac:dyDescent="0.25">
      <c r="A58" s="12">
        <v>-1</v>
      </c>
      <c r="B58" s="12">
        <v>1</v>
      </c>
      <c r="C58" s="12">
        <v>1</v>
      </c>
      <c r="D58" s="31">
        <v>48.34</v>
      </c>
      <c r="E58" s="31">
        <v>-1</v>
      </c>
      <c r="F58" s="31">
        <v>0</v>
      </c>
      <c r="G58" s="31">
        <v>1</v>
      </c>
      <c r="H58" s="31">
        <v>0</v>
      </c>
      <c r="I58" s="31">
        <v>0</v>
      </c>
      <c r="J58" s="31">
        <v>1</v>
      </c>
      <c r="K58" s="31">
        <v>0</v>
      </c>
    </row>
    <row r="59" spans="1:11" x14ac:dyDescent="0.25">
      <c r="A59" s="12">
        <v>1</v>
      </c>
      <c r="B59" s="12">
        <v>1</v>
      </c>
      <c r="C59" s="12">
        <v>1</v>
      </c>
      <c r="D59" s="31">
        <v>73.063333333333333</v>
      </c>
      <c r="E59" s="31">
        <v>1</v>
      </c>
      <c r="F59" s="31">
        <v>0</v>
      </c>
      <c r="G59" s="31">
        <v>1</v>
      </c>
      <c r="H59" s="31">
        <v>0</v>
      </c>
      <c r="I59" s="31">
        <v>0</v>
      </c>
      <c r="J59" s="31">
        <v>1</v>
      </c>
      <c r="K59" s="31">
        <v>0</v>
      </c>
    </row>
  </sheetData>
  <mergeCells count="3">
    <mergeCell ref="A17:E17"/>
    <mergeCell ref="A23:H23"/>
    <mergeCell ref="A39:G3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33" sqref="J33"/>
    </sheetView>
  </sheetViews>
  <sheetFormatPr defaultRowHeight="16.5" x14ac:dyDescent="0.25"/>
  <sheetData>
    <row r="1" spans="1:9" x14ac:dyDescent="0.25">
      <c r="A1" t="s">
        <v>122</v>
      </c>
    </row>
    <row r="2" spans="1:9" ht="17.25" thickBot="1" x14ac:dyDescent="0.3"/>
    <row r="3" spans="1:9" ht="17.25" thickBot="1" x14ac:dyDescent="0.3">
      <c r="A3" s="24" t="s">
        <v>123</v>
      </c>
      <c r="B3" s="24"/>
      <c r="D3" t="s">
        <v>129</v>
      </c>
    </row>
    <row r="4" spans="1:9" x14ac:dyDescent="0.25">
      <c r="A4" s="21" t="s">
        <v>124</v>
      </c>
      <c r="B4" s="21">
        <v>0.98944603157237543</v>
      </c>
      <c r="D4" s="23"/>
      <c r="E4" s="23" t="s">
        <v>134</v>
      </c>
      <c r="F4" s="23" t="s">
        <v>5</v>
      </c>
      <c r="G4" s="23" t="s">
        <v>8</v>
      </c>
      <c r="H4" s="23" t="s">
        <v>31</v>
      </c>
      <c r="I4" s="23" t="s">
        <v>135</v>
      </c>
    </row>
    <row r="5" spans="1:9" x14ac:dyDescent="0.25">
      <c r="A5" s="21" t="s">
        <v>125</v>
      </c>
      <c r="B5" s="21">
        <v>0.97900344939432205</v>
      </c>
      <c r="D5" s="21" t="s">
        <v>130</v>
      </c>
      <c r="E5" s="21">
        <v>7</v>
      </c>
      <c r="F5" s="21">
        <v>8127.2251958333318</v>
      </c>
      <c r="G5" s="21">
        <v>1161.0321708333331</v>
      </c>
      <c r="H5" s="21">
        <v>106.57570436541309</v>
      </c>
      <c r="I5" s="21">
        <v>3.2000830664664587E-12</v>
      </c>
    </row>
    <row r="6" spans="1:9" x14ac:dyDescent="0.25">
      <c r="A6" s="21" t="s">
        <v>126</v>
      </c>
      <c r="B6" s="21">
        <v>0.96981745850433798</v>
      </c>
      <c r="D6" s="21" t="s">
        <v>131</v>
      </c>
      <c r="E6" s="21">
        <v>16</v>
      </c>
      <c r="F6" s="21">
        <v>174.30346666666694</v>
      </c>
      <c r="G6" s="21">
        <v>10.893966666666683</v>
      </c>
      <c r="H6" s="21"/>
      <c r="I6" s="21"/>
    </row>
    <row r="7" spans="1:9" ht="17.25" thickBot="1" x14ac:dyDescent="0.3">
      <c r="A7" s="21" t="s">
        <v>127</v>
      </c>
      <c r="B7" s="21">
        <v>3.3006009553817139</v>
      </c>
      <c r="D7" s="22" t="s">
        <v>132</v>
      </c>
      <c r="E7" s="22">
        <v>23</v>
      </c>
      <c r="F7" s="22">
        <v>8301.528662499999</v>
      </c>
      <c r="G7" s="22"/>
      <c r="H7" s="22"/>
      <c r="I7" s="22"/>
    </row>
    <row r="8" spans="1:9" ht="17.25" thickBot="1" x14ac:dyDescent="0.3">
      <c r="A8" s="22" t="s">
        <v>128</v>
      </c>
      <c r="B8" s="22">
        <v>24</v>
      </c>
    </row>
    <row r="15" spans="1:9" ht="17.25" thickBot="1" x14ac:dyDescent="0.3"/>
    <row r="16" spans="1:9" x14ac:dyDescent="0.25">
      <c r="A16" s="23"/>
      <c r="B16" s="23" t="s">
        <v>136</v>
      </c>
      <c r="C16" s="23" t="s">
        <v>127</v>
      </c>
      <c r="D16" s="23" t="s">
        <v>137</v>
      </c>
      <c r="E16" s="23" t="s">
        <v>138</v>
      </c>
      <c r="F16" s="23" t="s">
        <v>139</v>
      </c>
      <c r="G16" s="23" t="s">
        <v>140</v>
      </c>
      <c r="H16" s="23" t="s">
        <v>141</v>
      </c>
      <c r="I16" s="23" t="s">
        <v>142</v>
      </c>
    </row>
    <row r="17" spans="1:9" x14ac:dyDescent="0.25">
      <c r="A17" s="21" t="s">
        <v>133</v>
      </c>
      <c r="B17" s="21">
        <v>49.868750000000006</v>
      </c>
      <c r="C17" s="21">
        <v>0.67373234876898902</v>
      </c>
      <c r="D17" s="21">
        <v>74.01863676446257</v>
      </c>
      <c r="E17" s="21">
        <v>1.0163243607548037E-21</v>
      </c>
      <c r="F17" s="21">
        <v>48.440501223587844</v>
      </c>
      <c r="G17" s="21">
        <v>51.296998776412167</v>
      </c>
      <c r="H17" s="21">
        <v>48.440501223587844</v>
      </c>
      <c r="I17" s="21">
        <v>51.296998776412167</v>
      </c>
    </row>
    <row r="18" spans="1:9" x14ac:dyDescent="0.25">
      <c r="A18" s="21" t="s">
        <v>51</v>
      </c>
      <c r="B18" s="21">
        <v>10.734583333333333</v>
      </c>
      <c r="C18" s="21">
        <v>0.6737323487689888</v>
      </c>
      <c r="D18" s="21">
        <v>15.933008639034544</v>
      </c>
      <c r="E18" s="21">
        <v>3.0810835246894781E-11</v>
      </c>
      <c r="F18" s="21">
        <v>9.306334556921172</v>
      </c>
      <c r="G18" s="21">
        <v>12.162832109745494</v>
      </c>
      <c r="H18" s="21">
        <v>9.306334556921172</v>
      </c>
      <c r="I18" s="21">
        <v>12.162832109745494</v>
      </c>
    </row>
    <row r="19" spans="1:9" x14ac:dyDescent="0.25">
      <c r="A19" s="21" t="s">
        <v>53</v>
      </c>
      <c r="B19" s="21">
        <v>0.55208333333333437</v>
      </c>
      <c r="C19" s="21">
        <v>0.6737323487689888</v>
      </c>
      <c r="D19" s="21">
        <v>0.81944014465399262</v>
      </c>
      <c r="E19" s="21">
        <v>0.42457404740800853</v>
      </c>
      <c r="F19" s="21">
        <v>-0.87616544307882771</v>
      </c>
      <c r="G19" s="21">
        <v>1.9803321097454964</v>
      </c>
      <c r="H19" s="21">
        <v>-0.87616544307882771</v>
      </c>
      <c r="I19" s="21">
        <v>1.9803321097454964</v>
      </c>
    </row>
    <row r="20" spans="1:9" x14ac:dyDescent="0.25">
      <c r="A20" s="21" t="s">
        <v>55</v>
      </c>
      <c r="B20" s="21">
        <v>-4.0362499999999972</v>
      </c>
      <c r="C20" s="21">
        <v>0.67373234876898902</v>
      </c>
      <c r="D20" s="21">
        <v>-5.9908805141609083</v>
      </c>
      <c r="E20" s="21">
        <v>1.8844248146767218E-5</v>
      </c>
      <c r="F20" s="21">
        <v>-5.4644987764121602</v>
      </c>
      <c r="G20" s="21">
        <v>-2.6080012235878347</v>
      </c>
      <c r="H20" s="21">
        <v>-5.4644987764121602</v>
      </c>
      <c r="I20" s="21">
        <v>-2.6080012235878347</v>
      </c>
    </row>
    <row r="21" spans="1:9" x14ac:dyDescent="0.25">
      <c r="A21" s="21" t="s">
        <v>57</v>
      </c>
      <c r="B21" s="21">
        <v>1.0812500000000012</v>
      </c>
      <c r="C21" s="21">
        <v>0.67373234876898902</v>
      </c>
      <c r="D21" s="21">
        <v>1.6048657927374403</v>
      </c>
      <c r="E21" s="21">
        <v>0.12807737096597091</v>
      </c>
      <c r="F21" s="21">
        <v>-0.34699877641216137</v>
      </c>
      <c r="G21" s="21">
        <v>2.5094987764121637</v>
      </c>
      <c r="H21" s="21">
        <v>-0.34699877641216137</v>
      </c>
      <c r="I21" s="21">
        <v>2.5094987764121637</v>
      </c>
    </row>
    <row r="22" spans="1:9" x14ac:dyDescent="0.25">
      <c r="A22" s="21" t="s">
        <v>59</v>
      </c>
      <c r="B22" s="21">
        <v>0.77791666666666381</v>
      </c>
      <c r="C22" s="21">
        <v>0.67373234876898902</v>
      </c>
      <c r="D22" s="21">
        <v>1.1546375472218831</v>
      </c>
      <c r="E22" s="21">
        <v>0.26519329780781442</v>
      </c>
      <c r="F22" s="21">
        <v>-0.65033210974549871</v>
      </c>
      <c r="G22" s="21">
        <v>2.2061654430788264</v>
      </c>
      <c r="H22" s="21">
        <v>-0.65033210974549871</v>
      </c>
      <c r="I22" s="21">
        <v>2.2061654430788264</v>
      </c>
    </row>
    <row r="23" spans="1:9" x14ac:dyDescent="0.25">
      <c r="A23" s="21" t="s">
        <v>61</v>
      </c>
      <c r="B23" s="21">
        <v>14.317083333333329</v>
      </c>
      <c r="C23" s="21">
        <v>0.67373234876898913</v>
      </c>
      <c r="D23" s="21">
        <v>21.250402121098691</v>
      </c>
      <c r="E23" s="21">
        <v>3.7490699005937819E-13</v>
      </c>
      <c r="F23" s="21">
        <v>12.888834556921166</v>
      </c>
      <c r="G23" s="21">
        <v>15.745332109745492</v>
      </c>
      <c r="H23" s="21">
        <v>12.888834556921166</v>
      </c>
      <c r="I23" s="21">
        <v>15.745332109745492</v>
      </c>
    </row>
    <row r="24" spans="1:9" ht="17.25" thickBot="1" x14ac:dyDescent="0.3">
      <c r="A24" s="22" t="s">
        <v>63</v>
      </c>
      <c r="B24" s="22">
        <v>-0.23208333333333186</v>
      </c>
      <c r="C24" s="22">
        <v>0.6737323487689888</v>
      </c>
      <c r="D24" s="22">
        <v>-0.34447408345076991</v>
      </c>
      <c r="E24" s="22">
        <v>0.73497586712811003</v>
      </c>
      <c r="F24" s="22">
        <v>-1.6603321097454939</v>
      </c>
      <c r="G24" s="22">
        <v>1.1961654430788302</v>
      </c>
      <c r="H24" s="22">
        <v>-1.6603321097454939</v>
      </c>
      <c r="I24" s="22">
        <v>1.1961654430788302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6" sqref="B6"/>
    </sheetView>
  </sheetViews>
  <sheetFormatPr defaultRowHeight="16.5" x14ac:dyDescent="0.25"/>
  <sheetData>
    <row r="1" spans="1:9" x14ac:dyDescent="0.25">
      <c r="A1" t="s">
        <v>122</v>
      </c>
    </row>
    <row r="2" spans="1:9" ht="17.25" thickBot="1" x14ac:dyDescent="0.3"/>
    <row r="3" spans="1:9" x14ac:dyDescent="0.25">
      <c r="A3" s="24" t="s">
        <v>123</v>
      </c>
      <c r="B3" s="24"/>
    </row>
    <row r="4" spans="1:9" x14ac:dyDescent="0.25">
      <c r="A4" s="21" t="s">
        <v>124</v>
      </c>
      <c r="B4" s="21">
        <v>0.92034365207808222</v>
      </c>
    </row>
    <row r="5" spans="1:9" x14ac:dyDescent="0.25">
      <c r="A5" s="21" t="s">
        <v>125</v>
      </c>
      <c r="B5" s="21">
        <v>0.84703243792042215</v>
      </c>
    </row>
    <row r="6" spans="1:9" x14ac:dyDescent="0.25">
      <c r="A6" s="21" t="s">
        <v>126</v>
      </c>
      <c r="B6" s="21">
        <v>0.54109731376126646</v>
      </c>
    </row>
    <row r="7" spans="1:9" x14ac:dyDescent="0.25">
      <c r="A7" s="21" t="s">
        <v>127</v>
      </c>
      <c r="B7" s="21">
        <v>5.8933367195460065</v>
      </c>
    </row>
    <row r="8" spans="1:9" ht="17.25" thickBot="1" x14ac:dyDescent="0.3">
      <c r="A8" s="22" t="s">
        <v>128</v>
      </c>
      <c r="B8" s="22">
        <v>16</v>
      </c>
    </row>
    <row r="10" spans="1:9" ht="17.25" thickBot="1" x14ac:dyDescent="0.3">
      <c r="A10" t="s">
        <v>129</v>
      </c>
    </row>
    <row r="11" spans="1:9" x14ac:dyDescent="0.25">
      <c r="A11" s="23"/>
      <c r="B11" s="23" t="s">
        <v>134</v>
      </c>
      <c r="C11" s="23" t="s">
        <v>5</v>
      </c>
      <c r="D11" s="23" t="s">
        <v>8</v>
      </c>
      <c r="E11" s="23" t="s">
        <v>31</v>
      </c>
      <c r="F11" s="23" t="s">
        <v>135</v>
      </c>
    </row>
    <row r="12" spans="1:9" x14ac:dyDescent="0.25">
      <c r="A12" s="21" t="s">
        <v>130</v>
      </c>
      <c r="B12" s="21">
        <v>10</v>
      </c>
      <c r="C12" s="21">
        <v>961.59724971774926</v>
      </c>
      <c r="D12" s="21">
        <v>96.159724971774921</v>
      </c>
      <c r="E12" s="21">
        <v>2.7686668546099118</v>
      </c>
      <c r="F12" s="21">
        <v>0.1362629138139265</v>
      </c>
    </row>
    <row r="13" spans="1:9" x14ac:dyDescent="0.25">
      <c r="A13" s="21" t="s">
        <v>131</v>
      </c>
      <c r="B13" s="21">
        <v>5</v>
      </c>
      <c r="C13" s="21">
        <v>173.6570884497464</v>
      </c>
      <c r="D13" s="21">
        <v>34.731417689949282</v>
      </c>
      <c r="E13" s="21"/>
      <c r="F13" s="21"/>
    </row>
    <row r="14" spans="1:9" ht="17.25" thickBot="1" x14ac:dyDescent="0.3">
      <c r="A14" s="22" t="s">
        <v>132</v>
      </c>
      <c r="B14" s="22">
        <v>15</v>
      </c>
      <c r="C14" s="22">
        <v>1135.2543381674957</v>
      </c>
      <c r="D14" s="22"/>
      <c r="E14" s="22"/>
      <c r="F14" s="22"/>
    </row>
    <row r="15" spans="1:9" ht="17.25" thickBot="1" x14ac:dyDescent="0.3"/>
    <row r="16" spans="1:9" x14ac:dyDescent="0.25">
      <c r="A16" s="23"/>
      <c r="B16" s="23" t="s">
        <v>136</v>
      </c>
      <c r="C16" s="23" t="s">
        <v>127</v>
      </c>
      <c r="D16" s="23" t="s">
        <v>137</v>
      </c>
      <c r="E16" s="23" t="s">
        <v>138</v>
      </c>
      <c r="F16" s="23" t="s">
        <v>139</v>
      </c>
      <c r="G16" s="23" t="s">
        <v>140</v>
      </c>
      <c r="H16" s="23" t="s">
        <v>141</v>
      </c>
      <c r="I16" s="23" t="s">
        <v>142</v>
      </c>
    </row>
    <row r="17" spans="1:9" x14ac:dyDescent="0.25">
      <c r="A17" s="21" t="s">
        <v>133</v>
      </c>
      <c r="B17" s="21">
        <v>6.449272418536494</v>
      </c>
      <c r="C17" s="21">
        <v>1.4733341798865016</v>
      </c>
      <c r="D17" s="21">
        <v>4.3773317055831242</v>
      </c>
      <c r="E17" s="21">
        <v>7.1725348328736593E-3</v>
      </c>
      <c r="F17" s="21">
        <v>2.6619463378981258</v>
      </c>
      <c r="G17" s="21">
        <v>10.236598499174862</v>
      </c>
      <c r="H17" s="21">
        <v>2.6619463378981258</v>
      </c>
      <c r="I17" s="21">
        <v>10.236598499174862</v>
      </c>
    </row>
    <row r="18" spans="1:9" x14ac:dyDescent="0.25">
      <c r="A18" s="21" t="s">
        <v>51</v>
      </c>
      <c r="B18" s="21">
        <v>1.4891721509214406</v>
      </c>
      <c r="C18" s="21">
        <v>1.4733341798865016</v>
      </c>
      <c r="D18" s="21">
        <v>1.0107497479194836</v>
      </c>
      <c r="E18" s="21">
        <v>0.35851981756311374</v>
      </c>
      <c r="F18" s="21">
        <v>-2.2981539297169276</v>
      </c>
      <c r="G18" s="21">
        <v>5.2764982315598088</v>
      </c>
      <c r="H18" s="21">
        <v>-2.2981539297169276</v>
      </c>
      <c r="I18" s="21">
        <v>5.2764982315598088</v>
      </c>
    </row>
    <row r="19" spans="1:9" x14ac:dyDescent="0.25">
      <c r="A19" s="21" t="s">
        <v>53</v>
      </c>
      <c r="B19" s="21">
        <v>3.7882313255458619</v>
      </c>
      <c r="C19" s="21">
        <v>1.4733341798865016</v>
      </c>
      <c r="D19" s="21">
        <v>2.5711962549037506</v>
      </c>
      <c r="E19" s="21">
        <v>4.9962734970466154E-2</v>
      </c>
      <c r="F19" s="21">
        <v>9.0524490749377406E-4</v>
      </c>
      <c r="G19" s="21">
        <v>7.5755574061842301</v>
      </c>
      <c r="H19" s="21">
        <v>9.0524490749377406E-4</v>
      </c>
      <c r="I19" s="21">
        <v>7.5755574061842301</v>
      </c>
    </row>
    <row r="20" spans="1:9" x14ac:dyDescent="0.25">
      <c r="A20" s="21" t="s">
        <v>55</v>
      </c>
      <c r="B20" s="21">
        <v>-1.1476638107710104</v>
      </c>
      <c r="C20" s="21">
        <v>1.4733341798865016</v>
      </c>
      <c r="D20" s="21">
        <v>-0.77895689005152979</v>
      </c>
      <c r="E20" s="21">
        <v>0.47124496720546255</v>
      </c>
      <c r="F20" s="21">
        <v>-4.9349898914093782</v>
      </c>
      <c r="G20" s="21">
        <v>2.6396622698673577</v>
      </c>
      <c r="H20" s="21">
        <v>-4.9349898914093782</v>
      </c>
      <c r="I20" s="21">
        <v>2.6396622698673577</v>
      </c>
    </row>
    <row r="21" spans="1:9" x14ac:dyDescent="0.25">
      <c r="A21" s="21" t="s">
        <v>74</v>
      </c>
      <c r="B21" s="21">
        <v>0.72051759057609355</v>
      </c>
      <c r="C21" s="21">
        <v>1.4733341798865016</v>
      </c>
      <c r="D21" s="21">
        <v>0.48903880763263002</v>
      </c>
      <c r="E21" s="21">
        <v>0.64551003866192302</v>
      </c>
      <c r="F21" s="21">
        <v>-3.0668084900622747</v>
      </c>
      <c r="G21" s="21">
        <v>4.5078436712144621</v>
      </c>
      <c r="H21" s="21">
        <v>-3.0668084900622747</v>
      </c>
      <c r="I21" s="21">
        <v>4.5078436712144621</v>
      </c>
    </row>
    <row r="22" spans="1:9" x14ac:dyDescent="0.25">
      <c r="A22" s="21" t="s">
        <v>57</v>
      </c>
      <c r="B22" s="21">
        <v>3.7426199789721819</v>
      </c>
      <c r="C22" s="21">
        <v>1.4733341798865016</v>
      </c>
      <c r="D22" s="21">
        <v>2.5402383451529609</v>
      </c>
      <c r="E22" s="21">
        <v>5.18787476525411E-2</v>
      </c>
      <c r="F22" s="21">
        <v>-4.4706101666186271E-2</v>
      </c>
      <c r="G22" s="21">
        <v>7.5299460596105501</v>
      </c>
      <c r="H22" s="21">
        <v>-4.4706101666186271E-2</v>
      </c>
      <c r="I22" s="21">
        <v>7.5299460596105501</v>
      </c>
    </row>
    <row r="23" spans="1:9" x14ac:dyDescent="0.25">
      <c r="A23" s="21" t="s">
        <v>59</v>
      </c>
      <c r="B23" s="21">
        <v>-0.49387005778698978</v>
      </c>
      <c r="C23" s="21">
        <v>1.4733341798865016</v>
      </c>
      <c r="D23" s="21">
        <v>-0.33520572897116602</v>
      </c>
      <c r="E23" s="21">
        <v>0.75107622458220613</v>
      </c>
      <c r="F23" s="21">
        <v>-4.2811961384253578</v>
      </c>
      <c r="G23" s="21">
        <v>3.2934560228513785</v>
      </c>
      <c r="H23" s="21">
        <v>-4.2811961384253578</v>
      </c>
      <c r="I23" s="21">
        <v>3.2934560228513785</v>
      </c>
    </row>
    <row r="24" spans="1:9" x14ac:dyDescent="0.25">
      <c r="A24" s="21" t="s">
        <v>89</v>
      </c>
      <c r="B24" s="21">
        <v>2.2482805430623514</v>
      </c>
      <c r="C24" s="21">
        <v>1.4733341798865016</v>
      </c>
      <c r="D24" s="21">
        <v>1.5259813922429655</v>
      </c>
      <c r="E24" s="21">
        <v>0.18753686180295728</v>
      </c>
      <c r="F24" s="21">
        <v>-1.5390455375760168</v>
      </c>
      <c r="G24" s="21">
        <v>6.0356066237007191</v>
      </c>
      <c r="H24" s="21">
        <v>-1.5390455375760168</v>
      </c>
      <c r="I24" s="21">
        <v>6.0356066237007191</v>
      </c>
    </row>
    <row r="25" spans="1:9" x14ac:dyDescent="0.25">
      <c r="A25" s="21" t="s">
        <v>61</v>
      </c>
      <c r="B25" s="21">
        <v>-3.2171587995742681</v>
      </c>
      <c r="C25" s="21">
        <v>1.4733341798865016</v>
      </c>
      <c r="D25" s="21">
        <v>-2.1835906907570029</v>
      </c>
      <c r="E25" s="21">
        <v>8.0746496472984305E-2</v>
      </c>
      <c r="F25" s="21">
        <v>-7.0044848802126367</v>
      </c>
      <c r="G25" s="21">
        <v>0.57016728106410008</v>
      </c>
      <c r="H25" s="21">
        <v>-7.0044848802126367</v>
      </c>
      <c r="I25" s="21">
        <v>0.57016728106410008</v>
      </c>
    </row>
    <row r="26" spans="1:9" x14ac:dyDescent="0.25">
      <c r="A26" s="21" t="s">
        <v>91</v>
      </c>
      <c r="B26" s="21">
        <v>1.5787225908038438</v>
      </c>
      <c r="C26" s="21">
        <v>1.4733341798865016</v>
      </c>
      <c r="D26" s="21">
        <v>1.0715305545449714</v>
      </c>
      <c r="E26" s="21">
        <v>0.33290409817865396</v>
      </c>
      <c r="F26" s="21">
        <v>-2.2086034898345241</v>
      </c>
      <c r="G26" s="21">
        <v>5.3660486714422122</v>
      </c>
      <c r="H26" s="21">
        <v>-2.2086034898345241</v>
      </c>
      <c r="I26" s="21">
        <v>5.3660486714422122</v>
      </c>
    </row>
    <row r="27" spans="1:9" ht="17.25" thickBot="1" x14ac:dyDescent="0.3">
      <c r="A27" s="22" t="s">
        <v>149</v>
      </c>
      <c r="B27" s="22">
        <v>-3.0898004650565709</v>
      </c>
      <c r="C27" s="22">
        <v>1.4733341798865016</v>
      </c>
      <c r="D27" s="22">
        <v>-2.0971484319291323</v>
      </c>
      <c r="E27" s="22">
        <v>9.0078650299402804E-2</v>
      </c>
      <c r="F27" s="22">
        <v>-6.8771265456949386</v>
      </c>
      <c r="G27" s="22">
        <v>0.69752561558179726</v>
      </c>
      <c r="H27" s="22">
        <v>-6.8771265456949386</v>
      </c>
      <c r="I27" s="22">
        <v>0.69752561558179726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E42" sqref="E42"/>
    </sheetView>
  </sheetViews>
  <sheetFormatPr defaultRowHeight="16.5" x14ac:dyDescent="0.25"/>
  <sheetData>
    <row r="1" spans="1:9" x14ac:dyDescent="0.25">
      <c r="A1" t="s">
        <v>122</v>
      </c>
    </row>
    <row r="2" spans="1:9" ht="17.25" thickBot="1" x14ac:dyDescent="0.3"/>
    <row r="3" spans="1:9" x14ac:dyDescent="0.25">
      <c r="A3" s="24" t="s">
        <v>123</v>
      </c>
      <c r="B3" s="24"/>
    </row>
    <row r="4" spans="1:9" x14ac:dyDescent="0.25">
      <c r="A4" s="21" t="s">
        <v>124</v>
      </c>
      <c r="B4" s="21">
        <v>0.92034365207808222</v>
      </c>
    </row>
    <row r="5" spans="1:9" x14ac:dyDescent="0.25">
      <c r="A5" s="21" t="s">
        <v>125</v>
      </c>
      <c r="B5" s="21">
        <v>0.84703243792042215</v>
      </c>
    </row>
    <row r="6" spans="1:9" x14ac:dyDescent="0.25">
      <c r="A6" s="21" t="s">
        <v>126</v>
      </c>
      <c r="B6" s="21">
        <v>0.54109731376126646</v>
      </c>
    </row>
    <row r="7" spans="1:9" x14ac:dyDescent="0.25">
      <c r="A7" s="21" t="s">
        <v>127</v>
      </c>
      <c r="B7" s="21">
        <v>5.8933367195460065</v>
      </c>
    </row>
    <row r="8" spans="1:9" ht="17.25" thickBot="1" x14ac:dyDescent="0.3">
      <c r="A8" s="22" t="s">
        <v>128</v>
      </c>
      <c r="B8" s="22">
        <v>16</v>
      </c>
    </row>
    <row r="10" spans="1:9" ht="17.25" thickBot="1" x14ac:dyDescent="0.3">
      <c r="A10" t="s">
        <v>129</v>
      </c>
    </row>
    <row r="11" spans="1:9" x14ac:dyDescent="0.25">
      <c r="A11" s="23"/>
      <c r="B11" s="23" t="s">
        <v>134</v>
      </c>
      <c r="C11" s="23" t="s">
        <v>5</v>
      </c>
      <c r="D11" s="23" t="s">
        <v>8</v>
      </c>
      <c r="E11" s="23" t="s">
        <v>31</v>
      </c>
      <c r="F11" s="23" t="s">
        <v>135</v>
      </c>
    </row>
    <row r="12" spans="1:9" x14ac:dyDescent="0.25">
      <c r="A12" s="21" t="s">
        <v>130</v>
      </c>
      <c r="B12" s="21">
        <v>10</v>
      </c>
      <c r="C12" s="21">
        <v>961.59724971774926</v>
      </c>
      <c r="D12" s="21">
        <v>96.159724971774921</v>
      </c>
      <c r="E12" s="21">
        <v>2.7686668546099118</v>
      </c>
      <c r="F12" s="21">
        <v>0.1362629138139265</v>
      </c>
    </row>
    <row r="13" spans="1:9" x14ac:dyDescent="0.25">
      <c r="A13" s="21" t="s">
        <v>131</v>
      </c>
      <c r="B13" s="21">
        <v>5</v>
      </c>
      <c r="C13" s="21">
        <v>173.6570884497464</v>
      </c>
      <c r="D13" s="21">
        <v>34.731417689949282</v>
      </c>
      <c r="E13" s="21"/>
      <c r="F13" s="21"/>
    </row>
    <row r="14" spans="1:9" ht="17.25" thickBot="1" x14ac:dyDescent="0.3">
      <c r="A14" s="22" t="s">
        <v>132</v>
      </c>
      <c r="B14" s="22">
        <v>15</v>
      </c>
      <c r="C14" s="22">
        <v>1135.2543381674957</v>
      </c>
      <c r="D14" s="22"/>
      <c r="E14" s="22"/>
      <c r="F14" s="22"/>
    </row>
    <row r="15" spans="1:9" ht="17.25" thickBot="1" x14ac:dyDescent="0.3"/>
    <row r="16" spans="1:9" x14ac:dyDescent="0.25">
      <c r="A16" s="23"/>
      <c r="B16" s="23" t="s">
        <v>136</v>
      </c>
      <c r="C16" s="23" t="s">
        <v>127</v>
      </c>
      <c r="D16" s="23" t="s">
        <v>137</v>
      </c>
      <c r="E16" s="23" t="s">
        <v>138</v>
      </c>
      <c r="F16" s="23" t="s">
        <v>139</v>
      </c>
      <c r="G16" s="23" t="s">
        <v>140</v>
      </c>
      <c r="H16" s="23" t="s">
        <v>141</v>
      </c>
      <c r="I16" s="23" t="s">
        <v>142</v>
      </c>
    </row>
    <row r="17" spans="1:9" x14ac:dyDescent="0.25">
      <c r="A17" s="21" t="s">
        <v>133</v>
      </c>
      <c r="B17" s="21">
        <v>6.449272418536494</v>
      </c>
      <c r="C17" s="21">
        <v>1.4733341798865016</v>
      </c>
      <c r="D17" s="21">
        <v>4.3773317055831242</v>
      </c>
      <c r="E17" s="21">
        <v>7.1725348328736593E-3</v>
      </c>
      <c r="F17" s="21">
        <v>2.6619463378981258</v>
      </c>
      <c r="G17" s="21">
        <v>10.236598499174862</v>
      </c>
      <c r="H17" s="21">
        <v>2.6619463378981258</v>
      </c>
      <c r="I17" s="21">
        <v>10.236598499174862</v>
      </c>
    </row>
    <row r="18" spans="1:9" x14ac:dyDescent="0.25">
      <c r="A18" s="21" t="s">
        <v>51</v>
      </c>
      <c r="B18" s="21">
        <v>1.4891721509214406</v>
      </c>
      <c r="C18" s="21">
        <v>1.4733341798865016</v>
      </c>
      <c r="D18" s="21">
        <v>1.0107497479194836</v>
      </c>
      <c r="E18" s="21">
        <v>0.35851981756311374</v>
      </c>
      <c r="F18" s="21">
        <v>-2.2981539297169276</v>
      </c>
      <c r="G18" s="21">
        <v>5.2764982315598088</v>
      </c>
      <c r="H18" s="21">
        <v>-2.2981539297169276</v>
      </c>
      <c r="I18" s="21">
        <v>5.2764982315598088</v>
      </c>
    </row>
    <row r="19" spans="1:9" x14ac:dyDescent="0.25">
      <c r="A19" s="21" t="s">
        <v>53</v>
      </c>
      <c r="B19" s="21">
        <v>3.7882313255458619</v>
      </c>
      <c r="C19" s="21">
        <v>1.4733341798865016</v>
      </c>
      <c r="D19" s="21">
        <v>2.5711962549037506</v>
      </c>
      <c r="E19" s="21">
        <v>4.9962734970466154E-2</v>
      </c>
      <c r="F19" s="21">
        <v>9.0524490749377406E-4</v>
      </c>
      <c r="G19" s="21">
        <v>7.5755574061842301</v>
      </c>
      <c r="H19" s="21">
        <v>9.0524490749377406E-4</v>
      </c>
      <c r="I19" s="21">
        <v>7.5755574061842301</v>
      </c>
    </row>
    <row r="20" spans="1:9" x14ac:dyDescent="0.25">
      <c r="A20" s="21" t="s">
        <v>55</v>
      </c>
      <c r="B20" s="21">
        <v>-1.1476638107710104</v>
      </c>
      <c r="C20" s="21">
        <v>1.4733341798865016</v>
      </c>
      <c r="D20" s="21">
        <v>-0.77895689005152979</v>
      </c>
      <c r="E20" s="21">
        <v>0.47124496720546255</v>
      </c>
      <c r="F20" s="21">
        <v>-4.9349898914093782</v>
      </c>
      <c r="G20" s="21">
        <v>2.6396622698673577</v>
      </c>
      <c r="H20" s="21">
        <v>-4.9349898914093782</v>
      </c>
      <c r="I20" s="21">
        <v>2.6396622698673577</v>
      </c>
    </row>
    <row r="21" spans="1:9" x14ac:dyDescent="0.25">
      <c r="A21" s="21" t="s">
        <v>74</v>
      </c>
      <c r="B21" s="21">
        <v>0.72051759057609355</v>
      </c>
      <c r="C21" s="21">
        <v>1.4733341798865016</v>
      </c>
      <c r="D21" s="21">
        <v>0.48903880763263002</v>
      </c>
      <c r="E21" s="21">
        <v>0.64551003866192302</v>
      </c>
      <c r="F21" s="21">
        <v>-3.0668084900622747</v>
      </c>
      <c r="G21" s="21">
        <v>4.5078436712144621</v>
      </c>
      <c r="H21" s="21">
        <v>-3.0668084900622747</v>
      </c>
      <c r="I21" s="21">
        <v>4.5078436712144621</v>
      </c>
    </row>
    <row r="22" spans="1:9" x14ac:dyDescent="0.25">
      <c r="A22" s="21" t="s">
        <v>57</v>
      </c>
      <c r="B22" s="21">
        <v>3.7426199789721819</v>
      </c>
      <c r="C22" s="21">
        <v>1.4733341798865016</v>
      </c>
      <c r="D22" s="21">
        <v>2.5402383451529609</v>
      </c>
      <c r="E22" s="21">
        <v>5.18787476525411E-2</v>
      </c>
      <c r="F22" s="21">
        <v>-4.4706101666186271E-2</v>
      </c>
      <c r="G22" s="21">
        <v>7.5299460596105501</v>
      </c>
      <c r="H22" s="21">
        <v>-4.4706101666186271E-2</v>
      </c>
      <c r="I22" s="21">
        <v>7.5299460596105501</v>
      </c>
    </row>
    <row r="23" spans="1:9" x14ac:dyDescent="0.25">
      <c r="A23" s="21" t="s">
        <v>59</v>
      </c>
      <c r="B23" s="21">
        <v>-0.49387005778698978</v>
      </c>
      <c r="C23" s="21">
        <v>1.4733341798865016</v>
      </c>
      <c r="D23" s="21">
        <v>-0.33520572897116602</v>
      </c>
      <c r="E23" s="21">
        <v>0.75107622458220613</v>
      </c>
      <c r="F23" s="21">
        <v>-4.2811961384253578</v>
      </c>
      <c r="G23" s="21">
        <v>3.2934560228513785</v>
      </c>
      <c r="H23" s="21">
        <v>-4.2811961384253578</v>
      </c>
      <c r="I23" s="21">
        <v>3.2934560228513785</v>
      </c>
    </row>
    <row r="24" spans="1:9" x14ac:dyDescent="0.25">
      <c r="A24" s="21" t="s">
        <v>89</v>
      </c>
      <c r="B24" s="21">
        <v>2.2482805430623514</v>
      </c>
      <c r="C24" s="21">
        <v>1.4733341798865016</v>
      </c>
      <c r="D24" s="21">
        <v>1.5259813922429655</v>
      </c>
      <c r="E24" s="21">
        <v>0.18753686180295728</v>
      </c>
      <c r="F24" s="21">
        <v>-1.5390455375760168</v>
      </c>
      <c r="G24" s="21">
        <v>6.0356066237007191</v>
      </c>
      <c r="H24" s="21">
        <v>-1.5390455375760168</v>
      </c>
      <c r="I24" s="21">
        <v>6.0356066237007191</v>
      </c>
    </row>
    <row r="25" spans="1:9" x14ac:dyDescent="0.25">
      <c r="A25" s="21" t="s">
        <v>61</v>
      </c>
      <c r="B25" s="21">
        <v>-3.2171587995742681</v>
      </c>
      <c r="C25" s="21">
        <v>1.4733341798865016</v>
      </c>
      <c r="D25" s="21">
        <v>-2.1835906907570029</v>
      </c>
      <c r="E25" s="21">
        <v>8.0746496472984305E-2</v>
      </c>
      <c r="F25" s="21">
        <v>-7.0044848802126367</v>
      </c>
      <c r="G25" s="21">
        <v>0.57016728106410008</v>
      </c>
      <c r="H25" s="21">
        <v>-7.0044848802126367</v>
      </c>
      <c r="I25" s="21">
        <v>0.57016728106410008</v>
      </c>
    </row>
    <row r="26" spans="1:9" x14ac:dyDescent="0.25">
      <c r="A26" s="21" t="s">
        <v>91</v>
      </c>
      <c r="B26" s="21">
        <v>1.5787225908038438</v>
      </c>
      <c r="C26" s="21">
        <v>1.4733341798865016</v>
      </c>
      <c r="D26" s="21">
        <v>1.0715305545449714</v>
      </c>
      <c r="E26" s="21">
        <v>0.33290409817865396</v>
      </c>
      <c r="F26" s="21">
        <v>-2.2086034898345241</v>
      </c>
      <c r="G26" s="21">
        <v>5.3660486714422122</v>
      </c>
      <c r="H26" s="21">
        <v>-2.2086034898345241</v>
      </c>
      <c r="I26" s="21">
        <v>5.3660486714422122</v>
      </c>
    </row>
    <row r="27" spans="1:9" ht="17.25" thickBot="1" x14ac:dyDescent="0.3">
      <c r="A27" s="22" t="s">
        <v>149</v>
      </c>
      <c r="B27" s="22">
        <v>-3.0898004650565709</v>
      </c>
      <c r="C27" s="22">
        <v>1.4733341798865016</v>
      </c>
      <c r="D27" s="22">
        <v>-2.0971484319291323</v>
      </c>
      <c r="E27" s="22">
        <v>9.0078650299402804E-2</v>
      </c>
      <c r="F27" s="22">
        <v>-6.8771265456949386</v>
      </c>
      <c r="G27" s="22">
        <v>0.69752561558179726</v>
      </c>
      <c r="H27" s="22">
        <v>-6.8771265456949386</v>
      </c>
      <c r="I27" s="22">
        <v>0.69752561558179726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E31" sqref="E31"/>
    </sheetView>
  </sheetViews>
  <sheetFormatPr defaultRowHeight="16.5" x14ac:dyDescent="0.25"/>
  <sheetData>
    <row r="1" spans="1:9" x14ac:dyDescent="0.25">
      <c r="A1" t="s">
        <v>122</v>
      </c>
    </row>
    <row r="2" spans="1:9" ht="17.25" thickBot="1" x14ac:dyDescent="0.3"/>
    <row r="3" spans="1:9" x14ac:dyDescent="0.25">
      <c r="A3" s="24" t="s">
        <v>123</v>
      </c>
      <c r="B3" s="24"/>
    </row>
    <row r="4" spans="1:9" ht="17.25" thickBot="1" x14ac:dyDescent="0.3">
      <c r="A4" s="21" t="s">
        <v>124</v>
      </c>
      <c r="B4" s="21">
        <v>0.92034365207808222</v>
      </c>
      <c r="D4" t="s">
        <v>129</v>
      </c>
    </row>
    <row r="5" spans="1:9" x14ac:dyDescent="0.25">
      <c r="A5" s="21" t="s">
        <v>125</v>
      </c>
      <c r="B5" s="21">
        <v>0.84703243792042215</v>
      </c>
      <c r="D5" s="23"/>
      <c r="E5" s="23" t="s">
        <v>134</v>
      </c>
      <c r="F5" s="23" t="s">
        <v>5</v>
      </c>
      <c r="G5" s="23" t="s">
        <v>8</v>
      </c>
      <c r="H5" s="23" t="s">
        <v>31</v>
      </c>
      <c r="I5" s="23" t="s">
        <v>135</v>
      </c>
    </row>
    <row r="6" spans="1:9" x14ac:dyDescent="0.25">
      <c r="A6" s="21" t="s">
        <v>126</v>
      </c>
      <c r="B6" s="21">
        <v>0.54109731376126646</v>
      </c>
      <c r="D6" s="21" t="s">
        <v>130</v>
      </c>
      <c r="E6" s="21">
        <v>10</v>
      </c>
      <c r="F6" s="21">
        <v>961.59724971774926</v>
      </c>
      <c r="G6" s="21">
        <v>96.159724971774921</v>
      </c>
      <c r="H6" s="21">
        <v>2.7686668546099118</v>
      </c>
      <c r="I6" s="21">
        <v>0.1362629138139265</v>
      </c>
    </row>
    <row r="7" spans="1:9" x14ac:dyDescent="0.25">
      <c r="A7" s="21" t="s">
        <v>127</v>
      </c>
      <c r="B7" s="21">
        <v>5.8933367195460065</v>
      </c>
      <c r="D7" s="21" t="s">
        <v>131</v>
      </c>
      <c r="E7" s="21">
        <v>5</v>
      </c>
      <c r="F7" s="21">
        <v>173.6570884497464</v>
      </c>
      <c r="G7" s="21">
        <v>34.731417689949282</v>
      </c>
      <c r="H7" s="21"/>
      <c r="I7" s="21"/>
    </row>
    <row r="8" spans="1:9" ht="17.25" thickBot="1" x14ac:dyDescent="0.3">
      <c r="A8" s="22" t="s">
        <v>128</v>
      </c>
      <c r="B8" s="22">
        <v>16</v>
      </c>
      <c r="D8" s="22" t="s">
        <v>132</v>
      </c>
      <c r="E8" s="22">
        <v>15</v>
      </c>
      <c r="F8" s="22">
        <v>1135.2543381674957</v>
      </c>
      <c r="G8" s="22"/>
      <c r="H8" s="22"/>
      <c r="I8" s="22"/>
    </row>
    <row r="15" spans="1:9" ht="17.25" thickBot="1" x14ac:dyDescent="0.3"/>
    <row r="16" spans="1:9" x14ac:dyDescent="0.25">
      <c r="A16" s="23"/>
      <c r="B16" s="23" t="s">
        <v>136</v>
      </c>
      <c r="C16" s="23" t="s">
        <v>127</v>
      </c>
      <c r="D16" s="23" t="s">
        <v>137</v>
      </c>
      <c r="E16" s="23" t="s">
        <v>138</v>
      </c>
      <c r="F16" s="23" t="s">
        <v>139</v>
      </c>
      <c r="G16" s="23" t="s">
        <v>140</v>
      </c>
      <c r="H16" s="23" t="s">
        <v>251</v>
      </c>
      <c r="I16" s="23" t="s">
        <v>252</v>
      </c>
    </row>
    <row r="17" spans="1:9" x14ac:dyDescent="0.25">
      <c r="A17" s="21" t="s">
        <v>133</v>
      </c>
      <c r="B17" s="21">
        <v>6.449272418536494</v>
      </c>
      <c r="C17" s="21">
        <v>1.4733341798865016</v>
      </c>
      <c r="D17" s="21">
        <v>4.3773317055831242</v>
      </c>
      <c r="E17" s="21">
        <v>7.1725348328736593E-3</v>
      </c>
      <c r="F17" s="21">
        <v>2.6619463378981258</v>
      </c>
      <c r="G17" s="21">
        <v>10.236598499174862</v>
      </c>
      <c r="H17" s="21">
        <v>3.4804327759802551</v>
      </c>
      <c r="I17" s="21">
        <v>9.4181120610927334</v>
      </c>
    </row>
    <row r="18" spans="1:9" x14ac:dyDescent="0.25">
      <c r="A18" s="21" t="s">
        <v>51</v>
      </c>
      <c r="B18" s="21">
        <v>1.4891721509214406</v>
      </c>
      <c r="C18" s="21">
        <v>1.4733341798865016</v>
      </c>
      <c r="D18" s="21">
        <v>1.0107497479194836</v>
      </c>
      <c r="E18" s="21">
        <v>0.35851981756311374</v>
      </c>
      <c r="F18" s="21">
        <v>-2.2981539297169276</v>
      </c>
      <c r="G18" s="21">
        <v>5.2764982315598088</v>
      </c>
      <c r="H18" s="21">
        <v>-1.4796674916347983</v>
      </c>
      <c r="I18" s="21">
        <v>4.4580117934776791</v>
      </c>
    </row>
    <row r="19" spans="1:9" x14ac:dyDescent="0.25">
      <c r="A19" s="21" t="s">
        <v>53</v>
      </c>
      <c r="B19" s="21">
        <v>3.7882313255458619</v>
      </c>
      <c r="C19" s="21">
        <v>1.4733341798865016</v>
      </c>
      <c r="D19" s="21">
        <v>2.5711962549037506</v>
      </c>
      <c r="E19" s="21">
        <v>4.9962734970466154E-2</v>
      </c>
      <c r="F19" s="21">
        <v>9.0524490749377406E-4</v>
      </c>
      <c r="G19" s="21">
        <v>7.5755574061842301</v>
      </c>
      <c r="H19" s="21">
        <v>0.81939168298962306</v>
      </c>
      <c r="I19" s="21">
        <v>6.7570709681021004</v>
      </c>
    </row>
    <row r="20" spans="1:9" x14ac:dyDescent="0.25">
      <c r="A20" s="21" t="s">
        <v>55</v>
      </c>
      <c r="B20" s="21">
        <v>-1.1476638107710104</v>
      </c>
      <c r="C20" s="21">
        <v>1.4733341798865016</v>
      </c>
      <c r="D20" s="21">
        <v>-0.77895689005152979</v>
      </c>
      <c r="E20" s="21">
        <v>0.47124496720546255</v>
      </c>
      <c r="F20" s="21">
        <v>-4.9349898914093782</v>
      </c>
      <c r="G20" s="21">
        <v>2.6396622698673577</v>
      </c>
      <c r="H20" s="21">
        <v>-4.1165034533272493</v>
      </c>
      <c r="I20" s="21">
        <v>1.8211758317852285</v>
      </c>
    </row>
    <row r="21" spans="1:9" x14ac:dyDescent="0.25">
      <c r="A21" s="21" t="s">
        <v>74</v>
      </c>
      <c r="B21" s="21">
        <v>0.72051759057609355</v>
      </c>
      <c r="C21" s="21">
        <v>1.4733341798865016</v>
      </c>
      <c r="D21" s="21">
        <v>0.48903880763263002</v>
      </c>
      <c r="E21" s="21">
        <v>0.64551003866192302</v>
      </c>
      <c r="F21" s="21">
        <v>-3.0668084900622747</v>
      </c>
      <c r="G21" s="21">
        <v>4.5078436712144621</v>
      </c>
      <c r="H21" s="21">
        <v>-2.2483220519801455</v>
      </c>
      <c r="I21" s="21">
        <v>3.6893572331323323</v>
      </c>
    </row>
    <row r="22" spans="1:9" x14ac:dyDescent="0.25">
      <c r="A22" s="21" t="s">
        <v>57</v>
      </c>
      <c r="B22" s="21">
        <v>3.7426199789721819</v>
      </c>
      <c r="C22" s="21">
        <v>1.4733341798865016</v>
      </c>
      <c r="D22" s="21">
        <v>2.5402383451529609</v>
      </c>
      <c r="E22" s="21">
        <v>5.18787476525411E-2</v>
      </c>
      <c r="F22" s="21">
        <v>-4.4706101666186271E-2</v>
      </c>
      <c r="G22" s="21">
        <v>7.5299460596105501</v>
      </c>
      <c r="H22" s="21">
        <v>0.77378033641594302</v>
      </c>
      <c r="I22" s="21">
        <v>6.7114596215284212</v>
      </c>
    </row>
    <row r="23" spans="1:9" x14ac:dyDescent="0.25">
      <c r="A23" s="21" t="s">
        <v>59</v>
      </c>
      <c r="B23" s="21">
        <v>-0.49387005778698978</v>
      </c>
      <c r="C23" s="21">
        <v>1.4733341798865016</v>
      </c>
      <c r="D23" s="21">
        <v>-0.33520572897116602</v>
      </c>
      <c r="E23" s="21">
        <v>0.75107622458220613</v>
      </c>
      <c r="F23" s="21">
        <v>-4.2811961384253578</v>
      </c>
      <c r="G23" s="21">
        <v>3.2934560228513785</v>
      </c>
      <c r="H23" s="21">
        <v>-3.4627097003432286</v>
      </c>
      <c r="I23" s="21">
        <v>2.4749695847692492</v>
      </c>
    </row>
    <row r="24" spans="1:9" x14ac:dyDescent="0.25">
      <c r="A24" s="21" t="s">
        <v>89</v>
      </c>
      <c r="B24" s="21">
        <v>2.2482805430623514</v>
      </c>
      <c r="C24" s="21">
        <v>1.4733341798865016</v>
      </c>
      <c r="D24" s="21">
        <v>1.5259813922429655</v>
      </c>
      <c r="E24" s="21">
        <v>0.18753686180295728</v>
      </c>
      <c r="F24" s="21">
        <v>-1.5390455375760168</v>
      </c>
      <c r="G24" s="21">
        <v>6.0356066237007191</v>
      </c>
      <c r="H24" s="21">
        <v>-0.72055909949388752</v>
      </c>
      <c r="I24" s="21">
        <v>5.2171201856185903</v>
      </c>
    </row>
    <row r="25" spans="1:9" x14ac:dyDescent="0.25">
      <c r="A25" s="21" t="s">
        <v>61</v>
      </c>
      <c r="B25" s="21">
        <v>-3.2171587995742681</v>
      </c>
      <c r="C25" s="21">
        <v>1.4733341798865016</v>
      </c>
      <c r="D25" s="21">
        <v>-2.1835906907570029</v>
      </c>
      <c r="E25" s="21">
        <v>8.0746496472984305E-2</v>
      </c>
      <c r="F25" s="21">
        <v>-7.0044848802126367</v>
      </c>
      <c r="G25" s="21">
        <v>0.57016728106410008</v>
      </c>
      <c r="H25" s="21">
        <v>-6.185998442130507</v>
      </c>
      <c r="I25" s="21">
        <v>-0.2483191570180292</v>
      </c>
    </row>
    <row r="26" spans="1:9" x14ac:dyDescent="0.25">
      <c r="A26" s="21" t="s">
        <v>91</v>
      </c>
      <c r="B26" s="21">
        <v>1.5787225908038438</v>
      </c>
      <c r="C26" s="21">
        <v>1.4733341798865016</v>
      </c>
      <c r="D26" s="21">
        <v>1.0715305545449714</v>
      </c>
      <c r="E26" s="21">
        <v>0.33290409817865396</v>
      </c>
      <c r="F26" s="21">
        <v>-2.2086034898345241</v>
      </c>
      <c r="G26" s="21">
        <v>5.3660486714422122</v>
      </c>
      <c r="H26" s="21">
        <v>-1.3901170517523951</v>
      </c>
      <c r="I26" s="21">
        <v>4.5475622333600825</v>
      </c>
    </row>
    <row r="27" spans="1:9" ht="17.25" thickBot="1" x14ac:dyDescent="0.3">
      <c r="A27" s="22" t="s">
        <v>149</v>
      </c>
      <c r="B27" s="22">
        <v>-3.0898004650565709</v>
      </c>
      <c r="C27" s="22">
        <v>1.4733341798865016</v>
      </c>
      <c r="D27" s="22">
        <v>-2.0971484319291323</v>
      </c>
      <c r="E27" s="22">
        <v>9.0078650299402804E-2</v>
      </c>
      <c r="F27" s="22">
        <v>-6.8771265456949386</v>
      </c>
      <c r="G27" s="22">
        <v>0.69752561558179726</v>
      </c>
      <c r="H27" s="22">
        <v>-6.0586401076128098</v>
      </c>
      <c r="I27" s="22">
        <v>-0.12096082250033202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1"/>
  <sheetViews>
    <sheetView topLeftCell="A58" zoomScale="85" zoomScaleNormal="85" workbookViewId="0">
      <selection activeCell="H100" sqref="H100"/>
    </sheetView>
  </sheetViews>
  <sheetFormatPr defaultRowHeight="15.75" x14ac:dyDescent="0.25"/>
  <cols>
    <col min="1" max="1" width="6.75" style="31" customWidth="1"/>
    <col min="2" max="2" width="15.625" style="31" customWidth="1"/>
    <col min="3" max="3" width="5.875" style="31" customWidth="1"/>
    <col min="4" max="6" width="13.375" style="31" customWidth="1"/>
    <col min="7" max="7" width="10.25" style="31" customWidth="1"/>
    <col min="8" max="9" width="7.5" style="31" customWidth="1"/>
    <col min="10" max="10" width="8.125" style="31" customWidth="1"/>
    <col min="11" max="11" width="7.75" style="31" customWidth="1"/>
    <col min="12" max="12" width="8.125" style="31" customWidth="1"/>
    <col min="13" max="13" width="7.75" style="31" customWidth="1"/>
    <col min="14" max="14" width="8.125" style="31" customWidth="1"/>
    <col min="15" max="15" width="7.75" style="31" customWidth="1"/>
    <col min="16" max="16" width="8.125" style="31" customWidth="1"/>
    <col min="17" max="17" width="7.75" style="31" customWidth="1"/>
    <col min="18" max="18" width="8.125" style="31" customWidth="1"/>
    <col min="19" max="19" width="7.75" style="31" customWidth="1"/>
    <col min="20" max="20" width="8.125" style="31" customWidth="1"/>
    <col min="21" max="21" width="7.75" style="31" customWidth="1"/>
    <col min="22" max="22" width="10.875" style="31" customWidth="1"/>
    <col min="23" max="23" width="10.5" style="31" customWidth="1"/>
    <col min="24" max="24" width="10.875" style="31" customWidth="1"/>
    <col min="25" max="25" width="10.5" style="31" customWidth="1"/>
    <col min="26" max="26" width="10.875" style="31" customWidth="1"/>
    <col min="27" max="27" width="10.5" style="31" customWidth="1"/>
    <col min="28" max="28" width="10.875" style="31" customWidth="1"/>
    <col min="29" max="29" width="10.5" style="31" customWidth="1"/>
    <col min="30" max="30" width="13.75" style="31" customWidth="1"/>
    <col min="31" max="31" width="13.375" style="31" customWidth="1"/>
    <col min="32" max="16384" width="9" style="31"/>
  </cols>
  <sheetData>
    <row r="1" spans="1:31" x14ac:dyDescent="0.25">
      <c r="A1" s="14" t="s">
        <v>0</v>
      </c>
      <c r="B1" s="15" t="s">
        <v>42</v>
      </c>
      <c r="C1" s="15" t="s">
        <v>43</v>
      </c>
      <c r="D1" s="15" t="s">
        <v>44</v>
      </c>
      <c r="E1" s="15" t="s">
        <v>66</v>
      </c>
      <c r="F1" s="25" t="s">
        <v>58</v>
      </c>
      <c r="G1" s="25" t="s">
        <v>60</v>
      </c>
      <c r="H1" s="25" t="s">
        <v>90</v>
      </c>
      <c r="I1" s="25" t="s">
        <v>62</v>
      </c>
      <c r="J1" s="25" t="s">
        <v>92</v>
      </c>
      <c r="K1" s="25" t="s">
        <v>150</v>
      </c>
      <c r="L1" s="25" t="s">
        <v>64</v>
      </c>
      <c r="M1" s="25" t="s">
        <v>94</v>
      </c>
      <c r="N1" s="25" t="s">
        <v>100</v>
      </c>
      <c r="O1" s="25" t="s">
        <v>96</v>
      </c>
      <c r="P1" s="25" t="s">
        <v>98</v>
      </c>
      <c r="Q1" s="15" t="s">
        <v>67</v>
      </c>
      <c r="R1" s="15" t="s">
        <v>68</v>
      </c>
      <c r="S1" s="19" t="s">
        <v>16</v>
      </c>
      <c r="T1" s="31" t="s">
        <v>69</v>
      </c>
      <c r="W1" s="14" t="s">
        <v>0</v>
      </c>
      <c r="X1" s="15" t="s">
        <v>42</v>
      </c>
      <c r="Y1" s="15" t="s">
        <v>43</v>
      </c>
      <c r="Z1" s="15" t="s">
        <v>44</v>
      </c>
      <c r="AA1" s="15" t="s">
        <v>66</v>
      </c>
      <c r="AB1" s="15" t="s">
        <v>67</v>
      </c>
      <c r="AC1" s="15" t="s">
        <v>68</v>
      </c>
      <c r="AD1" s="15" t="s">
        <v>16</v>
      </c>
      <c r="AE1" s="78" t="s">
        <v>242</v>
      </c>
    </row>
    <row r="2" spans="1:31" x14ac:dyDescent="0.25">
      <c r="A2" s="16">
        <v>1</v>
      </c>
      <c r="B2" s="12">
        <v>-1</v>
      </c>
      <c r="C2" s="12">
        <v>-1</v>
      </c>
      <c r="D2" s="12">
        <v>-1</v>
      </c>
      <c r="E2" s="12">
        <v>-1</v>
      </c>
      <c r="F2" s="31">
        <f>B2*C2</f>
        <v>1</v>
      </c>
      <c r="G2" s="31">
        <f>B2*D2</f>
        <v>1</v>
      </c>
      <c r="H2" s="31">
        <f>B2*E2</f>
        <v>1</v>
      </c>
      <c r="I2" s="31">
        <f>C2*D2</f>
        <v>1</v>
      </c>
      <c r="J2" s="31">
        <f>C2*E2</f>
        <v>1</v>
      </c>
      <c r="K2" s="31">
        <f>D2*E2</f>
        <v>1</v>
      </c>
      <c r="L2" s="31">
        <f>B2*C2*D2</f>
        <v>-1</v>
      </c>
      <c r="M2" s="31">
        <f>B2*C2*E2</f>
        <v>-1</v>
      </c>
      <c r="N2" s="31">
        <f>B2*D2*E2</f>
        <v>-1</v>
      </c>
      <c r="O2" s="31">
        <f>C2*D2*E2</f>
        <v>-1</v>
      </c>
      <c r="P2" s="31">
        <f>B2*C2*D2*E2</f>
        <v>1</v>
      </c>
      <c r="Q2" s="12">
        <v>-1.44</v>
      </c>
      <c r="R2" s="12">
        <v>-0.08</v>
      </c>
      <c r="S2" s="31">
        <f>AVERAGE(Q2:R2)</f>
        <v>-0.76</v>
      </c>
      <c r="T2" s="31">
        <f>-10*LOG((Q2^2+R2^2)/2)</f>
        <v>-0.1703333929878037</v>
      </c>
      <c r="U2" s="31">
        <f>T2-$T$19</f>
        <v>-6.6196043929878039</v>
      </c>
      <c r="W2" s="16">
        <v>1</v>
      </c>
      <c r="X2" s="12">
        <v>-1</v>
      </c>
      <c r="Y2" s="12">
        <v>-1</v>
      </c>
      <c r="Z2" s="12">
        <v>-1</v>
      </c>
      <c r="AA2" s="12">
        <v>-1</v>
      </c>
      <c r="AB2" s="12">
        <v>-1.44</v>
      </c>
      <c r="AC2" s="12">
        <v>-0.08</v>
      </c>
      <c r="AD2" s="12">
        <v>-0.76</v>
      </c>
      <c r="AE2" s="79">
        <f>-10*LOG((AB2^2+AC2^2)/2)</f>
        <v>-0.1703333929878037</v>
      </c>
    </row>
    <row r="3" spans="1:31" x14ac:dyDescent="0.25">
      <c r="A3" s="16">
        <v>2</v>
      </c>
      <c r="B3" s="12">
        <v>1</v>
      </c>
      <c r="C3" s="12">
        <v>-1</v>
      </c>
      <c r="D3" s="12">
        <v>-1</v>
      </c>
      <c r="E3" s="12">
        <v>-1</v>
      </c>
      <c r="F3" s="31">
        <f t="shared" ref="F3:F17" si="0">B3*C3</f>
        <v>-1</v>
      </c>
      <c r="G3" s="31">
        <f t="shared" ref="G3:G17" si="1">B3*D3</f>
        <v>-1</v>
      </c>
      <c r="H3" s="31">
        <f t="shared" ref="H3:H17" si="2">B3*E3</f>
        <v>-1</v>
      </c>
      <c r="I3" s="31">
        <f t="shared" ref="I3:I17" si="3">C3*D3</f>
        <v>1</v>
      </c>
      <c r="J3" s="31">
        <f t="shared" ref="J3:J17" si="4">C3*E3</f>
        <v>1</v>
      </c>
      <c r="K3" s="31">
        <f t="shared" ref="K3:K17" si="5">D3*E3</f>
        <v>1</v>
      </c>
      <c r="L3" s="31">
        <f t="shared" ref="L3:L17" si="6">B3*C3*D3</f>
        <v>1</v>
      </c>
      <c r="M3" s="31">
        <f t="shared" ref="M3:M17" si="7">B3*C3*E3</f>
        <v>1</v>
      </c>
      <c r="N3" s="31">
        <f t="shared" ref="N3:N17" si="8">B3*D3*E3</f>
        <v>1</v>
      </c>
      <c r="O3" s="31">
        <f t="shared" ref="O3:O17" si="9">C3*D3*E3</f>
        <v>-1</v>
      </c>
      <c r="P3" s="31">
        <f t="shared" ref="P3:P17" si="10">B3*C3*D3*E3</f>
        <v>-1</v>
      </c>
      <c r="Q3" s="12">
        <v>-1.79</v>
      </c>
      <c r="R3" s="12">
        <v>-1.01</v>
      </c>
      <c r="S3" s="31">
        <f t="shared" ref="S3:S17" si="11">AVERAGE(Q3:R3)</f>
        <v>-1.4</v>
      </c>
      <c r="T3" s="31">
        <f t="shared" ref="T3:T17" si="12">-10*LOG((Q3^2+R3^2)/2)</f>
        <v>-3.2471447656066834</v>
      </c>
      <c r="U3" s="31">
        <f t="shared" ref="U3:U17" si="13">T3-$T$19</f>
        <v>-9.6964157656066838</v>
      </c>
      <c r="W3" s="16">
        <v>2</v>
      </c>
      <c r="X3" s="12">
        <v>1</v>
      </c>
      <c r="Y3" s="12">
        <v>-1</v>
      </c>
      <c r="Z3" s="12">
        <v>-1</v>
      </c>
      <c r="AA3" s="12">
        <v>-1</v>
      </c>
      <c r="AB3" s="12">
        <v>-1.79</v>
      </c>
      <c r="AC3" s="12">
        <v>-1.01</v>
      </c>
      <c r="AD3" s="12">
        <v>-1.4</v>
      </c>
      <c r="AE3" s="79">
        <f t="shared" ref="AE3:AE17" si="14">-10*LOG((AB3^2+AC3^2)/2)</f>
        <v>-3.2471447656066834</v>
      </c>
    </row>
    <row r="4" spans="1:31" x14ac:dyDescent="0.25">
      <c r="A4" s="16">
        <v>3</v>
      </c>
      <c r="B4" s="12">
        <v>-1</v>
      </c>
      <c r="C4" s="12">
        <v>1</v>
      </c>
      <c r="D4" s="12">
        <v>-1</v>
      </c>
      <c r="E4" s="12">
        <v>-1</v>
      </c>
      <c r="F4" s="31">
        <f t="shared" si="0"/>
        <v>-1</v>
      </c>
      <c r="G4" s="31">
        <f t="shared" si="1"/>
        <v>1</v>
      </c>
      <c r="H4" s="31">
        <f t="shared" si="2"/>
        <v>1</v>
      </c>
      <c r="I4" s="31">
        <f t="shared" si="3"/>
        <v>-1</v>
      </c>
      <c r="J4" s="31">
        <f t="shared" si="4"/>
        <v>-1</v>
      </c>
      <c r="K4" s="31">
        <f t="shared" si="5"/>
        <v>1</v>
      </c>
      <c r="L4" s="31">
        <f t="shared" si="6"/>
        <v>1</v>
      </c>
      <c r="M4" s="31">
        <f t="shared" si="7"/>
        <v>1</v>
      </c>
      <c r="N4" s="31">
        <f t="shared" si="8"/>
        <v>-1</v>
      </c>
      <c r="O4" s="31">
        <f t="shared" si="9"/>
        <v>1</v>
      </c>
      <c r="P4" s="31">
        <f t="shared" si="10"/>
        <v>-1</v>
      </c>
      <c r="Q4" s="12">
        <v>0.39</v>
      </c>
      <c r="R4" s="12">
        <v>0.17</v>
      </c>
      <c r="S4" s="31">
        <f t="shared" si="11"/>
        <v>0.28000000000000003</v>
      </c>
      <c r="T4" s="31">
        <f t="shared" si="12"/>
        <v>10.433514207947967</v>
      </c>
      <c r="U4" s="31">
        <f t="shared" si="13"/>
        <v>3.9842432079479666</v>
      </c>
      <c r="W4" s="16">
        <v>3</v>
      </c>
      <c r="X4" s="12">
        <v>-1</v>
      </c>
      <c r="Y4" s="12">
        <v>1</v>
      </c>
      <c r="Z4" s="12">
        <v>-1</v>
      </c>
      <c r="AA4" s="12">
        <v>-1</v>
      </c>
      <c r="AB4" s="12">
        <v>0.39</v>
      </c>
      <c r="AC4" s="12">
        <v>0.17</v>
      </c>
      <c r="AD4" s="12">
        <v>0.28000000000000003</v>
      </c>
      <c r="AE4" s="79">
        <f t="shared" si="14"/>
        <v>10.433514207947967</v>
      </c>
    </row>
    <row r="5" spans="1:31" x14ac:dyDescent="0.25">
      <c r="A5" s="16">
        <v>4</v>
      </c>
      <c r="B5" s="12">
        <v>1</v>
      </c>
      <c r="C5" s="12">
        <v>1</v>
      </c>
      <c r="D5" s="12">
        <v>-1</v>
      </c>
      <c r="E5" s="12">
        <v>-1</v>
      </c>
      <c r="F5" s="31">
        <f t="shared" si="0"/>
        <v>1</v>
      </c>
      <c r="G5" s="31">
        <f t="shared" si="1"/>
        <v>-1</v>
      </c>
      <c r="H5" s="31">
        <f t="shared" si="2"/>
        <v>-1</v>
      </c>
      <c r="I5" s="31">
        <f t="shared" si="3"/>
        <v>-1</v>
      </c>
      <c r="J5" s="31">
        <f t="shared" si="4"/>
        <v>-1</v>
      </c>
      <c r="K5" s="31">
        <f t="shared" si="5"/>
        <v>1</v>
      </c>
      <c r="L5" s="31">
        <f t="shared" si="6"/>
        <v>-1</v>
      </c>
      <c r="M5" s="31">
        <f t="shared" si="7"/>
        <v>-1</v>
      </c>
      <c r="N5" s="31">
        <f t="shared" si="8"/>
        <v>1</v>
      </c>
      <c r="O5" s="31">
        <f t="shared" si="9"/>
        <v>1</v>
      </c>
      <c r="P5" s="31">
        <f t="shared" si="10"/>
        <v>1</v>
      </c>
      <c r="Q5" s="12">
        <v>-0.5</v>
      </c>
      <c r="R5" s="12">
        <v>-0.24</v>
      </c>
      <c r="S5" s="31">
        <f t="shared" si="11"/>
        <v>-0.37</v>
      </c>
      <c r="T5" s="31">
        <f t="shared" si="12"/>
        <v>8.1304366453458776</v>
      </c>
      <c r="U5" s="31">
        <f t="shared" si="13"/>
        <v>1.6811656453458772</v>
      </c>
      <c r="W5" s="16">
        <v>4</v>
      </c>
      <c r="X5" s="12">
        <v>1</v>
      </c>
      <c r="Y5" s="12">
        <v>1</v>
      </c>
      <c r="Z5" s="12">
        <v>-1</v>
      </c>
      <c r="AA5" s="12">
        <v>-1</v>
      </c>
      <c r="AB5" s="12">
        <v>-0.5</v>
      </c>
      <c r="AC5" s="12">
        <v>-0.24</v>
      </c>
      <c r="AD5" s="12">
        <v>-0.37</v>
      </c>
      <c r="AE5" s="79">
        <f t="shared" si="14"/>
        <v>8.1304366453458776</v>
      </c>
    </row>
    <row r="6" spans="1:31" x14ac:dyDescent="0.25">
      <c r="A6" s="16">
        <v>5</v>
      </c>
      <c r="B6" s="12">
        <v>-1</v>
      </c>
      <c r="C6" s="12">
        <v>-1</v>
      </c>
      <c r="D6" s="12">
        <v>1</v>
      </c>
      <c r="E6" s="12">
        <v>-1</v>
      </c>
      <c r="F6" s="31">
        <f t="shared" si="0"/>
        <v>1</v>
      </c>
      <c r="G6" s="31">
        <f t="shared" si="1"/>
        <v>-1</v>
      </c>
      <c r="H6" s="31">
        <f t="shared" si="2"/>
        <v>1</v>
      </c>
      <c r="I6" s="31">
        <f t="shared" si="3"/>
        <v>-1</v>
      </c>
      <c r="J6" s="31">
        <f t="shared" si="4"/>
        <v>1</v>
      </c>
      <c r="K6" s="31">
        <f t="shared" si="5"/>
        <v>-1</v>
      </c>
      <c r="L6" s="31">
        <f t="shared" si="6"/>
        <v>1</v>
      </c>
      <c r="M6" s="31">
        <f t="shared" si="7"/>
        <v>-1</v>
      </c>
      <c r="N6" s="31">
        <f t="shared" si="8"/>
        <v>1</v>
      </c>
      <c r="O6" s="31">
        <f t="shared" si="9"/>
        <v>1</v>
      </c>
      <c r="P6" s="31">
        <f t="shared" si="10"/>
        <v>-1</v>
      </c>
      <c r="Q6" s="12">
        <v>-0.2</v>
      </c>
      <c r="R6" s="12">
        <v>0.17</v>
      </c>
      <c r="S6" s="31">
        <f t="shared" si="11"/>
        <v>-1.4999999999999999E-2</v>
      </c>
      <c r="T6" s="31">
        <f t="shared" si="12"/>
        <v>14.628107737563553</v>
      </c>
      <c r="U6" s="31">
        <f t="shared" si="13"/>
        <v>8.1788367375635538</v>
      </c>
      <c r="W6" s="16">
        <v>5</v>
      </c>
      <c r="X6" s="12">
        <v>-1</v>
      </c>
      <c r="Y6" s="12">
        <v>-1</v>
      </c>
      <c r="Z6" s="12">
        <v>1</v>
      </c>
      <c r="AA6" s="12">
        <v>-1</v>
      </c>
      <c r="AB6" s="12">
        <v>-0.2</v>
      </c>
      <c r="AC6" s="12">
        <v>0.17</v>
      </c>
      <c r="AD6" s="12">
        <v>-1.4999999999999999E-2</v>
      </c>
      <c r="AE6" s="79">
        <f t="shared" si="14"/>
        <v>14.628107737563553</v>
      </c>
    </row>
    <row r="7" spans="1:31" x14ac:dyDescent="0.25">
      <c r="A7" s="16">
        <v>6</v>
      </c>
      <c r="B7" s="12">
        <v>1</v>
      </c>
      <c r="C7" s="12">
        <v>-1</v>
      </c>
      <c r="D7" s="12">
        <v>1</v>
      </c>
      <c r="E7" s="12">
        <v>-1</v>
      </c>
      <c r="F7" s="31">
        <f t="shared" si="0"/>
        <v>-1</v>
      </c>
      <c r="G7" s="31">
        <f t="shared" si="1"/>
        <v>1</v>
      </c>
      <c r="H7" s="31">
        <f t="shared" si="2"/>
        <v>-1</v>
      </c>
      <c r="I7" s="31">
        <f t="shared" si="3"/>
        <v>-1</v>
      </c>
      <c r="J7" s="31">
        <f t="shared" si="4"/>
        <v>1</v>
      </c>
      <c r="K7" s="31">
        <f t="shared" si="5"/>
        <v>-1</v>
      </c>
      <c r="L7" s="31">
        <f t="shared" si="6"/>
        <v>-1</v>
      </c>
      <c r="M7" s="31">
        <f t="shared" si="7"/>
        <v>1</v>
      </c>
      <c r="N7" s="31">
        <f t="shared" si="8"/>
        <v>-1</v>
      </c>
      <c r="O7" s="31">
        <f t="shared" si="9"/>
        <v>1</v>
      </c>
      <c r="P7" s="31">
        <f t="shared" si="10"/>
        <v>1</v>
      </c>
      <c r="Q7" s="12">
        <v>-0.79</v>
      </c>
      <c r="R7" s="12">
        <v>-0.64</v>
      </c>
      <c r="S7" s="31">
        <f t="shared" si="11"/>
        <v>-0.71500000000000008</v>
      </c>
      <c r="T7" s="31">
        <f t="shared" si="12"/>
        <v>2.8663547939044607</v>
      </c>
      <c r="U7" s="31">
        <f t="shared" si="13"/>
        <v>-3.5829162060955397</v>
      </c>
      <c r="W7" s="16">
        <v>6</v>
      </c>
      <c r="X7" s="12">
        <v>1</v>
      </c>
      <c r="Y7" s="12">
        <v>-1</v>
      </c>
      <c r="Z7" s="12">
        <v>1</v>
      </c>
      <c r="AA7" s="12">
        <v>-1</v>
      </c>
      <c r="AB7" s="12">
        <v>-0.79</v>
      </c>
      <c r="AC7" s="12">
        <v>-0.64</v>
      </c>
      <c r="AD7" s="12">
        <v>-0.71500000000000008</v>
      </c>
      <c r="AE7" s="79">
        <f t="shared" si="14"/>
        <v>2.8663547939044607</v>
      </c>
    </row>
    <row r="8" spans="1:31" x14ac:dyDescent="0.25">
      <c r="A8" s="16">
        <v>7</v>
      </c>
      <c r="B8" s="12">
        <v>-1</v>
      </c>
      <c r="C8" s="12">
        <v>1</v>
      </c>
      <c r="D8" s="12">
        <v>1</v>
      </c>
      <c r="E8" s="12">
        <v>-1</v>
      </c>
      <c r="F8" s="31">
        <f t="shared" si="0"/>
        <v>-1</v>
      </c>
      <c r="G8" s="31">
        <f t="shared" si="1"/>
        <v>-1</v>
      </c>
      <c r="H8" s="31">
        <f t="shared" si="2"/>
        <v>1</v>
      </c>
      <c r="I8" s="31">
        <f t="shared" si="3"/>
        <v>1</v>
      </c>
      <c r="J8" s="31">
        <f t="shared" si="4"/>
        <v>-1</v>
      </c>
      <c r="K8" s="31">
        <f t="shared" si="5"/>
        <v>-1</v>
      </c>
      <c r="L8" s="31">
        <f t="shared" si="6"/>
        <v>-1</v>
      </c>
      <c r="M8" s="31">
        <f t="shared" si="7"/>
        <v>1</v>
      </c>
      <c r="N8" s="31">
        <f t="shared" si="8"/>
        <v>1</v>
      </c>
      <c r="O8" s="31">
        <f t="shared" si="9"/>
        <v>-1</v>
      </c>
      <c r="P8" s="31">
        <f t="shared" si="10"/>
        <v>1</v>
      </c>
      <c r="Q8" s="12">
        <v>1.22</v>
      </c>
      <c r="R8" s="12">
        <v>0.28000000000000003</v>
      </c>
      <c r="S8" s="31">
        <f t="shared" si="11"/>
        <v>0.75</v>
      </c>
      <c r="T8" s="31">
        <f t="shared" si="12"/>
        <v>1.0601643278815294</v>
      </c>
      <c r="U8" s="31">
        <f t="shared" si="13"/>
        <v>-5.3891066721184711</v>
      </c>
      <c r="W8" s="16">
        <v>7</v>
      </c>
      <c r="X8" s="12">
        <v>-1</v>
      </c>
      <c r="Y8" s="12">
        <v>1</v>
      </c>
      <c r="Z8" s="12">
        <v>1</v>
      </c>
      <c r="AA8" s="12">
        <v>-1</v>
      </c>
      <c r="AB8" s="12">
        <v>1.22</v>
      </c>
      <c r="AC8" s="12">
        <v>0.28000000000000003</v>
      </c>
      <c r="AD8" s="12">
        <v>0.75</v>
      </c>
      <c r="AE8" s="79">
        <f t="shared" si="14"/>
        <v>1.0601643278815294</v>
      </c>
    </row>
    <row r="9" spans="1:31" x14ac:dyDescent="0.25">
      <c r="A9" s="16">
        <v>8</v>
      </c>
      <c r="B9" s="12">
        <v>1</v>
      </c>
      <c r="C9" s="12">
        <v>1</v>
      </c>
      <c r="D9" s="12">
        <v>1</v>
      </c>
      <c r="E9" s="12">
        <v>-1</v>
      </c>
      <c r="F9" s="31">
        <f t="shared" si="0"/>
        <v>1</v>
      </c>
      <c r="G9" s="31">
        <f t="shared" si="1"/>
        <v>1</v>
      </c>
      <c r="H9" s="31">
        <f t="shared" si="2"/>
        <v>-1</v>
      </c>
      <c r="I9" s="31">
        <f t="shared" si="3"/>
        <v>1</v>
      </c>
      <c r="J9" s="31">
        <f t="shared" si="4"/>
        <v>-1</v>
      </c>
      <c r="K9" s="31">
        <f t="shared" si="5"/>
        <v>-1</v>
      </c>
      <c r="L9" s="31">
        <f t="shared" si="6"/>
        <v>1</v>
      </c>
      <c r="M9" s="31">
        <f t="shared" si="7"/>
        <v>-1</v>
      </c>
      <c r="N9" s="31">
        <f t="shared" si="8"/>
        <v>-1</v>
      </c>
      <c r="O9" s="31">
        <f t="shared" si="9"/>
        <v>-1</v>
      </c>
      <c r="P9" s="31">
        <f t="shared" si="10"/>
        <v>-1</v>
      </c>
      <c r="Q9" s="12">
        <v>0.21</v>
      </c>
      <c r="R9" s="12">
        <v>0.28000000000000003</v>
      </c>
      <c r="S9" s="31">
        <f t="shared" si="11"/>
        <v>0.245</v>
      </c>
      <c r="T9" s="31">
        <f t="shared" si="12"/>
        <v>12.128939069634299</v>
      </c>
      <c r="U9" s="31">
        <f t="shared" si="13"/>
        <v>5.6796680696342987</v>
      </c>
      <c r="W9" s="16">
        <v>8</v>
      </c>
      <c r="X9" s="12">
        <v>1</v>
      </c>
      <c r="Y9" s="12">
        <v>1</v>
      </c>
      <c r="Z9" s="12">
        <v>1</v>
      </c>
      <c r="AA9" s="12">
        <v>-1</v>
      </c>
      <c r="AB9" s="12">
        <v>0.21</v>
      </c>
      <c r="AC9" s="12">
        <v>0.28000000000000003</v>
      </c>
      <c r="AD9" s="12">
        <v>0.245</v>
      </c>
      <c r="AE9" s="79">
        <f t="shared" si="14"/>
        <v>12.128939069634299</v>
      </c>
    </row>
    <row r="10" spans="1:31" x14ac:dyDescent="0.25">
      <c r="A10" s="16">
        <v>9</v>
      </c>
      <c r="B10" s="12">
        <v>-1</v>
      </c>
      <c r="C10" s="12">
        <v>-1</v>
      </c>
      <c r="D10" s="12">
        <v>-1</v>
      </c>
      <c r="E10" s="12">
        <v>1</v>
      </c>
      <c r="F10" s="31">
        <f t="shared" si="0"/>
        <v>1</v>
      </c>
      <c r="G10" s="31">
        <f t="shared" si="1"/>
        <v>1</v>
      </c>
      <c r="H10" s="31">
        <f t="shared" si="2"/>
        <v>-1</v>
      </c>
      <c r="I10" s="31">
        <f t="shared" si="3"/>
        <v>1</v>
      </c>
      <c r="J10" s="31">
        <f t="shared" si="4"/>
        <v>-1</v>
      </c>
      <c r="K10" s="31">
        <f t="shared" si="5"/>
        <v>-1</v>
      </c>
      <c r="L10" s="31">
        <f t="shared" si="6"/>
        <v>-1</v>
      </c>
      <c r="M10" s="31">
        <f t="shared" si="7"/>
        <v>1</v>
      </c>
      <c r="N10" s="31">
        <f t="shared" si="8"/>
        <v>1</v>
      </c>
      <c r="O10" s="31">
        <f t="shared" si="9"/>
        <v>1</v>
      </c>
      <c r="P10" s="31">
        <f t="shared" si="10"/>
        <v>-1</v>
      </c>
      <c r="Q10" s="12">
        <v>-0.4</v>
      </c>
      <c r="R10" s="12">
        <v>-0.65</v>
      </c>
      <c r="S10" s="31">
        <f t="shared" si="11"/>
        <v>-0.52500000000000002</v>
      </c>
      <c r="T10" s="31">
        <f t="shared" si="12"/>
        <v>5.357340659659247</v>
      </c>
      <c r="U10" s="31">
        <f t="shared" si="13"/>
        <v>-1.0919303403407534</v>
      </c>
      <c r="W10" s="16">
        <v>9</v>
      </c>
      <c r="X10" s="12">
        <v>-1</v>
      </c>
      <c r="Y10" s="12">
        <v>-1</v>
      </c>
      <c r="Z10" s="12">
        <v>-1</v>
      </c>
      <c r="AA10" s="12">
        <v>1</v>
      </c>
      <c r="AB10" s="12">
        <v>-0.4</v>
      </c>
      <c r="AC10" s="12">
        <v>-0.65</v>
      </c>
      <c r="AD10" s="12">
        <v>-0.52500000000000002</v>
      </c>
      <c r="AE10" s="79">
        <f t="shared" si="14"/>
        <v>5.357340659659247</v>
      </c>
    </row>
    <row r="11" spans="1:31" x14ac:dyDescent="0.25">
      <c r="A11" s="16">
        <v>10</v>
      </c>
      <c r="B11" s="12">
        <v>1</v>
      </c>
      <c r="C11" s="12">
        <v>-1</v>
      </c>
      <c r="D11" s="12">
        <v>-1</v>
      </c>
      <c r="E11" s="12">
        <v>1</v>
      </c>
      <c r="F11" s="31">
        <f t="shared" si="0"/>
        <v>-1</v>
      </c>
      <c r="G11" s="31">
        <f t="shared" si="1"/>
        <v>-1</v>
      </c>
      <c r="H11" s="31">
        <f t="shared" si="2"/>
        <v>1</v>
      </c>
      <c r="I11" s="31">
        <f t="shared" si="3"/>
        <v>1</v>
      </c>
      <c r="J11" s="31">
        <f t="shared" si="4"/>
        <v>-1</v>
      </c>
      <c r="K11" s="31">
        <f t="shared" si="5"/>
        <v>-1</v>
      </c>
      <c r="L11" s="31">
        <f t="shared" si="6"/>
        <v>1</v>
      </c>
      <c r="M11" s="31">
        <f t="shared" si="7"/>
        <v>-1</v>
      </c>
      <c r="N11" s="31">
        <f t="shared" si="8"/>
        <v>-1</v>
      </c>
      <c r="O11" s="31">
        <f t="shared" si="9"/>
        <v>1</v>
      </c>
      <c r="P11" s="31">
        <f t="shared" si="10"/>
        <v>1</v>
      </c>
      <c r="Q11" s="12">
        <v>-0.63</v>
      </c>
      <c r="R11" s="12">
        <v>-1.19</v>
      </c>
      <c r="S11" s="31">
        <f t="shared" si="11"/>
        <v>-0.90999999999999992</v>
      </c>
      <c r="T11" s="31">
        <f t="shared" si="12"/>
        <v>0.42632191568472555</v>
      </c>
      <c r="U11" s="31">
        <f t="shared" si="13"/>
        <v>-6.0229490843152753</v>
      </c>
      <c r="W11" s="16">
        <v>10</v>
      </c>
      <c r="X11" s="12">
        <v>1</v>
      </c>
      <c r="Y11" s="12">
        <v>-1</v>
      </c>
      <c r="Z11" s="12">
        <v>-1</v>
      </c>
      <c r="AA11" s="12">
        <v>1</v>
      </c>
      <c r="AB11" s="12">
        <v>-0.63</v>
      </c>
      <c r="AC11" s="12">
        <v>-1.19</v>
      </c>
      <c r="AD11" s="12">
        <v>-0.90999999999999992</v>
      </c>
      <c r="AE11" s="79">
        <f t="shared" si="14"/>
        <v>0.42632191568472555</v>
      </c>
    </row>
    <row r="12" spans="1:31" x14ac:dyDescent="0.25">
      <c r="A12" s="16">
        <v>11</v>
      </c>
      <c r="B12" s="12">
        <v>-1</v>
      </c>
      <c r="C12" s="12">
        <v>1</v>
      </c>
      <c r="D12" s="12">
        <v>-1</v>
      </c>
      <c r="E12" s="12">
        <v>1</v>
      </c>
      <c r="F12" s="31">
        <f t="shared" si="0"/>
        <v>-1</v>
      </c>
      <c r="G12" s="31">
        <f t="shared" si="1"/>
        <v>1</v>
      </c>
      <c r="H12" s="31">
        <f t="shared" si="2"/>
        <v>-1</v>
      </c>
      <c r="I12" s="31">
        <f t="shared" si="3"/>
        <v>-1</v>
      </c>
      <c r="J12" s="31">
        <f t="shared" si="4"/>
        <v>1</v>
      </c>
      <c r="K12" s="31">
        <f t="shared" si="5"/>
        <v>-1</v>
      </c>
      <c r="L12" s="31">
        <f t="shared" si="6"/>
        <v>1</v>
      </c>
      <c r="M12" s="31">
        <f t="shared" si="7"/>
        <v>-1</v>
      </c>
      <c r="N12" s="31">
        <f t="shared" si="8"/>
        <v>1</v>
      </c>
      <c r="O12" s="31">
        <f t="shared" si="9"/>
        <v>-1</v>
      </c>
      <c r="P12" s="31">
        <f t="shared" si="10"/>
        <v>1</v>
      </c>
      <c r="Q12" s="12">
        <v>0.47</v>
      </c>
      <c r="R12" s="12">
        <v>0.44</v>
      </c>
      <c r="S12" s="31">
        <f t="shared" si="11"/>
        <v>0.45499999999999996</v>
      </c>
      <c r="T12" s="31">
        <f t="shared" si="12"/>
        <v>6.8350546077768879</v>
      </c>
      <c r="U12" s="31">
        <f t="shared" si="13"/>
        <v>0.38578360777688747</v>
      </c>
      <c r="W12" s="16">
        <v>11</v>
      </c>
      <c r="X12" s="12">
        <v>-1</v>
      </c>
      <c r="Y12" s="12">
        <v>1</v>
      </c>
      <c r="Z12" s="12">
        <v>-1</v>
      </c>
      <c r="AA12" s="12">
        <v>1</v>
      </c>
      <c r="AB12" s="12">
        <v>0.47</v>
      </c>
      <c r="AC12" s="12">
        <v>0.44</v>
      </c>
      <c r="AD12" s="12">
        <v>0.45499999999999996</v>
      </c>
      <c r="AE12" s="79">
        <f t="shared" si="14"/>
        <v>6.8350546077768879</v>
      </c>
    </row>
    <row r="13" spans="1:31" x14ac:dyDescent="0.25">
      <c r="A13" s="16">
        <v>12</v>
      </c>
      <c r="B13" s="12">
        <v>1</v>
      </c>
      <c r="C13" s="12">
        <v>1</v>
      </c>
      <c r="D13" s="12">
        <v>-1</v>
      </c>
      <c r="E13" s="12">
        <v>1</v>
      </c>
      <c r="F13" s="31">
        <f t="shared" si="0"/>
        <v>1</v>
      </c>
      <c r="G13" s="31">
        <f t="shared" si="1"/>
        <v>-1</v>
      </c>
      <c r="H13" s="31">
        <f t="shared" si="2"/>
        <v>1</v>
      </c>
      <c r="I13" s="31">
        <f t="shared" si="3"/>
        <v>-1</v>
      </c>
      <c r="J13" s="31">
        <f t="shared" si="4"/>
        <v>1</v>
      </c>
      <c r="K13" s="31">
        <f t="shared" si="5"/>
        <v>-1</v>
      </c>
      <c r="L13" s="31">
        <f t="shared" si="6"/>
        <v>-1</v>
      </c>
      <c r="M13" s="31">
        <f t="shared" si="7"/>
        <v>1</v>
      </c>
      <c r="N13" s="31">
        <f t="shared" si="8"/>
        <v>-1</v>
      </c>
      <c r="O13" s="31">
        <f t="shared" si="9"/>
        <v>-1</v>
      </c>
      <c r="P13" s="31">
        <f t="shared" si="10"/>
        <v>-1</v>
      </c>
      <c r="Q13" s="12">
        <v>-0.01</v>
      </c>
      <c r="R13" s="12">
        <v>-0.03</v>
      </c>
      <c r="S13" s="31">
        <f t="shared" si="11"/>
        <v>-0.02</v>
      </c>
      <c r="T13" s="31">
        <f t="shared" si="12"/>
        <v>33.010299956639813</v>
      </c>
      <c r="U13" s="31">
        <f t="shared" si="13"/>
        <v>26.561028956639813</v>
      </c>
      <c r="W13" s="16">
        <v>12</v>
      </c>
      <c r="X13" s="12">
        <v>1</v>
      </c>
      <c r="Y13" s="12">
        <v>1</v>
      </c>
      <c r="Z13" s="12">
        <v>-1</v>
      </c>
      <c r="AA13" s="12">
        <v>1</v>
      </c>
      <c r="AB13" s="12">
        <v>-0.01</v>
      </c>
      <c r="AC13" s="12">
        <v>-0.03</v>
      </c>
      <c r="AD13" s="12">
        <v>-0.02</v>
      </c>
      <c r="AE13" s="79">
        <f t="shared" si="14"/>
        <v>33.010299956639813</v>
      </c>
    </row>
    <row r="14" spans="1:31" x14ac:dyDescent="0.25">
      <c r="A14" s="16">
        <v>13</v>
      </c>
      <c r="B14" s="12">
        <v>-1</v>
      </c>
      <c r="C14" s="12">
        <v>-1</v>
      </c>
      <c r="D14" s="12">
        <v>1</v>
      </c>
      <c r="E14" s="12">
        <v>1</v>
      </c>
      <c r="F14" s="31">
        <f t="shared" si="0"/>
        <v>1</v>
      </c>
      <c r="G14" s="31">
        <f t="shared" si="1"/>
        <v>-1</v>
      </c>
      <c r="H14" s="31">
        <f t="shared" si="2"/>
        <v>-1</v>
      </c>
      <c r="I14" s="31">
        <f t="shared" si="3"/>
        <v>-1</v>
      </c>
      <c r="J14" s="31">
        <f t="shared" si="4"/>
        <v>-1</v>
      </c>
      <c r="K14" s="31">
        <f t="shared" si="5"/>
        <v>1</v>
      </c>
      <c r="L14" s="31">
        <f t="shared" si="6"/>
        <v>1</v>
      </c>
      <c r="M14" s="31">
        <f t="shared" si="7"/>
        <v>1</v>
      </c>
      <c r="N14" s="31">
        <f t="shared" si="8"/>
        <v>-1</v>
      </c>
      <c r="O14" s="31">
        <f t="shared" si="9"/>
        <v>-1</v>
      </c>
      <c r="P14" s="31">
        <f t="shared" si="10"/>
        <v>1</v>
      </c>
      <c r="Q14" s="12">
        <v>1.29</v>
      </c>
      <c r="R14" s="12">
        <v>0.64</v>
      </c>
      <c r="S14" s="31">
        <f t="shared" si="11"/>
        <v>0.96500000000000008</v>
      </c>
      <c r="T14" s="31">
        <f t="shared" si="12"/>
        <v>-0.15715932006950581</v>
      </c>
      <c r="U14" s="31">
        <f t="shared" si="13"/>
        <v>-6.6064303200695065</v>
      </c>
      <c r="W14" s="16">
        <v>13</v>
      </c>
      <c r="X14" s="12">
        <v>-1</v>
      </c>
      <c r="Y14" s="12">
        <v>-1</v>
      </c>
      <c r="Z14" s="12">
        <v>1</v>
      </c>
      <c r="AA14" s="12">
        <v>1</v>
      </c>
      <c r="AB14" s="12">
        <v>1.29</v>
      </c>
      <c r="AC14" s="12">
        <v>0.64</v>
      </c>
      <c r="AD14" s="12">
        <v>0.96500000000000008</v>
      </c>
      <c r="AE14" s="79">
        <f t="shared" si="14"/>
        <v>-0.15715932006950581</v>
      </c>
    </row>
    <row r="15" spans="1:31" x14ac:dyDescent="0.25">
      <c r="A15" s="16">
        <v>14</v>
      </c>
      <c r="B15" s="12">
        <v>1</v>
      </c>
      <c r="C15" s="12">
        <v>-1</v>
      </c>
      <c r="D15" s="12">
        <v>1</v>
      </c>
      <c r="E15" s="12">
        <v>1</v>
      </c>
      <c r="F15" s="31">
        <f t="shared" si="0"/>
        <v>-1</v>
      </c>
      <c r="G15" s="31">
        <f t="shared" si="1"/>
        <v>1</v>
      </c>
      <c r="H15" s="31">
        <f t="shared" si="2"/>
        <v>1</v>
      </c>
      <c r="I15" s="31">
        <f t="shared" si="3"/>
        <v>-1</v>
      </c>
      <c r="J15" s="31">
        <f t="shared" si="4"/>
        <v>-1</v>
      </c>
      <c r="K15" s="31">
        <f t="shared" si="5"/>
        <v>1</v>
      </c>
      <c r="L15" s="31">
        <f t="shared" si="6"/>
        <v>-1</v>
      </c>
      <c r="M15" s="31">
        <f t="shared" si="7"/>
        <v>-1</v>
      </c>
      <c r="N15" s="31">
        <f t="shared" si="8"/>
        <v>1</v>
      </c>
      <c r="O15" s="31">
        <f t="shared" si="9"/>
        <v>-1</v>
      </c>
      <c r="P15" s="31">
        <f t="shared" si="10"/>
        <v>-1</v>
      </c>
      <c r="Q15" s="12">
        <v>-1.17</v>
      </c>
      <c r="R15" s="12">
        <v>0.14000000000000001</v>
      </c>
      <c r="S15" s="31">
        <f t="shared" si="11"/>
        <v>-0.5149999999999999</v>
      </c>
      <c r="T15" s="31">
        <f t="shared" si="12"/>
        <v>1.5848411157770483</v>
      </c>
      <c r="U15" s="31">
        <f t="shared" si="13"/>
        <v>-4.8644298842229521</v>
      </c>
      <c r="W15" s="16">
        <v>14</v>
      </c>
      <c r="X15" s="12">
        <v>1</v>
      </c>
      <c r="Y15" s="12">
        <v>-1</v>
      </c>
      <c r="Z15" s="12">
        <v>1</v>
      </c>
      <c r="AA15" s="12">
        <v>1</v>
      </c>
      <c r="AB15" s="12">
        <v>-1.17</v>
      </c>
      <c r="AC15" s="12">
        <v>0.14000000000000001</v>
      </c>
      <c r="AD15" s="12">
        <v>-0.5149999999999999</v>
      </c>
      <c r="AE15" s="79">
        <f t="shared" si="14"/>
        <v>1.5848411157770483</v>
      </c>
    </row>
    <row r="16" spans="1:31" x14ac:dyDescent="0.25">
      <c r="A16" s="16">
        <v>15</v>
      </c>
      <c r="B16" s="12">
        <v>-1</v>
      </c>
      <c r="C16" s="12">
        <v>1</v>
      </c>
      <c r="D16" s="12">
        <v>1</v>
      </c>
      <c r="E16" s="12">
        <v>1</v>
      </c>
      <c r="F16" s="31">
        <f t="shared" si="0"/>
        <v>-1</v>
      </c>
      <c r="G16" s="31">
        <f t="shared" si="1"/>
        <v>-1</v>
      </c>
      <c r="H16" s="31">
        <f t="shared" si="2"/>
        <v>-1</v>
      </c>
      <c r="I16" s="31">
        <f t="shared" si="3"/>
        <v>1</v>
      </c>
      <c r="J16" s="31">
        <f t="shared" si="4"/>
        <v>1</v>
      </c>
      <c r="K16" s="31">
        <f t="shared" si="5"/>
        <v>1</v>
      </c>
      <c r="L16" s="31">
        <f t="shared" si="6"/>
        <v>-1</v>
      </c>
      <c r="M16" s="31">
        <f t="shared" si="7"/>
        <v>-1</v>
      </c>
      <c r="N16" s="31">
        <f t="shared" si="8"/>
        <v>-1</v>
      </c>
      <c r="O16" s="31">
        <f t="shared" si="9"/>
        <v>1</v>
      </c>
      <c r="P16" s="31">
        <f t="shared" si="10"/>
        <v>-1</v>
      </c>
      <c r="Q16" s="12">
        <v>0.48</v>
      </c>
      <c r="R16" s="12">
        <v>1.06</v>
      </c>
      <c r="S16" s="31">
        <f t="shared" si="11"/>
        <v>0.77</v>
      </c>
      <c r="T16" s="31">
        <f t="shared" si="12"/>
        <v>1.6941133131485566</v>
      </c>
      <c r="U16" s="31">
        <f t="shared" si="13"/>
        <v>-4.7551576868514438</v>
      </c>
      <c r="W16" s="16">
        <v>15</v>
      </c>
      <c r="X16" s="12">
        <v>-1</v>
      </c>
      <c r="Y16" s="12">
        <v>1</v>
      </c>
      <c r="Z16" s="12">
        <v>1</v>
      </c>
      <c r="AA16" s="12">
        <v>1</v>
      </c>
      <c r="AB16" s="12">
        <v>0.48</v>
      </c>
      <c r="AC16" s="12">
        <v>1.06</v>
      </c>
      <c r="AD16" s="12">
        <v>0.77</v>
      </c>
      <c r="AE16" s="79">
        <f t="shared" si="14"/>
        <v>1.6941133131485566</v>
      </c>
    </row>
    <row r="17" spans="1:31" ht="16.5" thickBot="1" x14ac:dyDescent="0.3">
      <c r="A17" s="17">
        <v>16</v>
      </c>
      <c r="B17" s="18">
        <v>1</v>
      </c>
      <c r="C17" s="18">
        <v>1</v>
      </c>
      <c r="D17" s="18">
        <v>1</v>
      </c>
      <c r="E17" s="18">
        <v>1</v>
      </c>
      <c r="F17" s="31">
        <f t="shared" si="0"/>
        <v>1</v>
      </c>
      <c r="G17" s="31">
        <f t="shared" si="1"/>
        <v>1</v>
      </c>
      <c r="H17" s="31">
        <f t="shared" si="2"/>
        <v>1</v>
      </c>
      <c r="I17" s="31">
        <f t="shared" si="3"/>
        <v>1</v>
      </c>
      <c r="J17" s="31">
        <f t="shared" si="4"/>
        <v>1</v>
      </c>
      <c r="K17" s="31">
        <f t="shared" si="5"/>
        <v>1</v>
      </c>
      <c r="L17" s="31">
        <f t="shared" si="6"/>
        <v>1</v>
      </c>
      <c r="M17" s="31">
        <f t="shared" si="7"/>
        <v>1</v>
      </c>
      <c r="N17" s="31">
        <f t="shared" si="8"/>
        <v>1</v>
      </c>
      <c r="O17" s="31">
        <f t="shared" si="9"/>
        <v>1</v>
      </c>
      <c r="P17" s="31">
        <f t="shared" si="10"/>
        <v>1</v>
      </c>
      <c r="Q17" s="18">
        <v>0.4</v>
      </c>
      <c r="R17" s="18">
        <v>0.34</v>
      </c>
      <c r="S17" s="31">
        <f t="shared" si="11"/>
        <v>0.37</v>
      </c>
      <c r="T17" s="31">
        <f t="shared" si="12"/>
        <v>8.6075078242839282</v>
      </c>
      <c r="U17" s="31">
        <f t="shared" si="13"/>
        <v>2.1582368242839278</v>
      </c>
      <c r="W17" s="17">
        <v>16</v>
      </c>
      <c r="X17" s="18">
        <v>1</v>
      </c>
      <c r="Y17" s="18">
        <v>1</v>
      </c>
      <c r="Z17" s="18">
        <v>1</v>
      </c>
      <c r="AA17" s="18">
        <v>1</v>
      </c>
      <c r="AB17" s="18">
        <v>0.4</v>
      </c>
      <c r="AC17" s="18">
        <v>0.34</v>
      </c>
      <c r="AD17" s="18">
        <v>0.37</v>
      </c>
      <c r="AE17" s="80">
        <f t="shared" si="14"/>
        <v>8.6075078242839282</v>
      </c>
    </row>
    <row r="18" spans="1:31" x14ac:dyDescent="0.25">
      <c r="R18" s="31" t="s">
        <v>65</v>
      </c>
      <c r="T18" s="31">
        <f>103.18835</f>
        <v>103.18835</v>
      </c>
      <c r="U18" s="31" t="s">
        <v>65</v>
      </c>
    </row>
    <row r="19" spans="1:31" x14ac:dyDescent="0.25">
      <c r="R19" s="31" t="s">
        <v>16</v>
      </c>
      <c r="T19" s="31">
        <f>6.449271</f>
        <v>6.4492710000000004</v>
      </c>
      <c r="U19" s="31">
        <f>SUMSQ(U2:U17)/16</f>
        <v>70.953396135470484</v>
      </c>
    </row>
    <row r="20" spans="1:31" ht="16.5" thickBot="1" x14ac:dyDescent="0.3"/>
    <row r="21" spans="1:31" ht="16.5" thickBot="1" x14ac:dyDescent="0.3">
      <c r="A21" s="91" t="s">
        <v>243</v>
      </c>
      <c r="B21" s="92" t="s">
        <v>78</v>
      </c>
      <c r="C21" s="92" t="s">
        <v>79</v>
      </c>
      <c r="D21" s="92" t="s">
        <v>80</v>
      </c>
      <c r="E21" s="92" t="s">
        <v>81</v>
      </c>
      <c r="F21" s="92" t="s">
        <v>82</v>
      </c>
      <c r="G21" s="92" t="s">
        <v>83</v>
      </c>
      <c r="H21" s="92" t="s">
        <v>84</v>
      </c>
      <c r="I21" s="92" t="s">
        <v>85</v>
      </c>
      <c r="J21" s="92" t="s">
        <v>105</v>
      </c>
      <c r="K21" s="92" t="s">
        <v>106</v>
      </c>
      <c r="L21" s="92" t="s">
        <v>151</v>
      </c>
      <c r="M21" s="92" t="s">
        <v>152</v>
      </c>
      <c r="N21" s="92" t="s">
        <v>153</v>
      </c>
      <c r="O21" s="92" t="s">
        <v>154</v>
      </c>
      <c r="P21" s="92" t="s">
        <v>157</v>
      </c>
      <c r="Q21" s="92" t="s">
        <v>158</v>
      </c>
      <c r="R21" s="92" t="s">
        <v>155</v>
      </c>
      <c r="S21" s="92" t="s">
        <v>156</v>
      </c>
      <c r="T21" s="92" t="s">
        <v>160</v>
      </c>
      <c r="U21" s="92" t="s">
        <v>161</v>
      </c>
      <c r="V21" s="92" t="s">
        <v>159</v>
      </c>
      <c r="W21" s="92" t="s">
        <v>162</v>
      </c>
      <c r="X21" s="92" t="s">
        <v>163</v>
      </c>
      <c r="Y21" s="92" t="s">
        <v>164</v>
      </c>
      <c r="Z21" s="92" t="s">
        <v>169</v>
      </c>
      <c r="AA21" s="92" t="s">
        <v>170</v>
      </c>
      <c r="AB21" s="92" t="s">
        <v>165</v>
      </c>
      <c r="AC21" s="92" t="s">
        <v>166</v>
      </c>
      <c r="AD21" s="92" t="s">
        <v>167</v>
      </c>
      <c r="AE21" s="93" t="s">
        <v>168</v>
      </c>
    </row>
    <row r="22" spans="1:31" x14ac:dyDescent="0.25">
      <c r="A22" s="88">
        <v>1</v>
      </c>
      <c r="B22" s="89">
        <f>IF(B2=1,$T2,0)</f>
        <v>0</v>
      </c>
      <c r="C22" s="89">
        <f>IF(B2=-1,$T2,0)</f>
        <v>-0.1703333929878037</v>
      </c>
      <c r="D22" s="89">
        <f>IF(C2=1,$T2,0)</f>
        <v>0</v>
      </c>
      <c r="E22" s="89">
        <f>IF(C2=-1,$T2,0)</f>
        <v>-0.1703333929878037</v>
      </c>
      <c r="F22" s="89">
        <f>IF(D2=1,$T2,0)</f>
        <v>0</v>
      </c>
      <c r="G22" s="89">
        <f>IF(D2=-1,$T2,0)</f>
        <v>-0.1703333929878037</v>
      </c>
      <c r="H22" s="89">
        <f>IF(E2=1,$T2,0)</f>
        <v>0</v>
      </c>
      <c r="I22" s="89">
        <f>IF(E2=-1,$T2,0)</f>
        <v>-0.1703333929878037</v>
      </c>
      <c r="J22" s="89">
        <f>IF(F2=1,$T2,0)</f>
        <v>-0.1703333929878037</v>
      </c>
      <c r="K22" s="89">
        <f>IF(F2=-1,$T2,0)</f>
        <v>0</v>
      </c>
      <c r="L22" s="89">
        <f>IF(G2=1,$T2,0)</f>
        <v>-0.1703333929878037</v>
      </c>
      <c r="M22" s="89">
        <f>IF(G2=-1,$T2,0)</f>
        <v>0</v>
      </c>
      <c r="N22" s="89">
        <f>IF(H2=1,$T2,0)</f>
        <v>-0.1703333929878037</v>
      </c>
      <c r="O22" s="89">
        <f>IF(H2=-1,$T2,0)</f>
        <v>0</v>
      </c>
      <c r="P22" s="89">
        <f>IF(I2=1,$T2,0)</f>
        <v>-0.1703333929878037</v>
      </c>
      <c r="Q22" s="89">
        <f>IF(I2=-1,$T2,0)</f>
        <v>0</v>
      </c>
      <c r="R22" s="89">
        <f>IF(J2=1,$T2,0)</f>
        <v>-0.1703333929878037</v>
      </c>
      <c r="S22" s="89">
        <f>IF(J2=-1,$T2,0)</f>
        <v>0</v>
      </c>
      <c r="T22" s="89">
        <f>IF(K2=1,$T2,0)</f>
        <v>-0.1703333929878037</v>
      </c>
      <c r="U22" s="89">
        <f>IF(K2=-1,$T2,0)</f>
        <v>0</v>
      </c>
      <c r="V22" s="89">
        <f>IF(L2=1,$T2,0)</f>
        <v>0</v>
      </c>
      <c r="W22" s="89">
        <f>IF(L2=-1,$T2,0)</f>
        <v>-0.1703333929878037</v>
      </c>
      <c r="X22" s="89">
        <f>IF(M2=1,$T2,0)</f>
        <v>0</v>
      </c>
      <c r="Y22" s="89">
        <f>IF(M2=-1,$T2,0)</f>
        <v>-0.1703333929878037</v>
      </c>
      <c r="Z22" s="89">
        <f>IF(N2=1,$T2,0)</f>
        <v>0</v>
      </c>
      <c r="AA22" s="89">
        <f>IF(N2=-1,$T2,0)</f>
        <v>-0.1703333929878037</v>
      </c>
      <c r="AB22" s="89">
        <f>IF(O2=1,$T2,0)</f>
        <v>0</v>
      </c>
      <c r="AC22" s="89">
        <f>IF(O2=-1,$T2,0)</f>
        <v>-0.1703333929878037</v>
      </c>
      <c r="AD22" s="89">
        <f>IF(P2=1,$T2,0)</f>
        <v>-0.1703333929878037</v>
      </c>
      <c r="AE22" s="90">
        <f>IF(P2=-1,$T2,0)</f>
        <v>0</v>
      </c>
    </row>
    <row r="23" spans="1:31" x14ac:dyDescent="0.25">
      <c r="A23" s="82">
        <v>2</v>
      </c>
      <c r="B23" s="81">
        <f>IF(B3=1,$T3,0)</f>
        <v>-3.2471447656066834</v>
      </c>
      <c r="C23" s="81">
        <f>IF(B3=-1,$T3,0)</f>
        <v>0</v>
      </c>
      <c r="D23" s="81">
        <f>IF(C3=1,$T3,0)</f>
        <v>0</v>
      </c>
      <c r="E23" s="81">
        <f>IF(C3=-1,$T3,0)</f>
        <v>-3.2471447656066834</v>
      </c>
      <c r="F23" s="81">
        <f>IF(D3=1,$T3,0)</f>
        <v>0</v>
      </c>
      <c r="G23" s="81">
        <f>IF(D3=-1,$T3,0)</f>
        <v>-3.2471447656066834</v>
      </c>
      <c r="H23" s="81">
        <f>IF(E3=1,$T3,0)</f>
        <v>0</v>
      </c>
      <c r="I23" s="81">
        <f>IF(E3=-1,$T3,0)</f>
        <v>-3.2471447656066834</v>
      </c>
      <c r="J23" s="81">
        <f>IF(F3=1,$T3,0)</f>
        <v>0</v>
      </c>
      <c r="K23" s="81">
        <f>IF(F3=-1,$T3,0)</f>
        <v>-3.2471447656066834</v>
      </c>
      <c r="L23" s="81">
        <f>IF(G3=1,$T3,0)</f>
        <v>0</v>
      </c>
      <c r="M23" s="81">
        <f>IF(G3=-1,$T3,0)</f>
        <v>-3.2471447656066834</v>
      </c>
      <c r="N23" s="81">
        <f>IF(H3=1,$T3,0)</f>
        <v>0</v>
      </c>
      <c r="O23" s="81">
        <f>IF(H3=-1,$T3,0)</f>
        <v>-3.2471447656066834</v>
      </c>
      <c r="P23" s="81">
        <f>IF(I3=1,$T3,0)</f>
        <v>-3.2471447656066834</v>
      </c>
      <c r="Q23" s="81">
        <f>IF(I3=-1,$T3,0)</f>
        <v>0</v>
      </c>
      <c r="R23" s="81">
        <f>IF(J3=1,$T3,0)</f>
        <v>-3.2471447656066834</v>
      </c>
      <c r="S23" s="81">
        <f>IF(J3=-1,$T3,0)</f>
        <v>0</v>
      </c>
      <c r="T23" s="81">
        <f>IF(K3=1,$T3,0)</f>
        <v>-3.2471447656066834</v>
      </c>
      <c r="U23" s="81">
        <f>IF(K3=-1,$T3,0)</f>
        <v>0</v>
      </c>
      <c r="V23" s="81">
        <f>IF(L3=1,$T3,0)</f>
        <v>-3.2471447656066834</v>
      </c>
      <c r="W23" s="81">
        <f>IF(L3=-1,$T3,0)</f>
        <v>0</v>
      </c>
      <c r="X23" s="81">
        <f>IF(M3=1,$T3,0)</f>
        <v>-3.2471447656066834</v>
      </c>
      <c r="Y23" s="81">
        <f>IF(M3=-1,$T3,0)</f>
        <v>0</v>
      </c>
      <c r="Z23" s="81">
        <f>IF(N3=1,$T3,0)</f>
        <v>-3.2471447656066834</v>
      </c>
      <c r="AA23" s="81">
        <f>IF(N3=-1,$T3,0)</f>
        <v>0</v>
      </c>
      <c r="AB23" s="81">
        <f>IF(O3=1,$T3,0)</f>
        <v>0</v>
      </c>
      <c r="AC23" s="81">
        <f>IF(O3=-1,$T3,0)</f>
        <v>-3.2471447656066834</v>
      </c>
      <c r="AD23" s="81">
        <f>IF(P3=1,$T3,0)</f>
        <v>0</v>
      </c>
      <c r="AE23" s="83">
        <f>IF(P3=-1,$T3,0)</f>
        <v>-3.2471447656066834</v>
      </c>
    </row>
    <row r="24" spans="1:31" x14ac:dyDescent="0.25">
      <c r="A24" s="82">
        <v>3</v>
      </c>
      <c r="B24" s="81">
        <f>IF(B4=1,$T4,0)</f>
        <v>0</v>
      </c>
      <c r="C24" s="81">
        <f>IF(B4=-1,$T4,0)</f>
        <v>10.433514207947967</v>
      </c>
      <c r="D24" s="81">
        <f>IF(C4=1,$T4,0)</f>
        <v>10.433514207947967</v>
      </c>
      <c r="E24" s="81">
        <f>IF(C4=-1,$T4,0)</f>
        <v>0</v>
      </c>
      <c r="F24" s="81">
        <f>IF(D4=1,$T4,0)</f>
        <v>0</v>
      </c>
      <c r="G24" s="81">
        <f>IF(D4=-1,$T4,0)</f>
        <v>10.433514207947967</v>
      </c>
      <c r="H24" s="81">
        <f>IF(E4=1,$T4,0)</f>
        <v>0</v>
      </c>
      <c r="I24" s="81">
        <f>IF(E4=-1,$T4,0)</f>
        <v>10.433514207947967</v>
      </c>
      <c r="J24" s="81">
        <f>IF(F4=1,$T4,0)</f>
        <v>0</v>
      </c>
      <c r="K24" s="81">
        <f>IF(F4=-1,$T4,0)</f>
        <v>10.433514207947967</v>
      </c>
      <c r="L24" s="81">
        <f>IF(G4=1,$T4,0)</f>
        <v>10.433514207947967</v>
      </c>
      <c r="M24" s="81">
        <f>IF(G4=-1,$T4,0)</f>
        <v>0</v>
      </c>
      <c r="N24" s="81">
        <f>IF(H4=1,$T4,0)</f>
        <v>10.433514207947967</v>
      </c>
      <c r="O24" s="81">
        <f>IF(H4=-1,$T4,0)</f>
        <v>0</v>
      </c>
      <c r="P24" s="81">
        <f>IF(I4=1,$T4,0)</f>
        <v>0</v>
      </c>
      <c r="Q24" s="81">
        <f>IF(I4=-1,$T4,0)</f>
        <v>10.433514207947967</v>
      </c>
      <c r="R24" s="81">
        <f>IF(J4=1,$T4,0)</f>
        <v>0</v>
      </c>
      <c r="S24" s="81">
        <f>IF(J4=-1,$T4,0)</f>
        <v>10.433514207947967</v>
      </c>
      <c r="T24" s="81">
        <f>IF(K4=1,$T4,0)</f>
        <v>10.433514207947967</v>
      </c>
      <c r="U24" s="81">
        <f>IF(K4=-1,$T4,0)</f>
        <v>0</v>
      </c>
      <c r="V24" s="81">
        <f>IF(L4=1,$T4,0)</f>
        <v>10.433514207947967</v>
      </c>
      <c r="W24" s="81">
        <f>IF(L4=-1,$T4,0)</f>
        <v>0</v>
      </c>
      <c r="X24" s="81">
        <f>IF(M4=1,$T4,0)</f>
        <v>10.433514207947967</v>
      </c>
      <c r="Y24" s="81">
        <f>IF(M4=-1,$T4,0)</f>
        <v>0</v>
      </c>
      <c r="Z24" s="81">
        <f>IF(N4=1,$T4,0)</f>
        <v>0</v>
      </c>
      <c r="AA24" s="81">
        <f>IF(N4=-1,$T4,0)</f>
        <v>10.433514207947967</v>
      </c>
      <c r="AB24" s="81">
        <f>IF(O4=1,$T4,0)</f>
        <v>10.433514207947967</v>
      </c>
      <c r="AC24" s="81">
        <f>IF(O4=-1,$T4,0)</f>
        <v>0</v>
      </c>
      <c r="AD24" s="81">
        <f>IF(P4=1,$T4,0)</f>
        <v>0</v>
      </c>
      <c r="AE24" s="83">
        <f>IF(P4=-1,$T4,0)</f>
        <v>10.433514207947967</v>
      </c>
    </row>
    <row r="25" spans="1:31" x14ac:dyDescent="0.25">
      <c r="A25" s="82">
        <v>4</v>
      </c>
      <c r="B25" s="81">
        <f>IF(B5=1,$T5,0)</f>
        <v>8.1304366453458776</v>
      </c>
      <c r="C25" s="81">
        <f>IF(B5=-1,$T5,0)</f>
        <v>0</v>
      </c>
      <c r="D25" s="81">
        <f>IF(C5=1,$T5,0)</f>
        <v>8.1304366453458776</v>
      </c>
      <c r="E25" s="81">
        <f>IF(C5=-1,$T5,0)</f>
        <v>0</v>
      </c>
      <c r="F25" s="81">
        <f>IF(D5=1,$T5,0)</f>
        <v>0</v>
      </c>
      <c r="G25" s="81">
        <f>IF(D5=-1,$T5,0)</f>
        <v>8.1304366453458776</v>
      </c>
      <c r="H25" s="81">
        <f>IF(E5=1,$T5,0)</f>
        <v>0</v>
      </c>
      <c r="I25" s="81">
        <f>IF(E5=-1,$T5,0)</f>
        <v>8.1304366453458776</v>
      </c>
      <c r="J25" s="81">
        <f>IF(F5=1,$T5,0)</f>
        <v>8.1304366453458776</v>
      </c>
      <c r="K25" s="81">
        <f>IF(F5=-1,$T5,0)</f>
        <v>0</v>
      </c>
      <c r="L25" s="81">
        <f>IF(G5=1,$T5,0)</f>
        <v>0</v>
      </c>
      <c r="M25" s="81">
        <f>IF(G5=-1,$T5,0)</f>
        <v>8.1304366453458776</v>
      </c>
      <c r="N25" s="81">
        <f>IF(H5=1,$T5,0)</f>
        <v>0</v>
      </c>
      <c r="O25" s="81">
        <f>IF(H5=-1,$T5,0)</f>
        <v>8.1304366453458776</v>
      </c>
      <c r="P25" s="81">
        <f>IF(I5=1,$T5,0)</f>
        <v>0</v>
      </c>
      <c r="Q25" s="81">
        <f>IF(I5=-1,$T5,0)</f>
        <v>8.1304366453458776</v>
      </c>
      <c r="R25" s="81">
        <f>IF(J5=1,$T5,0)</f>
        <v>0</v>
      </c>
      <c r="S25" s="81">
        <f>IF(J5=-1,$T5,0)</f>
        <v>8.1304366453458776</v>
      </c>
      <c r="T25" s="81">
        <f>IF(K5=1,$T5,0)</f>
        <v>8.1304366453458776</v>
      </c>
      <c r="U25" s="81">
        <f>IF(K5=-1,$T5,0)</f>
        <v>0</v>
      </c>
      <c r="V25" s="81">
        <f>IF(L5=1,$T5,0)</f>
        <v>0</v>
      </c>
      <c r="W25" s="81">
        <f>IF(L5=-1,$T5,0)</f>
        <v>8.1304366453458776</v>
      </c>
      <c r="X25" s="81">
        <f>IF(M5=1,$T5,0)</f>
        <v>0</v>
      </c>
      <c r="Y25" s="81">
        <f>IF(M5=-1,$T5,0)</f>
        <v>8.1304366453458776</v>
      </c>
      <c r="Z25" s="81">
        <f>IF(N5=1,$T5,0)</f>
        <v>8.1304366453458776</v>
      </c>
      <c r="AA25" s="81">
        <f>IF(N5=-1,$T5,0)</f>
        <v>0</v>
      </c>
      <c r="AB25" s="81">
        <f>IF(O5=1,$T5,0)</f>
        <v>8.1304366453458776</v>
      </c>
      <c r="AC25" s="81">
        <f>IF(O5=-1,$T5,0)</f>
        <v>0</v>
      </c>
      <c r="AD25" s="81">
        <f>IF(P5=1,$T5,0)</f>
        <v>8.1304366453458776</v>
      </c>
      <c r="AE25" s="83">
        <f>IF(P5=-1,$T5,0)</f>
        <v>0</v>
      </c>
    </row>
    <row r="26" spans="1:31" x14ac:dyDescent="0.25">
      <c r="A26" s="82">
        <v>5</v>
      </c>
      <c r="B26" s="81">
        <f>IF(B6=1,$T6,0)</f>
        <v>0</v>
      </c>
      <c r="C26" s="81">
        <f>IF(B6=-1,$T6,0)</f>
        <v>14.628107737563553</v>
      </c>
      <c r="D26" s="81">
        <f>IF(C6=1,$T6,0)</f>
        <v>0</v>
      </c>
      <c r="E26" s="81">
        <f>IF(C6=-1,$T6,0)</f>
        <v>14.628107737563553</v>
      </c>
      <c r="F26" s="81">
        <f>IF(D6=1,$T6,0)</f>
        <v>14.628107737563553</v>
      </c>
      <c r="G26" s="81">
        <f>IF(D6=-1,$T6,0)</f>
        <v>0</v>
      </c>
      <c r="H26" s="81">
        <f>IF(E6=1,$T6,0)</f>
        <v>0</v>
      </c>
      <c r="I26" s="81">
        <f>IF(E6=-1,$T6,0)</f>
        <v>14.628107737563553</v>
      </c>
      <c r="J26" s="81">
        <f>IF(F6=1,$T6,0)</f>
        <v>14.628107737563553</v>
      </c>
      <c r="K26" s="81">
        <f>IF(F6=-1,$T6,0)</f>
        <v>0</v>
      </c>
      <c r="L26" s="81">
        <f>IF(G6=1,$T6,0)</f>
        <v>0</v>
      </c>
      <c r="M26" s="81">
        <f>IF(G6=-1,$T6,0)</f>
        <v>14.628107737563553</v>
      </c>
      <c r="N26" s="81">
        <f>IF(H6=1,$T6,0)</f>
        <v>14.628107737563553</v>
      </c>
      <c r="O26" s="81">
        <f>IF(H6=-1,$T6,0)</f>
        <v>0</v>
      </c>
      <c r="P26" s="81">
        <f>IF(I6=1,$T6,0)</f>
        <v>0</v>
      </c>
      <c r="Q26" s="81">
        <f>IF(I6=-1,$T6,0)</f>
        <v>14.628107737563553</v>
      </c>
      <c r="R26" s="81">
        <f>IF(J6=1,$T6,0)</f>
        <v>14.628107737563553</v>
      </c>
      <c r="S26" s="81">
        <f>IF(J6=-1,$T6,0)</f>
        <v>0</v>
      </c>
      <c r="T26" s="81">
        <f>IF(K6=1,$T6,0)</f>
        <v>0</v>
      </c>
      <c r="U26" s="81">
        <f>IF(K6=-1,$T6,0)</f>
        <v>14.628107737563553</v>
      </c>
      <c r="V26" s="81">
        <f>IF(L6=1,$T6,0)</f>
        <v>14.628107737563553</v>
      </c>
      <c r="W26" s="81">
        <f>IF(L6=-1,$T6,0)</f>
        <v>0</v>
      </c>
      <c r="X26" s="81">
        <f>IF(M6=1,$T6,0)</f>
        <v>0</v>
      </c>
      <c r="Y26" s="81">
        <f>IF(M6=-1,$T6,0)</f>
        <v>14.628107737563553</v>
      </c>
      <c r="Z26" s="81">
        <f>IF(N6=1,$T6,0)</f>
        <v>14.628107737563553</v>
      </c>
      <c r="AA26" s="81">
        <f>IF(N6=-1,$T6,0)</f>
        <v>0</v>
      </c>
      <c r="AB26" s="81">
        <f>IF(O6=1,$T6,0)</f>
        <v>14.628107737563553</v>
      </c>
      <c r="AC26" s="81">
        <f>IF(O6=-1,$T6,0)</f>
        <v>0</v>
      </c>
      <c r="AD26" s="81">
        <f>IF(P6=1,$T6,0)</f>
        <v>0</v>
      </c>
      <c r="AE26" s="83">
        <f>IF(P6=-1,$T6,0)</f>
        <v>14.628107737563553</v>
      </c>
    </row>
    <row r="27" spans="1:31" x14ac:dyDescent="0.25">
      <c r="A27" s="82">
        <v>6</v>
      </c>
      <c r="B27" s="81">
        <f>IF(B7=1,$T7,0)</f>
        <v>2.8663547939044607</v>
      </c>
      <c r="C27" s="81">
        <f>IF(B7=-1,$T7,0)</f>
        <v>0</v>
      </c>
      <c r="D27" s="81">
        <f>IF(C7=1,$T7,0)</f>
        <v>0</v>
      </c>
      <c r="E27" s="81">
        <f>IF(C7=-1,$T7,0)</f>
        <v>2.8663547939044607</v>
      </c>
      <c r="F27" s="81">
        <f>IF(D7=1,$T7,0)</f>
        <v>2.8663547939044607</v>
      </c>
      <c r="G27" s="81">
        <f>IF(D7=-1,$T7,0)</f>
        <v>0</v>
      </c>
      <c r="H27" s="81">
        <f>IF(E7=1,$T7,0)</f>
        <v>0</v>
      </c>
      <c r="I27" s="81">
        <f>IF(E7=-1,$T7,0)</f>
        <v>2.8663547939044607</v>
      </c>
      <c r="J27" s="81">
        <f>IF(F7=1,$T7,0)</f>
        <v>0</v>
      </c>
      <c r="K27" s="81">
        <f>IF(F7=-1,$T7,0)</f>
        <v>2.8663547939044607</v>
      </c>
      <c r="L27" s="81">
        <f>IF(G7=1,$T7,0)</f>
        <v>2.8663547939044607</v>
      </c>
      <c r="M27" s="81">
        <f>IF(G7=-1,$T7,0)</f>
        <v>0</v>
      </c>
      <c r="N27" s="81">
        <f>IF(H7=1,$T7,0)</f>
        <v>0</v>
      </c>
      <c r="O27" s="81">
        <f>IF(H7=-1,$T7,0)</f>
        <v>2.8663547939044607</v>
      </c>
      <c r="P27" s="81">
        <f>IF(I7=1,$T7,0)</f>
        <v>0</v>
      </c>
      <c r="Q27" s="81">
        <f>IF(I7=-1,$T7,0)</f>
        <v>2.8663547939044607</v>
      </c>
      <c r="R27" s="81">
        <f>IF(J7=1,$T7,0)</f>
        <v>2.8663547939044607</v>
      </c>
      <c r="S27" s="81">
        <f>IF(J7=-1,$T7,0)</f>
        <v>0</v>
      </c>
      <c r="T27" s="81">
        <f>IF(K7=1,$T7,0)</f>
        <v>0</v>
      </c>
      <c r="U27" s="81">
        <f>IF(K7=-1,$T7,0)</f>
        <v>2.8663547939044607</v>
      </c>
      <c r="V27" s="81">
        <f>IF(L7=1,$T7,0)</f>
        <v>0</v>
      </c>
      <c r="W27" s="81">
        <f>IF(L7=-1,$T7,0)</f>
        <v>2.8663547939044607</v>
      </c>
      <c r="X27" s="81">
        <f>IF(M7=1,$T7,0)</f>
        <v>2.8663547939044607</v>
      </c>
      <c r="Y27" s="81">
        <f>IF(M7=-1,$T7,0)</f>
        <v>0</v>
      </c>
      <c r="Z27" s="81">
        <f>IF(N7=1,$T7,0)</f>
        <v>0</v>
      </c>
      <c r="AA27" s="81">
        <f>IF(N7=-1,$T7,0)</f>
        <v>2.8663547939044607</v>
      </c>
      <c r="AB27" s="81">
        <f>IF(O7=1,$T7,0)</f>
        <v>2.8663547939044607</v>
      </c>
      <c r="AC27" s="81">
        <f>IF(O7=-1,$T7,0)</f>
        <v>0</v>
      </c>
      <c r="AD27" s="81">
        <f>IF(P7=1,$T7,0)</f>
        <v>2.8663547939044607</v>
      </c>
      <c r="AE27" s="83">
        <f>IF(P7=-1,$T7,0)</f>
        <v>0</v>
      </c>
    </row>
    <row r="28" spans="1:31" x14ac:dyDescent="0.25">
      <c r="A28" s="82">
        <v>7</v>
      </c>
      <c r="B28" s="81">
        <f>IF(B8=1,$T8,0)</f>
        <v>0</v>
      </c>
      <c r="C28" s="81">
        <f>IF(B8=-1,$T8,0)</f>
        <v>1.0601643278815294</v>
      </c>
      <c r="D28" s="81">
        <f>IF(C8=1,$T8,0)</f>
        <v>1.0601643278815294</v>
      </c>
      <c r="E28" s="81">
        <f>IF(C8=-1,$T8,0)</f>
        <v>0</v>
      </c>
      <c r="F28" s="81">
        <f>IF(D8=1,$T8,0)</f>
        <v>1.0601643278815294</v>
      </c>
      <c r="G28" s="81">
        <f>IF(D8=-1,$T8,0)</f>
        <v>0</v>
      </c>
      <c r="H28" s="81">
        <f>IF(E8=1,$T8,0)</f>
        <v>0</v>
      </c>
      <c r="I28" s="81">
        <f>IF(E8=-1,$T8,0)</f>
        <v>1.0601643278815294</v>
      </c>
      <c r="J28" s="81">
        <f>IF(F8=1,$T8,0)</f>
        <v>0</v>
      </c>
      <c r="K28" s="81">
        <f>IF(F8=-1,$T8,0)</f>
        <v>1.0601643278815294</v>
      </c>
      <c r="L28" s="81">
        <f>IF(G8=1,$T8,0)</f>
        <v>0</v>
      </c>
      <c r="M28" s="81">
        <f>IF(G8=-1,$T8,0)</f>
        <v>1.0601643278815294</v>
      </c>
      <c r="N28" s="81">
        <f>IF(H8=1,$T8,0)</f>
        <v>1.0601643278815294</v>
      </c>
      <c r="O28" s="81">
        <f>IF(H8=-1,$T8,0)</f>
        <v>0</v>
      </c>
      <c r="P28" s="81">
        <f>IF(I8=1,$T8,0)</f>
        <v>1.0601643278815294</v>
      </c>
      <c r="Q28" s="81">
        <f>IF(I8=-1,$T8,0)</f>
        <v>0</v>
      </c>
      <c r="R28" s="81">
        <f>IF(J8=1,$T8,0)</f>
        <v>0</v>
      </c>
      <c r="S28" s="81">
        <f>IF(J8=-1,$T8,0)</f>
        <v>1.0601643278815294</v>
      </c>
      <c r="T28" s="81">
        <f>IF(K8=1,$T8,0)</f>
        <v>0</v>
      </c>
      <c r="U28" s="81">
        <f>IF(K8=-1,$T8,0)</f>
        <v>1.0601643278815294</v>
      </c>
      <c r="V28" s="81">
        <f>IF(L8=1,$T8,0)</f>
        <v>0</v>
      </c>
      <c r="W28" s="81">
        <f>IF(L8=-1,$T8,0)</f>
        <v>1.0601643278815294</v>
      </c>
      <c r="X28" s="81">
        <f>IF(M8=1,$T8,0)</f>
        <v>1.0601643278815294</v>
      </c>
      <c r="Y28" s="81">
        <f>IF(M8=-1,$T8,0)</f>
        <v>0</v>
      </c>
      <c r="Z28" s="81">
        <f>IF(N8=1,$T8,0)</f>
        <v>1.0601643278815294</v>
      </c>
      <c r="AA28" s="81">
        <f>IF(N8=-1,$T8,0)</f>
        <v>0</v>
      </c>
      <c r="AB28" s="81">
        <f>IF(O8=1,$T8,0)</f>
        <v>0</v>
      </c>
      <c r="AC28" s="81">
        <f>IF(O8=-1,$T8,0)</f>
        <v>1.0601643278815294</v>
      </c>
      <c r="AD28" s="81">
        <f>IF(P8=1,$T8,0)</f>
        <v>1.0601643278815294</v>
      </c>
      <c r="AE28" s="83">
        <f>IF(P8=-1,$T8,0)</f>
        <v>0</v>
      </c>
    </row>
    <row r="29" spans="1:31" x14ac:dyDescent="0.25">
      <c r="A29" s="82">
        <v>8</v>
      </c>
      <c r="B29" s="81">
        <f>IF(B9=1,$T9,0)</f>
        <v>12.128939069634299</v>
      </c>
      <c r="C29" s="81">
        <f>IF(B9=-1,$T9,0)</f>
        <v>0</v>
      </c>
      <c r="D29" s="81">
        <f>IF(C9=1,$T9,0)</f>
        <v>12.128939069634299</v>
      </c>
      <c r="E29" s="81">
        <f>IF(C9=-1,$T9,0)</f>
        <v>0</v>
      </c>
      <c r="F29" s="81">
        <f>IF(D9=1,$T9,0)</f>
        <v>12.128939069634299</v>
      </c>
      <c r="G29" s="81">
        <f>IF(D9=-1,$T9,0)</f>
        <v>0</v>
      </c>
      <c r="H29" s="81">
        <f>IF(E9=1,$T9,0)</f>
        <v>0</v>
      </c>
      <c r="I29" s="81">
        <f>IF(E9=-1,$T9,0)</f>
        <v>12.128939069634299</v>
      </c>
      <c r="J29" s="81">
        <f>IF(F9=1,$T9,0)</f>
        <v>12.128939069634299</v>
      </c>
      <c r="K29" s="81">
        <f>IF(F9=-1,$T9,0)</f>
        <v>0</v>
      </c>
      <c r="L29" s="81">
        <f>IF(G9=1,$T9,0)</f>
        <v>12.128939069634299</v>
      </c>
      <c r="M29" s="81">
        <f>IF(G9=-1,$T9,0)</f>
        <v>0</v>
      </c>
      <c r="N29" s="81">
        <f>IF(H9=1,$T9,0)</f>
        <v>0</v>
      </c>
      <c r="O29" s="81">
        <f>IF(H9=-1,$T9,0)</f>
        <v>12.128939069634299</v>
      </c>
      <c r="P29" s="81">
        <f>IF(I9=1,$T9,0)</f>
        <v>12.128939069634299</v>
      </c>
      <c r="Q29" s="81">
        <f>IF(I9=-1,$T9,0)</f>
        <v>0</v>
      </c>
      <c r="R29" s="81">
        <f>IF(J9=1,$T9,0)</f>
        <v>0</v>
      </c>
      <c r="S29" s="81">
        <f>IF(J9=-1,$T9,0)</f>
        <v>12.128939069634299</v>
      </c>
      <c r="T29" s="81">
        <f>IF(K9=1,$T9,0)</f>
        <v>0</v>
      </c>
      <c r="U29" s="81">
        <f>IF(K9=-1,$T9,0)</f>
        <v>12.128939069634299</v>
      </c>
      <c r="V29" s="81">
        <f>IF(L9=1,$T9,0)</f>
        <v>12.128939069634299</v>
      </c>
      <c r="W29" s="81">
        <f>IF(L9=-1,$T9,0)</f>
        <v>0</v>
      </c>
      <c r="X29" s="81">
        <f>IF(M9=1,$T9,0)</f>
        <v>0</v>
      </c>
      <c r="Y29" s="81">
        <f>IF(M9=-1,$T9,0)</f>
        <v>12.128939069634299</v>
      </c>
      <c r="Z29" s="81">
        <f>IF(N9=1,$T9,0)</f>
        <v>0</v>
      </c>
      <c r="AA29" s="81">
        <f>IF(N9=-1,$T9,0)</f>
        <v>12.128939069634299</v>
      </c>
      <c r="AB29" s="81">
        <f>IF(O9=1,$T9,0)</f>
        <v>0</v>
      </c>
      <c r="AC29" s="81">
        <f>IF(O9=-1,$T9,0)</f>
        <v>12.128939069634299</v>
      </c>
      <c r="AD29" s="81">
        <f>IF(P9=1,$T9,0)</f>
        <v>0</v>
      </c>
      <c r="AE29" s="83">
        <f>IF(P9=-1,$T9,0)</f>
        <v>12.128939069634299</v>
      </c>
    </row>
    <row r="30" spans="1:31" x14ac:dyDescent="0.25">
      <c r="A30" s="82">
        <v>9</v>
      </c>
      <c r="B30" s="81">
        <f>IF(B10=1,$T10,0)</f>
        <v>0</v>
      </c>
      <c r="C30" s="81">
        <f>IF(B10=-1,$T10,0)</f>
        <v>5.357340659659247</v>
      </c>
      <c r="D30" s="81">
        <f>IF(C10=1,$T10,0)</f>
        <v>0</v>
      </c>
      <c r="E30" s="81">
        <f>IF(C10=-1,$T10,0)</f>
        <v>5.357340659659247</v>
      </c>
      <c r="F30" s="81">
        <f>IF(D10=1,$T10,0)</f>
        <v>0</v>
      </c>
      <c r="G30" s="81">
        <f>IF(D10=-1,$T10,0)</f>
        <v>5.357340659659247</v>
      </c>
      <c r="H30" s="81">
        <f>IF(E10=1,$T10,0)</f>
        <v>5.357340659659247</v>
      </c>
      <c r="I30" s="81">
        <f>IF(E10=-1,$T10,0)</f>
        <v>0</v>
      </c>
      <c r="J30" s="81">
        <f>IF(F10=1,$T10,0)</f>
        <v>5.357340659659247</v>
      </c>
      <c r="K30" s="81">
        <f>IF(F10=-1,$T10,0)</f>
        <v>0</v>
      </c>
      <c r="L30" s="81">
        <f>IF(G10=1,$T10,0)</f>
        <v>5.357340659659247</v>
      </c>
      <c r="M30" s="81">
        <f>IF(G10=-1,$T10,0)</f>
        <v>0</v>
      </c>
      <c r="N30" s="81">
        <f>IF(H10=1,$T10,0)</f>
        <v>0</v>
      </c>
      <c r="O30" s="81">
        <f>IF(H10=-1,$T10,0)</f>
        <v>5.357340659659247</v>
      </c>
      <c r="P30" s="81">
        <f>IF(I10=1,$T10,0)</f>
        <v>5.357340659659247</v>
      </c>
      <c r="Q30" s="81">
        <f>IF(I10=-1,$T10,0)</f>
        <v>0</v>
      </c>
      <c r="R30" s="81">
        <f>IF(J10=1,$T10,0)</f>
        <v>0</v>
      </c>
      <c r="S30" s="81">
        <f>IF(J10=-1,$T10,0)</f>
        <v>5.357340659659247</v>
      </c>
      <c r="T30" s="81">
        <f>IF(K10=1,$T10,0)</f>
        <v>0</v>
      </c>
      <c r="U30" s="81">
        <f>IF(K10=-1,$T10,0)</f>
        <v>5.357340659659247</v>
      </c>
      <c r="V30" s="81">
        <f>IF(L10=1,$T10,0)</f>
        <v>0</v>
      </c>
      <c r="W30" s="81">
        <f>IF(L10=-1,$T10,0)</f>
        <v>5.357340659659247</v>
      </c>
      <c r="X30" s="81">
        <f>IF(M10=1,$T10,0)</f>
        <v>5.357340659659247</v>
      </c>
      <c r="Y30" s="81">
        <f>IF(M10=-1,$T10,0)</f>
        <v>0</v>
      </c>
      <c r="Z30" s="81">
        <f>IF(N10=1,$T10,0)</f>
        <v>5.357340659659247</v>
      </c>
      <c r="AA30" s="81">
        <f>IF(N10=-1,$T10,0)</f>
        <v>0</v>
      </c>
      <c r="AB30" s="81">
        <f>IF(O10=1,$T10,0)</f>
        <v>5.357340659659247</v>
      </c>
      <c r="AC30" s="81">
        <f>IF(O10=-1,$T10,0)</f>
        <v>0</v>
      </c>
      <c r="AD30" s="81">
        <f>IF(P10=1,$T10,0)</f>
        <v>0</v>
      </c>
      <c r="AE30" s="83">
        <f>IF(P10=-1,$T10,0)</f>
        <v>5.357340659659247</v>
      </c>
    </row>
    <row r="31" spans="1:31" x14ac:dyDescent="0.25">
      <c r="A31" s="82">
        <v>10</v>
      </c>
      <c r="B31" s="81">
        <f>IF(B11=1,$T11,0)</f>
        <v>0.42632191568472555</v>
      </c>
      <c r="C31" s="81">
        <f>IF(B11=-1,$T11,0)</f>
        <v>0</v>
      </c>
      <c r="D31" s="81">
        <f>IF(C11=1,$T11,0)</f>
        <v>0</v>
      </c>
      <c r="E31" s="81">
        <f>IF(C11=-1,$T11,0)</f>
        <v>0.42632191568472555</v>
      </c>
      <c r="F31" s="81">
        <f>IF(D11=1,$T11,0)</f>
        <v>0</v>
      </c>
      <c r="G31" s="81">
        <f>IF(D11=-1,$T11,0)</f>
        <v>0.42632191568472555</v>
      </c>
      <c r="H31" s="81">
        <f>IF(E11=1,$T11,0)</f>
        <v>0.42632191568472555</v>
      </c>
      <c r="I31" s="81">
        <f>IF(E11=-1,$T11,0)</f>
        <v>0</v>
      </c>
      <c r="J31" s="81">
        <f>IF(F11=1,$T11,0)</f>
        <v>0</v>
      </c>
      <c r="K31" s="81">
        <f>IF(F11=-1,$T11,0)</f>
        <v>0.42632191568472555</v>
      </c>
      <c r="L31" s="81">
        <f>IF(G11=1,$T11,0)</f>
        <v>0</v>
      </c>
      <c r="M31" s="81">
        <f>IF(G11=-1,$T11,0)</f>
        <v>0.42632191568472555</v>
      </c>
      <c r="N31" s="81">
        <f>IF(H11=1,$T11,0)</f>
        <v>0.42632191568472555</v>
      </c>
      <c r="O31" s="81">
        <f>IF(H11=-1,$T11,0)</f>
        <v>0</v>
      </c>
      <c r="P31" s="81">
        <f>IF(I11=1,$T11,0)</f>
        <v>0.42632191568472555</v>
      </c>
      <c r="Q31" s="81">
        <f>IF(I11=-1,$T11,0)</f>
        <v>0</v>
      </c>
      <c r="R31" s="81">
        <f>IF(J11=1,$T11,0)</f>
        <v>0</v>
      </c>
      <c r="S31" s="81">
        <f>IF(J11=-1,$T11,0)</f>
        <v>0.42632191568472555</v>
      </c>
      <c r="T31" s="81">
        <f>IF(K11=1,$T11,0)</f>
        <v>0</v>
      </c>
      <c r="U31" s="81">
        <f>IF(K11=-1,$T11,0)</f>
        <v>0.42632191568472555</v>
      </c>
      <c r="V31" s="81">
        <f>IF(L11=1,$T11,0)</f>
        <v>0.42632191568472555</v>
      </c>
      <c r="W31" s="81">
        <f>IF(L11=-1,$T11,0)</f>
        <v>0</v>
      </c>
      <c r="X31" s="81">
        <f>IF(M11=1,$T11,0)</f>
        <v>0</v>
      </c>
      <c r="Y31" s="81">
        <f>IF(M11=-1,$T11,0)</f>
        <v>0.42632191568472555</v>
      </c>
      <c r="Z31" s="81">
        <f>IF(N11=1,$T11,0)</f>
        <v>0</v>
      </c>
      <c r="AA31" s="81">
        <f>IF(N11=-1,$T11,0)</f>
        <v>0.42632191568472555</v>
      </c>
      <c r="AB31" s="81">
        <f>IF(O11=1,$T11,0)</f>
        <v>0.42632191568472555</v>
      </c>
      <c r="AC31" s="81">
        <f>IF(O11=-1,$T11,0)</f>
        <v>0</v>
      </c>
      <c r="AD31" s="81">
        <f>IF(P11=1,$T11,0)</f>
        <v>0.42632191568472555</v>
      </c>
      <c r="AE31" s="83">
        <f>IF(P11=-1,$T11,0)</f>
        <v>0</v>
      </c>
    </row>
    <row r="32" spans="1:31" x14ac:dyDescent="0.25">
      <c r="A32" s="82">
        <v>11</v>
      </c>
      <c r="B32" s="81">
        <f>IF(B12=1,$T12,0)</f>
        <v>0</v>
      </c>
      <c r="C32" s="81">
        <f>IF(B12=-1,$T12,0)</f>
        <v>6.8350546077768879</v>
      </c>
      <c r="D32" s="81">
        <f>IF(C12=1,$T12,0)</f>
        <v>6.8350546077768879</v>
      </c>
      <c r="E32" s="81">
        <f>IF(C12=-1,$T12,0)</f>
        <v>0</v>
      </c>
      <c r="F32" s="81">
        <f>IF(D12=1,$T12,0)</f>
        <v>0</v>
      </c>
      <c r="G32" s="81">
        <f>IF(D12=-1,$T12,0)</f>
        <v>6.8350546077768879</v>
      </c>
      <c r="H32" s="81">
        <f>IF(E12=1,$T12,0)</f>
        <v>6.8350546077768879</v>
      </c>
      <c r="I32" s="81">
        <f>IF(E12=-1,$T12,0)</f>
        <v>0</v>
      </c>
      <c r="J32" s="81">
        <f>IF(F12=1,$T12,0)</f>
        <v>0</v>
      </c>
      <c r="K32" s="81">
        <f>IF(F12=-1,$T12,0)</f>
        <v>6.8350546077768879</v>
      </c>
      <c r="L32" s="81">
        <f>IF(G12=1,$T12,0)</f>
        <v>6.8350546077768879</v>
      </c>
      <c r="M32" s="81">
        <f>IF(G12=-1,$T12,0)</f>
        <v>0</v>
      </c>
      <c r="N32" s="81">
        <f>IF(H12=1,$T12,0)</f>
        <v>0</v>
      </c>
      <c r="O32" s="81">
        <f>IF(H12=-1,$T12,0)</f>
        <v>6.8350546077768879</v>
      </c>
      <c r="P32" s="81">
        <f>IF(I12=1,$T12,0)</f>
        <v>0</v>
      </c>
      <c r="Q32" s="81">
        <f>IF(I12=-1,$T12,0)</f>
        <v>6.8350546077768879</v>
      </c>
      <c r="R32" s="81">
        <f>IF(J12=1,$T12,0)</f>
        <v>6.8350546077768879</v>
      </c>
      <c r="S32" s="81">
        <f>IF(J12=-1,$T12,0)</f>
        <v>0</v>
      </c>
      <c r="T32" s="81">
        <f>IF(K12=1,$T12,0)</f>
        <v>0</v>
      </c>
      <c r="U32" s="81">
        <f>IF(K12=-1,$T12,0)</f>
        <v>6.8350546077768879</v>
      </c>
      <c r="V32" s="81">
        <f>IF(L12=1,$T12,0)</f>
        <v>6.8350546077768879</v>
      </c>
      <c r="W32" s="81">
        <f>IF(L12=-1,$T12,0)</f>
        <v>0</v>
      </c>
      <c r="X32" s="81">
        <f>IF(M12=1,$T12,0)</f>
        <v>0</v>
      </c>
      <c r="Y32" s="81">
        <f>IF(M12=-1,$T12,0)</f>
        <v>6.8350546077768879</v>
      </c>
      <c r="Z32" s="81">
        <f>IF(N12=1,$T12,0)</f>
        <v>6.8350546077768879</v>
      </c>
      <c r="AA32" s="81">
        <f>IF(N12=-1,$T12,0)</f>
        <v>0</v>
      </c>
      <c r="AB32" s="81">
        <f>IF(O12=1,$T12,0)</f>
        <v>0</v>
      </c>
      <c r="AC32" s="81">
        <f>IF(O12=-1,$T12,0)</f>
        <v>6.8350546077768879</v>
      </c>
      <c r="AD32" s="81">
        <f>IF(P12=1,$T12,0)</f>
        <v>6.8350546077768879</v>
      </c>
      <c r="AE32" s="83">
        <f>IF(P12=-1,$T12,0)</f>
        <v>0</v>
      </c>
    </row>
    <row r="33" spans="1:31" x14ac:dyDescent="0.25">
      <c r="A33" s="82">
        <v>12</v>
      </c>
      <c r="B33" s="81">
        <f>IF(B13=1,$T13,0)</f>
        <v>33.010299956639813</v>
      </c>
      <c r="C33" s="81">
        <f>IF(B13=-1,$T13,0)</f>
        <v>0</v>
      </c>
      <c r="D33" s="81">
        <f>IF(C13=1,$T13,0)</f>
        <v>33.010299956639813</v>
      </c>
      <c r="E33" s="81">
        <f>IF(C13=-1,$T13,0)</f>
        <v>0</v>
      </c>
      <c r="F33" s="81">
        <f>IF(D13=1,$T13,0)</f>
        <v>0</v>
      </c>
      <c r="G33" s="81">
        <f>IF(D13=-1,$T13,0)</f>
        <v>33.010299956639813</v>
      </c>
      <c r="H33" s="81">
        <f>IF(E13=1,$T13,0)</f>
        <v>33.010299956639813</v>
      </c>
      <c r="I33" s="81">
        <f>IF(E13=-1,$T13,0)</f>
        <v>0</v>
      </c>
      <c r="J33" s="81">
        <f>IF(F13=1,$T13,0)</f>
        <v>33.010299956639813</v>
      </c>
      <c r="K33" s="81">
        <f>IF(F13=-1,$T13,0)</f>
        <v>0</v>
      </c>
      <c r="L33" s="81">
        <f>IF(G13=1,$T13,0)</f>
        <v>0</v>
      </c>
      <c r="M33" s="81">
        <f>IF(G13=-1,$T13,0)</f>
        <v>33.010299956639813</v>
      </c>
      <c r="N33" s="81">
        <f>IF(H13=1,$T13,0)</f>
        <v>33.010299956639813</v>
      </c>
      <c r="O33" s="81">
        <f>IF(H13=-1,$T13,0)</f>
        <v>0</v>
      </c>
      <c r="P33" s="81">
        <f>IF(I13=1,$T13,0)</f>
        <v>0</v>
      </c>
      <c r="Q33" s="81">
        <f>IF(I13=-1,$T13,0)</f>
        <v>33.010299956639813</v>
      </c>
      <c r="R33" s="81">
        <f>IF(J13=1,$T13,0)</f>
        <v>33.010299956639813</v>
      </c>
      <c r="S33" s="81">
        <f>IF(J13=-1,$T13,0)</f>
        <v>0</v>
      </c>
      <c r="T33" s="81">
        <f>IF(K13=1,$T13,0)</f>
        <v>0</v>
      </c>
      <c r="U33" s="81">
        <f>IF(K13=-1,$T13,0)</f>
        <v>33.010299956639813</v>
      </c>
      <c r="V33" s="81">
        <f>IF(L13=1,$T13,0)</f>
        <v>0</v>
      </c>
      <c r="W33" s="81">
        <f>IF(L13=-1,$T13,0)</f>
        <v>33.010299956639813</v>
      </c>
      <c r="X33" s="81">
        <f>IF(M13=1,$T13,0)</f>
        <v>33.010299956639813</v>
      </c>
      <c r="Y33" s="81">
        <f>IF(M13=-1,$T13,0)</f>
        <v>0</v>
      </c>
      <c r="Z33" s="81">
        <f>IF(N13=1,$T13,0)</f>
        <v>0</v>
      </c>
      <c r="AA33" s="81">
        <f>IF(N13=-1,$T13,0)</f>
        <v>33.010299956639813</v>
      </c>
      <c r="AB33" s="81">
        <f>IF(O13=1,$T13,0)</f>
        <v>0</v>
      </c>
      <c r="AC33" s="81">
        <f>IF(O13=-1,$T13,0)</f>
        <v>33.010299956639813</v>
      </c>
      <c r="AD33" s="81">
        <f>IF(P13=1,$T13,0)</f>
        <v>0</v>
      </c>
      <c r="AE33" s="83">
        <f>IF(P13=-1,$T13,0)</f>
        <v>33.010299956639813</v>
      </c>
    </row>
    <row r="34" spans="1:31" x14ac:dyDescent="0.25">
      <c r="A34" s="82">
        <v>13</v>
      </c>
      <c r="B34" s="81">
        <f>IF(B14=1,$T14,0)</f>
        <v>0</v>
      </c>
      <c r="C34" s="81">
        <f>IF(B14=-1,$T14,0)</f>
        <v>-0.15715932006950581</v>
      </c>
      <c r="D34" s="81">
        <f>IF(C14=1,$T14,0)</f>
        <v>0</v>
      </c>
      <c r="E34" s="81">
        <f>IF(C14=-1,$T14,0)</f>
        <v>-0.15715932006950581</v>
      </c>
      <c r="F34" s="81">
        <f>IF(D14=1,$T14,0)</f>
        <v>-0.15715932006950581</v>
      </c>
      <c r="G34" s="81">
        <f>IF(D14=-1,$T14,0)</f>
        <v>0</v>
      </c>
      <c r="H34" s="81">
        <f>IF(E14=1,$T14,0)</f>
        <v>-0.15715932006950581</v>
      </c>
      <c r="I34" s="81">
        <f>IF(E14=-1,$T14,0)</f>
        <v>0</v>
      </c>
      <c r="J34" s="81">
        <f>IF(F14=1,$T14,0)</f>
        <v>-0.15715932006950581</v>
      </c>
      <c r="K34" s="81">
        <f>IF(F14=-1,$T14,0)</f>
        <v>0</v>
      </c>
      <c r="L34" s="81">
        <f>IF(G14=1,$T14,0)</f>
        <v>0</v>
      </c>
      <c r="M34" s="81">
        <f>IF(G14=-1,$T14,0)</f>
        <v>-0.15715932006950581</v>
      </c>
      <c r="N34" s="81">
        <f>IF(H14=1,$T14,0)</f>
        <v>0</v>
      </c>
      <c r="O34" s="81">
        <f>IF(H14=-1,$T14,0)</f>
        <v>-0.15715932006950581</v>
      </c>
      <c r="P34" s="81">
        <f>IF(I14=1,$T14,0)</f>
        <v>0</v>
      </c>
      <c r="Q34" s="81">
        <f>IF(I14=-1,$T14,0)</f>
        <v>-0.15715932006950581</v>
      </c>
      <c r="R34" s="81">
        <f>IF(J14=1,$T14,0)</f>
        <v>0</v>
      </c>
      <c r="S34" s="81">
        <f>IF(J14=-1,$T14,0)</f>
        <v>-0.15715932006950581</v>
      </c>
      <c r="T34" s="81">
        <f>IF(K14=1,$T14,0)</f>
        <v>-0.15715932006950581</v>
      </c>
      <c r="U34" s="81">
        <f>IF(K14=-1,$T14,0)</f>
        <v>0</v>
      </c>
      <c r="V34" s="81">
        <f>IF(L14=1,$T14,0)</f>
        <v>-0.15715932006950581</v>
      </c>
      <c r="W34" s="81">
        <f>IF(L14=-1,$T14,0)</f>
        <v>0</v>
      </c>
      <c r="X34" s="81">
        <f>IF(M14=1,$T14,0)</f>
        <v>-0.15715932006950581</v>
      </c>
      <c r="Y34" s="81">
        <f>IF(M14=-1,$T14,0)</f>
        <v>0</v>
      </c>
      <c r="Z34" s="81">
        <f>IF(N14=1,$T14,0)</f>
        <v>0</v>
      </c>
      <c r="AA34" s="81">
        <f>IF(N14=-1,$T14,0)</f>
        <v>-0.15715932006950581</v>
      </c>
      <c r="AB34" s="81">
        <f>IF(O14=1,$T14,0)</f>
        <v>0</v>
      </c>
      <c r="AC34" s="81">
        <f>IF(O14=-1,$T14,0)</f>
        <v>-0.15715932006950581</v>
      </c>
      <c r="AD34" s="81">
        <f>IF(P14=1,$T14,0)</f>
        <v>-0.15715932006950581</v>
      </c>
      <c r="AE34" s="83">
        <f>IF(P14=-1,$T14,0)</f>
        <v>0</v>
      </c>
    </row>
    <row r="35" spans="1:31" x14ac:dyDescent="0.25">
      <c r="A35" s="82">
        <v>14</v>
      </c>
      <c r="B35" s="81">
        <f>IF(B15=1,$T15,0)</f>
        <v>1.5848411157770483</v>
      </c>
      <c r="C35" s="81">
        <f>IF(B15=-1,$T15,0)</f>
        <v>0</v>
      </c>
      <c r="D35" s="81">
        <f>IF(C15=1,$T15,0)</f>
        <v>0</v>
      </c>
      <c r="E35" s="81">
        <f>IF(C15=-1,$T15,0)</f>
        <v>1.5848411157770483</v>
      </c>
      <c r="F35" s="81">
        <f>IF(D15=1,$T15,0)</f>
        <v>1.5848411157770483</v>
      </c>
      <c r="G35" s="81">
        <f>IF(D15=-1,$T15,0)</f>
        <v>0</v>
      </c>
      <c r="H35" s="81">
        <f>IF(E15=1,$T15,0)</f>
        <v>1.5848411157770483</v>
      </c>
      <c r="I35" s="81">
        <f>IF(E15=-1,$T15,0)</f>
        <v>0</v>
      </c>
      <c r="J35" s="81">
        <f>IF(F15=1,$T15,0)</f>
        <v>0</v>
      </c>
      <c r="K35" s="81">
        <f>IF(F15=-1,$T15,0)</f>
        <v>1.5848411157770483</v>
      </c>
      <c r="L35" s="81">
        <f>IF(G15=1,$T15,0)</f>
        <v>1.5848411157770483</v>
      </c>
      <c r="M35" s="81">
        <f>IF(G15=-1,$T15,0)</f>
        <v>0</v>
      </c>
      <c r="N35" s="81">
        <f>IF(H15=1,$T15,0)</f>
        <v>1.5848411157770483</v>
      </c>
      <c r="O35" s="81">
        <f>IF(H15=-1,$T15,0)</f>
        <v>0</v>
      </c>
      <c r="P35" s="81">
        <f>IF(I15=1,$T15,0)</f>
        <v>0</v>
      </c>
      <c r="Q35" s="81">
        <f>IF(I15=-1,$T15,0)</f>
        <v>1.5848411157770483</v>
      </c>
      <c r="R35" s="81">
        <f>IF(J15=1,$T15,0)</f>
        <v>0</v>
      </c>
      <c r="S35" s="81">
        <f>IF(J15=-1,$T15,0)</f>
        <v>1.5848411157770483</v>
      </c>
      <c r="T35" s="81">
        <f>IF(K15=1,$T15,0)</f>
        <v>1.5848411157770483</v>
      </c>
      <c r="U35" s="81">
        <f>IF(K15=-1,$T15,0)</f>
        <v>0</v>
      </c>
      <c r="V35" s="81">
        <f>IF(L15=1,$T15,0)</f>
        <v>0</v>
      </c>
      <c r="W35" s="81">
        <f>IF(L15=-1,$T15,0)</f>
        <v>1.5848411157770483</v>
      </c>
      <c r="X35" s="81">
        <f>IF(M15=1,$T15,0)</f>
        <v>0</v>
      </c>
      <c r="Y35" s="81">
        <f>IF(M15=-1,$T15,0)</f>
        <v>1.5848411157770483</v>
      </c>
      <c r="Z35" s="81">
        <f>IF(N15=1,$T15,0)</f>
        <v>1.5848411157770483</v>
      </c>
      <c r="AA35" s="81">
        <f>IF(N15=-1,$T15,0)</f>
        <v>0</v>
      </c>
      <c r="AB35" s="81">
        <f>IF(O15=1,$T15,0)</f>
        <v>0</v>
      </c>
      <c r="AC35" s="81">
        <f>IF(O15=-1,$T15,0)</f>
        <v>1.5848411157770483</v>
      </c>
      <c r="AD35" s="81">
        <f>IF(P15=1,$T15,0)</f>
        <v>0</v>
      </c>
      <c r="AE35" s="83">
        <f>IF(P15=-1,$T15,0)</f>
        <v>1.5848411157770483</v>
      </c>
    </row>
    <row r="36" spans="1:31" x14ac:dyDescent="0.25">
      <c r="A36" s="82">
        <v>15</v>
      </c>
      <c r="B36" s="81">
        <f>IF(B16=1,$T16,0)</f>
        <v>0</v>
      </c>
      <c r="C36" s="81">
        <f>IF(B16=-1,$T16,0)</f>
        <v>1.6941133131485566</v>
      </c>
      <c r="D36" s="81">
        <f>IF(C16=1,$T16,0)</f>
        <v>1.6941133131485566</v>
      </c>
      <c r="E36" s="81">
        <f>IF(C16=-1,$T16,0)</f>
        <v>0</v>
      </c>
      <c r="F36" s="81">
        <f>IF(D16=1,$T16,0)</f>
        <v>1.6941133131485566</v>
      </c>
      <c r="G36" s="81">
        <f>IF(D16=-1,$T16,0)</f>
        <v>0</v>
      </c>
      <c r="H36" s="81">
        <f>IF(E16=1,$T16,0)</f>
        <v>1.6941133131485566</v>
      </c>
      <c r="I36" s="81">
        <f>IF(E16=-1,$T16,0)</f>
        <v>0</v>
      </c>
      <c r="J36" s="81">
        <f>IF(F16=1,$T16,0)</f>
        <v>0</v>
      </c>
      <c r="K36" s="81">
        <f>IF(F16=-1,$T16,0)</f>
        <v>1.6941133131485566</v>
      </c>
      <c r="L36" s="81">
        <f>IF(G16=1,$T16,0)</f>
        <v>0</v>
      </c>
      <c r="M36" s="81">
        <f>IF(G16=-1,$T16,0)</f>
        <v>1.6941133131485566</v>
      </c>
      <c r="N36" s="81">
        <f>IF(H16=1,$T16,0)</f>
        <v>0</v>
      </c>
      <c r="O36" s="81">
        <f>IF(H16=-1,$T16,0)</f>
        <v>1.6941133131485566</v>
      </c>
      <c r="P36" s="81">
        <f>IF(I16=1,$T16,0)</f>
        <v>1.6941133131485566</v>
      </c>
      <c r="Q36" s="81">
        <f>IF(I16=-1,$T16,0)</f>
        <v>0</v>
      </c>
      <c r="R36" s="81">
        <f>IF(J16=1,$T16,0)</f>
        <v>1.6941133131485566</v>
      </c>
      <c r="S36" s="81">
        <f>IF(J16=-1,$T16,0)</f>
        <v>0</v>
      </c>
      <c r="T36" s="81">
        <f>IF(K16=1,$T16,0)</f>
        <v>1.6941133131485566</v>
      </c>
      <c r="U36" s="81">
        <f>IF(K16=-1,$T16,0)</f>
        <v>0</v>
      </c>
      <c r="V36" s="81">
        <f>IF(L16=1,$T16,0)</f>
        <v>0</v>
      </c>
      <c r="W36" s="81">
        <f>IF(L16=-1,$T16,0)</f>
        <v>1.6941133131485566</v>
      </c>
      <c r="X36" s="81">
        <f>IF(M16=1,$T16,0)</f>
        <v>0</v>
      </c>
      <c r="Y36" s="81">
        <f>IF(M16=-1,$T16,0)</f>
        <v>1.6941133131485566</v>
      </c>
      <c r="Z36" s="81">
        <f>IF(N16=1,$T16,0)</f>
        <v>0</v>
      </c>
      <c r="AA36" s="81">
        <f>IF(N16=-1,$T16,0)</f>
        <v>1.6941133131485566</v>
      </c>
      <c r="AB36" s="81">
        <f>IF(O16=1,$T16,0)</f>
        <v>1.6941133131485566</v>
      </c>
      <c r="AC36" s="81">
        <f>IF(O16=-1,$T16,0)</f>
        <v>0</v>
      </c>
      <c r="AD36" s="81">
        <f>IF(P16=1,$T16,0)</f>
        <v>0</v>
      </c>
      <c r="AE36" s="83">
        <f>IF(P16=-1,$T16,0)</f>
        <v>1.6941133131485566</v>
      </c>
    </row>
    <row r="37" spans="1:31" ht="16.5" thickBot="1" x14ac:dyDescent="0.3">
      <c r="A37" s="94">
        <v>16</v>
      </c>
      <c r="B37" s="95">
        <f>IF(B17=1,$T17,0)</f>
        <v>8.6075078242839282</v>
      </c>
      <c r="C37" s="95">
        <f>IF(B17=-1,$T17,0)</f>
        <v>0</v>
      </c>
      <c r="D37" s="95">
        <f>IF(C17=1,$T17,0)</f>
        <v>8.6075078242839282</v>
      </c>
      <c r="E37" s="95">
        <f>IF(C17=-1,$T17,0)</f>
        <v>0</v>
      </c>
      <c r="F37" s="95">
        <f>IF(D17=1,$T17,0)</f>
        <v>8.6075078242839282</v>
      </c>
      <c r="G37" s="95">
        <f>IF(D17=-1,$T17,0)</f>
        <v>0</v>
      </c>
      <c r="H37" s="95">
        <f>IF(E17=1,$T17,0)</f>
        <v>8.6075078242839282</v>
      </c>
      <c r="I37" s="95">
        <f>IF(E17=-1,$T17,0)</f>
        <v>0</v>
      </c>
      <c r="J37" s="95">
        <f>IF(F17=1,$T17,0)</f>
        <v>8.6075078242839282</v>
      </c>
      <c r="K37" s="95">
        <f>IF(F17=-1,$T17,0)</f>
        <v>0</v>
      </c>
      <c r="L37" s="95">
        <f>IF(G17=1,$T17,0)</f>
        <v>8.6075078242839282</v>
      </c>
      <c r="M37" s="95">
        <f>IF(G17=-1,$T17,0)</f>
        <v>0</v>
      </c>
      <c r="N37" s="95">
        <f>IF(H17=1,$T17,0)</f>
        <v>8.6075078242839282</v>
      </c>
      <c r="O37" s="95">
        <f>IF(H17=-1,$T17,0)</f>
        <v>0</v>
      </c>
      <c r="P37" s="95">
        <f>IF(I17=1,$T17,0)</f>
        <v>8.6075078242839282</v>
      </c>
      <c r="Q37" s="95">
        <f>IF(I17=-1,$T17,0)</f>
        <v>0</v>
      </c>
      <c r="R37" s="95">
        <f>IF(J17=1,$T17,0)</f>
        <v>8.6075078242839282</v>
      </c>
      <c r="S37" s="95">
        <f>IF(J17=-1,$T17,0)</f>
        <v>0</v>
      </c>
      <c r="T37" s="95">
        <f>IF(K17=1,$T17,0)</f>
        <v>8.6075078242839282</v>
      </c>
      <c r="U37" s="95">
        <f>IF(K17=-1,$T17,0)</f>
        <v>0</v>
      </c>
      <c r="V37" s="95">
        <f>IF(L17=1,$T17,0)</f>
        <v>8.6075078242839282</v>
      </c>
      <c r="W37" s="95">
        <f>IF(L17=-1,$T17,0)</f>
        <v>0</v>
      </c>
      <c r="X37" s="95">
        <f>IF(M17=1,$T17,0)</f>
        <v>8.6075078242839282</v>
      </c>
      <c r="Y37" s="95">
        <f>IF(M17=-1,$T17,0)</f>
        <v>0</v>
      </c>
      <c r="Z37" s="95">
        <f>IF(N17=1,$T17,0)</f>
        <v>8.6075078242839282</v>
      </c>
      <c r="AA37" s="95">
        <f>IF(N17=-1,$T17,0)</f>
        <v>0</v>
      </c>
      <c r="AB37" s="95">
        <f>IF(O17=1,$T17,0)</f>
        <v>8.6075078242839282</v>
      </c>
      <c r="AC37" s="95">
        <f>IF(O17=-1,$T17,0)</f>
        <v>0</v>
      </c>
      <c r="AD37" s="95">
        <f>IF(P17=1,$T17,0)</f>
        <v>8.6075078242839282</v>
      </c>
      <c r="AE37" s="96">
        <f>IF(P17=-1,$T17,0)</f>
        <v>0</v>
      </c>
    </row>
    <row r="38" spans="1:31" x14ac:dyDescent="0.25">
      <c r="A38" s="87" t="s">
        <v>244</v>
      </c>
      <c r="B38" s="97">
        <f>SUM(B22:B37)</f>
        <v>63.507556555663463</v>
      </c>
      <c r="C38" s="97">
        <f>SUM(C22:C37)</f>
        <v>39.680802140920434</v>
      </c>
      <c r="D38" s="97">
        <f>SUM(D22:D37)</f>
        <v>81.900029952658869</v>
      </c>
      <c r="E38" s="97">
        <f>SUM(E22:E37)</f>
        <v>21.288328743925039</v>
      </c>
      <c r="F38" s="97">
        <f>SUM(F22:F37)</f>
        <v>42.412868862123865</v>
      </c>
      <c r="G38" s="97">
        <f>SUM(G22:G37)</f>
        <v>60.775489834460032</v>
      </c>
      <c r="H38" s="97">
        <f>SUM(H22:H37)</f>
        <v>57.358320072900703</v>
      </c>
      <c r="I38" s="97">
        <f>SUM(I22:I37)</f>
        <v>45.830038623683201</v>
      </c>
      <c r="J38" s="97">
        <f>SUM(J22:J37)</f>
        <v>81.535139180069407</v>
      </c>
      <c r="K38" s="97">
        <f>SUM(K22:K37)</f>
        <v>21.653219516514493</v>
      </c>
      <c r="L38" s="97">
        <f>SUM(L22:L37)</f>
        <v>47.643218885996035</v>
      </c>
      <c r="M38" s="97">
        <f>SUM(M22:M37)</f>
        <v>55.54513981058787</v>
      </c>
      <c r="N38" s="97">
        <f>SUM(N22:N37)</f>
        <v>69.58042369279076</v>
      </c>
      <c r="O38" s="97">
        <f>SUM(O22:O37)</f>
        <v>33.607935003793138</v>
      </c>
      <c r="P38" s="97">
        <f>SUM(P22:P37)</f>
        <v>25.8569089516978</v>
      </c>
      <c r="Q38" s="97">
        <f>SUM(Q22:Q37)</f>
        <v>77.3314497448861</v>
      </c>
      <c r="R38" s="97">
        <f>SUM(R22:R37)</f>
        <v>64.223960074722712</v>
      </c>
      <c r="S38" s="97">
        <f>SUM(S22:S37)</f>
        <v>38.964398621861193</v>
      </c>
      <c r="T38" s="97">
        <f>SUM(T22:T37)</f>
        <v>26.875775627839385</v>
      </c>
      <c r="U38" s="97">
        <f>SUM(U22:U37)</f>
        <v>76.312583068744516</v>
      </c>
      <c r="V38" s="97">
        <f>SUM(V22:V37)</f>
        <v>49.655141277215179</v>
      </c>
      <c r="W38" s="97">
        <f>SUM(W22:W37)</f>
        <v>53.533217419368725</v>
      </c>
      <c r="X38" s="97">
        <f>SUM(X22:X37)</f>
        <v>57.930877684640755</v>
      </c>
      <c r="Y38" s="97">
        <f>SUM(Y22:Y37)</f>
        <v>45.257481011943142</v>
      </c>
      <c r="Z38" s="97">
        <f>SUM(Z22:Z37)</f>
        <v>42.956308152681387</v>
      </c>
      <c r="AA38" s="97">
        <f>SUM(AA22:AA37)</f>
        <v>60.232050543902517</v>
      </c>
      <c r="AB38" s="97">
        <f>SUM(AB22:AB37)</f>
        <v>52.143697097538315</v>
      </c>
      <c r="AC38" s="97">
        <f>SUM(AC22:AC37)</f>
        <v>51.044661599045583</v>
      </c>
      <c r="AD38" s="97">
        <f>SUM(AD22:AD37)</f>
        <v>27.598347401820099</v>
      </c>
      <c r="AE38" s="98">
        <f>SUM(AE22:AE37)</f>
        <v>75.590011294763812</v>
      </c>
    </row>
    <row r="39" spans="1:31" ht="16.5" thickBot="1" x14ac:dyDescent="0.3">
      <c r="A39" s="84" t="s">
        <v>245</v>
      </c>
      <c r="B39" s="85">
        <f>B38/8</f>
        <v>7.9384445694579329</v>
      </c>
      <c r="C39" s="85">
        <f>C38/8</f>
        <v>4.9601002676150543</v>
      </c>
      <c r="D39" s="85">
        <f>D38/8</f>
        <v>10.237503744082359</v>
      </c>
      <c r="E39" s="85">
        <f>E38/8</f>
        <v>2.6610410929906299</v>
      </c>
      <c r="F39" s="85">
        <f>F38/8</f>
        <v>5.3016086077654831</v>
      </c>
      <c r="G39" s="85">
        <f>G38/8</f>
        <v>7.596936229307504</v>
      </c>
      <c r="H39" s="85">
        <f>H38/8</f>
        <v>7.1697900091125879</v>
      </c>
      <c r="I39" s="85">
        <f>I38/8</f>
        <v>5.7287548279604001</v>
      </c>
      <c r="J39" s="85">
        <f>J38/8</f>
        <v>10.191892397508676</v>
      </c>
      <c r="K39" s="85">
        <f>K38/8</f>
        <v>2.7066524395643117</v>
      </c>
      <c r="L39" s="85">
        <f>L38/8</f>
        <v>5.9554023607495044</v>
      </c>
      <c r="M39" s="85">
        <f>M38/8</f>
        <v>6.9431424763234837</v>
      </c>
      <c r="N39" s="85">
        <f>N38/8</f>
        <v>8.6975529615988449</v>
      </c>
      <c r="O39" s="85">
        <f>O38/8</f>
        <v>4.2009918754741422</v>
      </c>
      <c r="P39" s="85">
        <f>P38/8</f>
        <v>3.232113618962225</v>
      </c>
      <c r="Q39" s="85">
        <f>Q38/8</f>
        <v>9.6664312181107626</v>
      </c>
      <c r="R39" s="85">
        <f>R38/8</f>
        <v>8.0279950093403389</v>
      </c>
      <c r="S39" s="85">
        <f>S38/8</f>
        <v>4.8705498277326491</v>
      </c>
      <c r="T39" s="85">
        <f>T38/8</f>
        <v>3.3594719534799231</v>
      </c>
      <c r="U39" s="85">
        <f>U38/8</f>
        <v>9.5390728835930645</v>
      </c>
      <c r="V39" s="85">
        <f>V38/8</f>
        <v>6.2068926596518974</v>
      </c>
      <c r="W39" s="85">
        <f>W38/8</f>
        <v>6.6916521774210906</v>
      </c>
      <c r="X39" s="85">
        <f>X38/8</f>
        <v>7.2413597105800944</v>
      </c>
      <c r="Y39" s="85">
        <f>Y38/8</f>
        <v>5.6571851264928927</v>
      </c>
      <c r="Z39" s="85">
        <f>Z38/8</f>
        <v>5.3695385190851734</v>
      </c>
      <c r="AA39" s="85">
        <f>AA38/8</f>
        <v>7.5290063179878146</v>
      </c>
      <c r="AB39" s="85">
        <f>AB38/8</f>
        <v>6.5179621371922893</v>
      </c>
      <c r="AC39" s="85">
        <f>AC38/8</f>
        <v>6.3805826998806978</v>
      </c>
      <c r="AD39" s="85">
        <f>AD38/8</f>
        <v>3.4497934252275124</v>
      </c>
      <c r="AE39" s="86">
        <f>AE38/8</f>
        <v>9.4487514118454765</v>
      </c>
    </row>
    <row r="47" spans="1:31" ht="16.5" thickBot="1" x14ac:dyDescent="0.3"/>
    <row r="48" spans="1:31" x14ac:dyDescent="0.25">
      <c r="N48" s="99"/>
      <c r="O48" s="100" t="s">
        <v>246</v>
      </c>
      <c r="P48" s="100" t="s">
        <v>247</v>
      </c>
      <c r="Q48" s="100" t="s">
        <v>249</v>
      </c>
      <c r="R48" s="101" t="s">
        <v>248</v>
      </c>
    </row>
    <row r="49" spans="1:18" x14ac:dyDescent="0.25">
      <c r="N49" s="102" t="s">
        <v>51</v>
      </c>
      <c r="O49" s="2">
        <v>7.9384445694579329</v>
      </c>
      <c r="P49" s="2">
        <v>4.9601002676150543</v>
      </c>
      <c r="Q49" s="2">
        <v>35.482139121311974</v>
      </c>
      <c r="R49" s="58">
        <v>1</v>
      </c>
    </row>
    <row r="50" spans="1:18" x14ac:dyDescent="0.25">
      <c r="N50" s="102" t="s">
        <v>53</v>
      </c>
      <c r="O50" s="2">
        <v>10.237503744082359</v>
      </c>
      <c r="P50" s="2">
        <v>2.6610410929906299</v>
      </c>
      <c r="Q50" s="2">
        <v>229.61114521358382</v>
      </c>
      <c r="R50" s="58">
        <v>1</v>
      </c>
    </row>
    <row r="51" spans="1:18" x14ac:dyDescent="0.25">
      <c r="N51" s="102" t="s">
        <v>55</v>
      </c>
      <c r="O51" s="2">
        <v>5.3016086077654831</v>
      </c>
      <c r="P51" s="2">
        <v>7.596936229307504</v>
      </c>
      <c r="Q51" s="2">
        <v>21.074115560887201</v>
      </c>
      <c r="R51" s="58">
        <v>1</v>
      </c>
    </row>
    <row r="52" spans="1:18" ht="16.5" thickBot="1" x14ac:dyDescent="0.3">
      <c r="N52" s="103" t="s">
        <v>74</v>
      </c>
      <c r="O52" s="3">
        <v>7.1697900091125879</v>
      </c>
      <c r="P52" s="3">
        <v>5.7287548279604001</v>
      </c>
      <c r="Q52" s="3">
        <v>8.3063295733054705</v>
      </c>
      <c r="R52" s="60">
        <v>1</v>
      </c>
    </row>
    <row r="53" spans="1:18" x14ac:dyDescent="0.25">
      <c r="A53" s="31" t="s">
        <v>70</v>
      </c>
    </row>
    <row r="54" spans="1:18" x14ac:dyDescent="0.25">
      <c r="A54" s="31" t="s">
        <v>88</v>
      </c>
      <c r="B54" s="31" t="s">
        <v>71</v>
      </c>
    </row>
    <row r="55" spans="1:18" x14ac:dyDescent="0.25">
      <c r="A55" s="31">
        <f>SUMSQ(U2:U17)</f>
        <v>1135.2543381675277</v>
      </c>
      <c r="B55" s="31">
        <v>15</v>
      </c>
    </row>
    <row r="57" spans="1:18" x14ac:dyDescent="0.25">
      <c r="A57" s="31" t="s">
        <v>72</v>
      </c>
    </row>
    <row r="58" spans="1:18" ht="16.5" thickBot="1" x14ac:dyDescent="0.3">
      <c r="A58" s="31" t="s">
        <v>73</v>
      </c>
    </row>
    <row r="59" spans="1:18" x14ac:dyDescent="0.25">
      <c r="A59" s="26"/>
      <c r="B59" s="27" t="s">
        <v>76</v>
      </c>
      <c r="C59" s="27" t="s">
        <v>77</v>
      </c>
      <c r="D59" s="27" t="s">
        <v>86</v>
      </c>
      <c r="E59" s="104" t="s">
        <v>7</v>
      </c>
    </row>
    <row r="60" spans="1:18" x14ac:dyDescent="0.25">
      <c r="A60" s="105" t="s">
        <v>52</v>
      </c>
      <c r="B60" s="12">
        <f>B38/8</f>
        <v>7.9384445694579329</v>
      </c>
      <c r="C60" s="12">
        <f>C38/8</f>
        <v>4.9601002676150543</v>
      </c>
      <c r="D60" s="12">
        <f>((B60-$T$19)^2+(C60-$T$19)^2)*8</f>
        <v>35.482139121311974</v>
      </c>
      <c r="E60" s="13">
        <v>1</v>
      </c>
      <c r="G60" s="31" t="s">
        <v>147</v>
      </c>
    </row>
    <row r="61" spans="1:18" x14ac:dyDescent="0.25">
      <c r="A61" s="105" t="s">
        <v>54</v>
      </c>
      <c r="B61" s="12">
        <f>D38/8</f>
        <v>10.237503744082359</v>
      </c>
      <c r="C61" s="12">
        <f>E38/8</f>
        <v>2.6610410929906299</v>
      </c>
      <c r="D61" s="12">
        <f t="shared" ref="D61:D74" si="15">((B61-$T$19)^2+(C61-$T$19)^2)*8</f>
        <v>229.61114521358382</v>
      </c>
      <c r="E61" s="13">
        <v>1</v>
      </c>
      <c r="G61" s="31">
        <f>SUM(D60:D69)/D76</f>
        <v>0.84703243792034544</v>
      </c>
    </row>
    <row r="62" spans="1:18" x14ac:dyDescent="0.25">
      <c r="A62" s="105" t="s">
        <v>56</v>
      </c>
      <c r="B62" s="12">
        <f>F38/8</f>
        <v>5.3016086077654831</v>
      </c>
      <c r="C62" s="12">
        <f>G38/8</f>
        <v>7.596936229307504</v>
      </c>
      <c r="D62" s="12">
        <f t="shared" si="15"/>
        <v>21.074115560887201</v>
      </c>
      <c r="E62" s="13">
        <v>1</v>
      </c>
      <c r="G62" s="31" t="s">
        <v>171</v>
      </c>
    </row>
    <row r="63" spans="1:18" x14ac:dyDescent="0.25">
      <c r="A63" s="105" t="s">
        <v>75</v>
      </c>
      <c r="B63" s="12">
        <f>H38/8</f>
        <v>7.1697900091125879</v>
      </c>
      <c r="C63" s="12">
        <f>I38/8</f>
        <v>5.7287548279604001</v>
      </c>
      <c r="D63" s="12">
        <f t="shared" si="15"/>
        <v>8.3063295733054705</v>
      </c>
      <c r="E63" s="13">
        <v>1</v>
      </c>
      <c r="G63" s="31">
        <f>1-((B90/C90)/(B91/C91))</f>
        <v>0.54109731376103642</v>
      </c>
    </row>
    <row r="64" spans="1:18" x14ac:dyDescent="0.25">
      <c r="A64" s="105" t="s">
        <v>58</v>
      </c>
      <c r="B64" s="12">
        <f>J38/8</f>
        <v>10.191892397508676</v>
      </c>
      <c r="C64" s="12">
        <f>K38/8</f>
        <v>2.7066524395643117</v>
      </c>
      <c r="D64" s="12">
        <f t="shared" si="15"/>
        <v>224.11526891206</v>
      </c>
      <c r="E64" s="13">
        <v>1</v>
      </c>
    </row>
    <row r="65" spans="1:7" x14ac:dyDescent="0.25">
      <c r="A65" s="105" t="s">
        <v>60</v>
      </c>
      <c r="B65" s="12">
        <f>L38/8</f>
        <v>5.9554023607495044</v>
      </c>
      <c r="C65" s="12">
        <f>M38/8</f>
        <v>6.9431424763234837</v>
      </c>
      <c r="D65" s="12">
        <f t="shared" si="15"/>
        <v>3.9025221436885884</v>
      </c>
      <c r="E65" s="13">
        <v>1</v>
      </c>
    </row>
    <row r="66" spans="1:7" x14ac:dyDescent="0.25">
      <c r="A66" s="105" t="s">
        <v>90</v>
      </c>
      <c r="B66" s="12">
        <f>N38/8</f>
        <v>8.6975529615988449</v>
      </c>
      <c r="C66" s="12">
        <f>O38/8</f>
        <v>4.2009918754741422</v>
      </c>
      <c r="D66" s="12">
        <f t="shared" si="15"/>
        <v>80.876246405036056</v>
      </c>
      <c r="E66" s="13">
        <v>1</v>
      </c>
    </row>
    <row r="67" spans="1:7" x14ac:dyDescent="0.25">
      <c r="A67" s="105" t="s">
        <v>62</v>
      </c>
      <c r="B67" s="12">
        <f>P38/8</f>
        <v>3.232113618962225</v>
      </c>
      <c r="C67" s="12">
        <f>Q38/8</f>
        <v>9.6664312181107626</v>
      </c>
      <c r="D67" s="12">
        <f t="shared" si="15"/>
        <v>165.60177186688259</v>
      </c>
      <c r="E67" s="13">
        <v>1</v>
      </c>
    </row>
    <row r="68" spans="1:7" x14ac:dyDescent="0.25">
      <c r="A68" s="105" t="s">
        <v>92</v>
      </c>
      <c r="B68" s="12">
        <f>R38/8</f>
        <v>8.0279950093403389</v>
      </c>
      <c r="C68" s="12">
        <f>S38/8</f>
        <v>4.8705498277326491</v>
      </c>
      <c r="D68" s="12">
        <f t="shared" si="15"/>
        <v>39.877840299462662</v>
      </c>
      <c r="E68" s="13">
        <v>1</v>
      </c>
    </row>
    <row r="69" spans="1:7" x14ac:dyDescent="0.25">
      <c r="A69" s="105" t="s">
        <v>150</v>
      </c>
      <c r="B69" s="12">
        <f>T38/8</f>
        <v>3.3594719534799231</v>
      </c>
      <c r="C69" s="12">
        <f>U38/8</f>
        <v>9.5390728835930645</v>
      </c>
      <c r="D69" s="12">
        <f t="shared" si="15"/>
        <v>152.74987062185301</v>
      </c>
      <c r="E69" s="13">
        <v>1</v>
      </c>
    </row>
    <row r="70" spans="1:7" x14ac:dyDescent="0.25">
      <c r="A70" s="105" t="s">
        <v>64</v>
      </c>
      <c r="B70" s="12">
        <f>V38/8</f>
        <v>6.2068926596518974</v>
      </c>
      <c r="C70" s="12">
        <f>W38/8</f>
        <v>6.6916521774210906</v>
      </c>
      <c r="D70" s="12">
        <f t="shared" si="15"/>
        <v>0.93996716030347904</v>
      </c>
      <c r="E70" s="13">
        <v>1</v>
      </c>
    </row>
    <row r="71" spans="1:7" x14ac:dyDescent="0.25">
      <c r="A71" s="105" t="s">
        <v>94</v>
      </c>
      <c r="B71" s="12">
        <f>X38/8</f>
        <v>7.2413597105800944</v>
      </c>
      <c r="C71" s="12">
        <f>Y38/8</f>
        <v>5.6571851264928927</v>
      </c>
      <c r="D71" s="12">
        <f t="shared" si="15"/>
        <v>10.03843645150363</v>
      </c>
      <c r="E71" s="13">
        <v>1</v>
      </c>
    </row>
    <row r="72" spans="1:7" x14ac:dyDescent="0.25">
      <c r="A72" s="105" t="s">
        <v>100</v>
      </c>
      <c r="B72" s="12">
        <f>Z38/8</f>
        <v>5.3695385190851734</v>
      </c>
      <c r="C72" s="12">
        <f>AA38/8</f>
        <v>7.5290063179878146</v>
      </c>
      <c r="D72" s="12">
        <f t="shared" si="15"/>
        <v>18.653204698021867</v>
      </c>
      <c r="E72" s="13">
        <v>1</v>
      </c>
    </row>
    <row r="73" spans="1:7" x14ac:dyDescent="0.25">
      <c r="A73" s="105" t="s">
        <v>96</v>
      </c>
      <c r="B73" s="12">
        <f>AB38/8</f>
        <v>6.5179621371922893</v>
      </c>
      <c r="C73" s="12">
        <f>AC38/8</f>
        <v>6.3805826998806978</v>
      </c>
      <c r="D73" s="12">
        <f t="shared" si="15"/>
        <v>7.5492439216393953E-2</v>
      </c>
      <c r="E73" s="13">
        <v>1</v>
      </c>
    </row>
    <row r="74" spans="1:7" x14ac:dyDescent="0.25">
      <c r="A74" s="105" t="s">
        <v>98</v>
      </c>
      <c r="B74" s="12">
        <f>AD38/8</f>
        <v>3.4497934252275124</v>
      </c>
      <c r="C74" s="12">
        <f>AE38/8</f>
        <v>9.4487514118454765</v>
      </c>
      <c r="D74" s="12">
        <f t="shared" si="15"/>
        <v>143.94998770086204</v>
      </c>
      <c r="E74" s="13">
        <v>1</v>
      </c>
    </row>
    <row r="75" spans="1:7" ht="16.5" thickBot="1" x14ac:dyDescent="0.3">
      <c r="A75" s="106" t="s">
        <v>49</v>
      </c>
      <c r="B75" s="107">
        <v>0</v>
      </c>
      <c r="C75" s="107">
        <v>0</v>
      </c>
      <c r="D75" s="107"/>
      <c r="E75" s="108">
        <v>0</v>
      </c>
    </row>
    <row r="76" spans="1:7" ht="16.5" thickBot="1" x14ac:dyDescent="0.3">
      <c r="A76" s="109" t="s">
        <v>73</v>
      </c>
      <c r="B76" s="110"/>
      <c r="C76" s="110"/>
      <c r="D76" s="110">
        <f>SUM(D60:D74)</f>
        <v>1135.2543381679789</v>
      </c>
      <c r="E76" s="111">
        <v>15</v>
      </c>
    </row>
    <row r="78" spans="1:7" ht="16.5" thickBot="1" x14ac:dyDescent="0.3"/>
    <row r="79" spans="1:7" ht="16.5" customHeight="1" x14ac:dyDescent="0.25">
      <c r="A79" s="26"/>
      <c r="B79" s="27" t="s">
        <v>86</v>
      </c>
      <c r="C79" s="27" t="s">
        <v>7</v>
      </c>
      <c r="D79" s="10" t="s">
        <v>9</v>
      </c>
      <c r="E79" s="10" t="s">
        <v>172</v>
      </c>
      <c r="F79" s="10" t="s">
        <v>173</v>
      </c>
      <c r="G79" s="11" t="s">
        <v>250</v>
      </c>
    </row>
    <row r="80" spans="1:7" x14ac:dyDescent="0.25">
      <c r="A80" s="105" t="s">
        <v>52</v>
      </c>
      <c r="B80" s="12">
        <f t="shared" ref="B80:B89" si="16">D60</f>
        <v>35.482139121311974</v>
      </c>
      <c r="C80" s="12">
        <f t="shared" ref="C80:C89" si="17">E60</f>
        <v>1</v>
      </c>
      <c r="D80" s="12">
        <f>B80/C80</f>
        <v>35.482139121311974</v>
      </c>
      <c r="E80" s="12">
        <f>D80/$D$90</f>
        <v>1.0216150529192778</v>
      </c>
      <c r="F80" s="12">
        <f>_xlfn.F.INV(0.9,C80,$C$90)</f>
        <v>4.060419946872063</v>
      </c>
      <c r="G80" s="13" t="str">
        <f>IF(E80&gt;F80,"significant","NaN")</f>
        <v>NaN</v>
      </c>
    </row>
    <row r="81" spans="1:7" x14ac:dyDescent="0.25">
      <c r="A81" s="105" t="s">
        <v>54</v>
      </c>
      <c r="B81" s="12">
        <f t="shared" si="16"/>
        <v>229.61114521358382</v>
      </c>
      <c r="C81" s="12">
        <f t="shared" si="17"/>
        <v>1</v>
      </c>
      <c r="D81" s="12">
        <f t="shared" ref="D81:D90" si="18">B81/C81</f>
        <v>229.61114521358382</v>
      </c>
      <c r="E81" s="12">
        <f t="shared" ref="E81:E89" si="19">D81/$D$90</f>
        <v>6.6110501812258802</v>
      </c>
      <c r="F81" s="12">
        <f t="shared" ref="F81:F89" si="20">_xlfn.F.INV(0.9,C81,$C$90)</f>
        <v>4.060419946872063</v>
      </c>
      <c r="G81" s="13" t="str">
        <f t="shared" ref="G81:G89" si="21">IF(E81&gt;F81,"significant","NaN")</f>
        <v>significant</v>
      </c>
    </row>
    <row r="82" spans="1:7" x14ac:dyDescent="0.25">
      <c r="A82" s="105" t="s">
        <v>56</v>
      </c>
      <c r="B82" s="12">
        <f t="shared" si="16"/>
        <v>21.074115560887201</v>
      </c>
      <c r="C82" s="12">
        <f t="shared" si="17"/>
        <v>1</v>
      </c>
      <c r="D82" s="12">
        <f t="shared" si="18"/>
        <v>21.074115560887201</v>
      </c>
      <c r="E82" s="12">
        <f t="shared" si="19"/>
        <v>0.60677383655911554</v>
      </c>
      <c r="F82" s="12">
        <f t="shared" si="20"/>
        <v>4.060419946872063</v>
      </c>
      <c r="G82" s="13" t="str">
        <f t="shared" si="21"/>
        <v>NaN</v>
      </c>
    </row>
    <row r="83" spans="1:7" x14ac:dyDescent="0.25">
      <c r="A83" s="105" t="s">
        <v>75</v>
      </c>
      <c r="B83" s="12">
        <f t="shared" si="16"/>
        <v>8.3063295733054705</v>
      </c>
      <c r="C83" s="12">
        <f t="shared" si="17"/>
        <v>1</v>
      </c>
      <c r="D83" s="12">
        <f t="shared" si="18"/>
        <v>8.3063295733054705</v>
      </c>
      <c r="E83" s="12">
        <f t="shared" si="19"/>
        <v>0.23915895537144999</v>
      </c>
      <c r="F83" s="12">
        <f t="shared" si="20"/>
        <v>4.060419946872063</v>
      </c>
      <c r="G83" s="13" t="str">
        <f t="shared" si="21"/>
        <v>NaN</v>
      </c>
    </row>
    <row r="84" spans="1:7" x14ac:dyDescent="0.25">
      <c r="A84" s="105" t="s">
        <v>58</v>
      </c>
      <c r="B84" s="12">
        <f t="shared" si="16"/>
        <v>224.11526891206</v>
      </c>
      <c r="C84" s="12">
        <f t="shared" si="17"/>
        <v>1</v>
      </c>
      <c r="D84" s="12">
        <f t="shared" si="18"/>
        <v>224.11526891206</v>
      </c>
      <c r="E84" s="12">
        <f t="shared" si="19"/>
        <v>6.4528108501804002</v>
      </c>
      <c r="F84" s="12">
        <f t="shared" si="20"/>
        <v>4.060419946872063</v>
      </c>
      <c r="G84" s="13" t="str">
        <f t="shared" si="21"/>
        <v>significant</v>
      </c>
    </row>
    <row r="85" spans="1:7" x14ac:dyDescent="0.25">
      <c r="A85" s="105" t="s">
        <v>60</v>
      </c>
      <c r="B85" s="12">
        <f t="shared" si="16"/>
        <v>3.9025221436885884</v>
      </c>
      <c r="C85" s="12">
        <f t="shared" si="17"/>
        <v>1</v>
      </c>
      <c r="D85" s="12">
        <f t="shared" si="18"/>
        <v>3.9025221436885884</v>
      </c>
      <c r="E85" s="12">
        <f t="shared" si="19"/>
        <v>0.11236288073591358</v>
      </c>
      <c r="F85" s="12">
        <f t="shared" si="20"/>
        <v>4.060419946872063</v>
      </c>
      <c r="G85" s="13" t="str">
        <f t="shared" si="21"/>
        <v>NaN</v>
      </c>
    </row>
    <row r="86" spans="1:7" x14ac:dyDescent="0.25">
      <c r="A86" s="105" t="s">
        <v>90</v>
      </c>
      <c r="B86" s="12">
        <f t="shared" si="16"/>
        <v>80.876246405036056</v>
      </c>
      <c r="C86" s="12">
        <f t="shared" si="17"/>
        <v>1</v>
      </c>
      <c r="D86" s="12">
        <f t="shared" si="18"/>
        <v>80.876246405036056</v>
      </c>
      <c r="E86" s="12">
        <f t="shared" si="19"/>
        <v>2.3286192094705469</v>
      </c>
      <c r="F86" s="12">
        <f t="shared" si="20"/>
        <v>4.060419946872063</v>
      </c>
      <c r="G86" s="13" t="str">
        <f t="shared" si="21"/>
        <v>NaN</v>
      </c>
    </row>
    <row r="87" spans="1:7" x14ac:dyDescent="0.25">
      <c r="A87" s="105" t="s">
        <v>62</v>
      </c>
      <c r="B87" s="12">
        <f t="shared" si="16"/>
        <v>165.60177186688259</v>
      </c>
      <c r="C87" s="12">
        <f t="shared" si="17"/>
        <v>1</v>
      </c>
      <c r="D87" s="12">
        <f t="shared" si="18"/>
        <v>165.60177186688259</v>
      </c>
      <c r="E87" s="12">
        <f t="shared" si="19"/>
        <v>4.7680683047571524</v>
      </c>
      <c r="F87" s="12">
        <f t="shared" si="20"/>
        <v>4.060419946872063</v>
      </c>
      <c r="G87" s="13" t="str">
        <f t="shared" si="21"/>
        <v>significant</v>
      </c>
    </row>
    <row r="88" spans="1:7" x14ac:dyDescent="0.25">
      <c r="A88" s="105" t="s">
        <v>92</v>
      </c>
      <c r="B88" s="12">
        <f t="shared" si="16"/>
        <v>39.877840299462662</v>
      </c>
      <c r="C88" s="12">
        <f t="shared" si="17"/>
        <v>1</v>
      </c>
      <c r="D88" s="12">
        <f t="shared" si="18"/>
        <v>39.877840299462662</v>
      </c>
      <c r="E88" s="12">
        <f t="shared" si="19"/>
        <v>1.1481777293233182</v>
      </c>
      <c r="F88" s="12">
        <f t="shared" si="20"/>
        <v>4.060419946872063</v>
      </c>
      <c r="G88" s="13" t="str">
        <f t="shared" si="21"/>
        <v>NaN</v>
      </c>
    </row>
    <row r="89" spans="1:7" x14ac:dyDescent="0.25">
      <c r="A89" s="105" t="s">
        <v>150</v>
      </c>
      <c r="B89" s="12">
        <f t="shared" si="16"/>
        <v>152.74987062185301</v>
      </c>
      <c r="C89" s="12">
        <f t="shared" si="17"/>
        <v>1</v>
      </c>
      <c r="D89" s="12">
        <f t="shared" si="18"/>
        <v>152.74987062185301</v>
      </c>
      <c r="E89" s="12">
        <f t="shared" si="19"/>
        <v>4.3980315455396672</v>
      </c>
      <c r="F89" s="12">
        <f t="shared" si="20"/>
        <v>4.060419946872063</v>
      </c>
      <c r="G89" s="13" t="str">
        <f t="shared" si="21"/>
        <v>significant</v>
      </c>
    </row>
    <row r="90" spans="1:7" x14ac:dyDescent="0.25">
      <c r="A90" s="105" t="s">
        <v>49</v>
      </c>
      <c r="B90" s="12">
        <f>SUM(D70:D74)</f>
        <v>173.65708844990741</v>
      </c>
      <c r="C90" s="12">
        <f>SUM(E70:E74)</f>
        <v>5</v>
      </c>
      <c r="D90" s="12">
        <f t="shared" si="18"/>
        <v>34.731417689981484</v>
      </c>
      <c r="E90" s="12">
        <f>D90/$D$90</f>
        <v>1</v>
      </c>
      <c r="F90" s="12"/>
      <c r="G90" s="13"/>
    </row>
    <row r="91" spans="1:7" ht="16.5" thickBot="1" x14ac:dyDescent="0.3">
      <c r="A91" s="112" t="s">
        <v>50</v>
      </c>
      <c r="B91" s="18">
        <f>SUM(B80:B90)</f>
        <v>1135.2543381679789</v>
      </c>
      <c r="C91" s="18">
        <f>SUM(C80:C90)</f>
        <v>15</v>
      </c>
      <c r="D91" s="18"/>
      <c r="E91" s="18"/>
      <c r="F91" s="18"/>
      <c r="G91" s="35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J43" sqref="J43"/>
    </sheetView>
  </sheetViews>
  <sheetFormatPr defaultRowHeight="16.5" x14ac:dyDescent="0.25"/>
  <sheetData>
    <row r="1" spans="1:9" x14ac:dyDescent="0.25">
      <c r="A1" t="s">
        <v>122</v>
      </c>
    </row>
    <row r="2" spans="1:9" ht="17.25" thickBot="1" x14ac:dyDescent="0.3"/>
    <row r="3" spans="1:9" x14ac:dyDescent="0.25">
      <c r="A3" s="24" t="s">
        <v>123</v>
      </c>
      <c r="B3" s="24"/>
    </row>
    <row r="4" spans="1:9" x14ac:dyDescent="0.25">
      <c r="A4" s="21" t="s">
        <v>124</v>
      </c>
      <c r="B4" s="21">
        <v>1</v>
      </c>
    </row>
    <row r="5" spans="1:9" x14ac:dyDescent="0.25">
      <c r="A5" s="21" t="s">
        <v>125</v>
      </c>
      <c r="B5" s="21">
        <v>1</v>
      </c>
    </row>
    <row r="6" spans="1:9" x14ac:dyDescent="0.25">
      <c r="A6" s="21" t="s">
        <v>126</v>
      </c>
      <c r="B6" s="21">
        <v>65535</v>
      </c>
    </row>
    <row r="7" spans="1:9" x14ac:dyDescent="0.25">
      <c r="A7" s="21" t="s">
        <v>127</v>
      </c>
      <c r="B7" s="21">
        <v>0</v>
      </c>
    </row>
    <row r="8" spans="1:9" ht="17.25" thickBot="1" x14ac:dyDescent="0.3">
      <c r="A8" s="22" t="s">
        <v>128</v>
      </c>
      <c r="B8" s="22">
        <v>16</v>
      </c>
    </row>
    <row r="10" spans="1:9" ht="17.25" thickBot="1" x14ac:dyDescent="0.3">
      <c r="A10" t="s">
        <v>129</v>
      </c>
    </row>
    <row r="11" spans="1:9" x14ac:dyDescent="0.25">
      <c r="A11" s="23"/>
      <c r="B11" s="23" t="s">
        <v>134</v>
      </c>
      <c r="C11" s="23" t="s">
        <v>5</v>
      </c>
      <c r="D11" s="23" t="s">
        <v>8</v>
      </c>
      <c r="E11" s="23" t="s">
        <v>31</v>
      </c>
      <c r="F11" s="23" t="s">
        <v>135</v>
      </c>
    </row>
    <row r="12" spans="1:9" x14ac:dyDescent="0.25">
      <c r="A12" s="21" t="s">
        <v>130</v>
      </c>
      <c r="B12" s="21">
        <v>15</v>
      </c>
      <c r="C12" s="21">
        <v>1135.2543381674957</v>
      </c>
      <c r="D12" s="21">
        <v>75.683622544499713</v>
      </c>
      <c r="E12" s="21" t="e">
        <v>#NUM!</v>
      </c>
      <c r="F12" s="21" t="e">
        <v>#NUM!</v>
      </c>
    </row>
    <row r="13" spans="1:9" x14ac:dyDescent="0.25">
      <c r="A13" s="21" t="s">
        <v>131</v>
      </c>
      <c r="B13" s="21">
        <v>0</v>
      </c>
      <c r="C13" s="21">
        <v>0</v>
      </c>
      <c r="D13" s="21">
        <v>65535</v>
      </c>
      <c r="E13" s="21"/>
      <c r="F13" s="21"/>
    </row>
    <row r="14" spans="1:9" ht="17.25" thickBot="1" x14ac:dyDescent="0.3">
      <c r="A14" s="22" t="s">
        <v>132</v>
      </c>
      <c r="B14" s="22">
        <v>15</v>
      </c>
      <c r="C14" s="22">
        <v>1135.2543381674957</v>
      </c>
      <c r="D14" s="22"/>
      <c r="E14" s="22"/>
      <c r="F14" s="22"/>
    </row>
    <row r="15" spans="1:9" ht="17.25" thickBot="1" x14ac:dyDescent="0.3"/>
    <row r="16" spans="1:9" x14ac:dyDescent="0.25">
      <c r="A16" s="23"/>
      <c r="B16" s="23" t="s">
        <v>136</v>
      </c>
      <c r="C16" s="23" t="s">
        <v>127</v>
      </c>
      <c r="D16" s="23" t="s">
        <v>137</v>
      </c>
      <c r="E16" s="23" t="s">
        <v>138</v>
      </c>
      <c r="F16" s="23" t="s">
        <v>139</v>
      </c>
      <c r="G16" s="23" t="s">
        <v>140</v>
      </c>
      <c r="H16" s="23" t="s">
        <v>141</v>
      </c>
      <c r="I16" s="23" t="s">
        <v>142</v>
      </c>
    </row>
    <row r="17" spans="1:9" x14ac:dyDescent="0.25">
      <c r="A17" s="21" t="s">
        <v>133</v>
      </c>
      <c r="B17" s="21">
        <v>6.449272418536494</v>
      </c>
      <c r="C17" s="21">
        <v>0</v>
      </c>
      <c r="D17" s="21">
        <v>65535</v>
      </c>
      <c r="E17" s="21" t="e">
        <v>#NUM!</v>
      </c>
      <c r="F17" s="21">
        <v>6.449272418536494</v>
      </c>
      <c r="G17" s="21">
        <v>6.449272418536494</v>
      </c>
      <c r="H17" s="21">
        <v>6.449272418536494</v>
      </c>
      <c r="I17" s="21">
        <v>6.449272418536494</v>
      </c>
    </row>
    <row r="18" spans="1:9" x14ac:dyDescent="0.25">
      <c r="A18" s="21" t="s">
        <v>51</v>
      </c>
      <c r="B18" s="21">
        <v>1.4891721509214402</v>
      </c>
      <c r="C18" s="21">
        <v>0</v>
      </c>
      <c r="D18" s="21">
        <v>65535</v>
      </c>
      <c r="E18" s="21" t="e">
        <v>#NUM!</v>
      </c>
      <c r="F18" s="21">
        <v>1.4891721509214402</v>
      </c>
      <c r="G18" s="21">
        <v>1.4891721509214402</v>
      </c>
      <c r="H18" s="21">
        <v>1.4891721509214402</v>
      </c>
      <c r="I18" s="21">
        <v>1.4891721509214402</v>
      </c>
    </row>
    <row r="19" spans="1:9" x14ac:dyDescent="0.25">
      <c r="A19" s="21" t="s">
        <v>53</v>
      </c>
      <c r="B19" s="21">
        <v>3.7882313255458619</v>
      </c>
      <c r="C19" s="21">
        <v>0</v>
      </c>
      <c r="D19" s="21">
        <v>65535</v>
      </c>
      <c r="E19" s="21" t="e">
        <v>#NUM!</v>
      </c>
      <c r="F19" s="21">
        <v>3.7882313255458619</v>
      </c>
      <c r="G19" s="21">
        <v>3.7882313255458619</v>
      </c>
      <c r="H19" s="21">
        <v>3.7882313255458619</v>
      </c>
      <c r="I19" s="21">
        <v>3.7882313255458619</v>
      </c>
    </row>
    <row r="20" spans="1:9" x14ac:dyDescent="0.25">
      <c r="A20" s="21" t="s">
        <v>55</v>
      </c>
      <c r="B20" s="21">
        <v>-1.1476638107710102</v>
      </c>
      <c r="C20" s="21">
        <v>0</v>
      </c>
      <c r="D20" s="21">
        <v>65535</v>
      </c>
      <c r="E20" s="21" t="e">
        <v>#NUM!</v>
      </c>
      <c r="F20" s="21">
        <v>-1.1476638107710102</v>
      </c>
      <c r="G20" s="21">
        <v>-1.1476638107710102</v>
      </c>
      <c r="H20" s="21">
        <v>-1.1476638107710102</v>
      </c>
      <c r="I20" s="21">
        <v>-1.1476638107710102</v>
      </c>
    </row>
    <row r="21" spans="1:9" x14ac:dyDescent="0.25">
      <c r="A21" s="21" t="s">
        <v>74</v>
      </c>
      <c r="B21" s="21">
        <v>0.72051759057609355</v>
      </c>
      <c r="C21" s="21">
        <v>0</v>
      </c>
      <c r="D21" s="21">
        <v>65535</v>
      </c>
      <c r="E21" s="21" t="e">
        <v>#NUM!</v>
      </c>
      <c r="F21" s="21">
        <v>0.72051759057609355</v>
      </c>
      <c r="G21" s="21">
        <v>0.72051759057609355</v>
      </c>
      <c r="H21" s="21">
        <v>0.72051759057609355</v>
      </c>
      <c r="I21" s="21">
        <v>0.72051759057609355</v>
      </c>
    </row>
    <row r="22" spans="1:9" x14ac:dyDescent="0.25">
      <c r="A22" s="21" t="s">
        <v>57</v>
      </c>
      <c r="B22" s="21">
        <v>3.7426199789721823</v>
      </c>
      <c r="C22" s="21">
        <v>0</v>
      </c>
      <c r="D22" s="21">
        <v>65535</v>
      </c>
      <c r="E22" s="21" t="e">
        <v>#NUM!</v>
      </c>
      <c r="F22" s="21">
        <v>3.7426199789721823</v>
      </c>
      <c r="G22" s="21">
        <v>3.7426199789721823</v>
      </c>
      <c r="H22" s="21">
        <v>3.7426199789721823</v>
      </c>
      <c r="I22" s="21">
        <v>3.7426199789721823</v>
      </c>
    </row>
    <row r="23" spans="1:9" x14ac:dyDescent="0.25">
      <c r="A23" s="21" t="s">
        <v>59</v>
      </c>
      <c r="B23" s="21">
        <v>-0.49387005778698972</v>
      </c>
      <c r="C23" s="21">
        <v>0</v>
      </c>
      <c r="D23" s="21">
        <v>65535</v>
      </c>
      <c r="E23" s="21" t="e">
        <v>#NUM!</v>
      </c>
      <c r="F23" s="21">
        <v>-0.49387005778698972</v>
      </c>
      <c r="G23" s="21">
        <v>-0.49387005778698972</v>
      </c>
      <c r="H23" s="21">
        <v>-0.49387005778698972</v>
      </c>
      <c r="I23" s="21">
        <v>-0.49387005778698972</v>
      </c>
    </row>
    <row r="24" spans="1:9" x14ac:dyDescent="0.25">
      <c r="A24" s="21" t="s">
        <v>89</v>
      </c>
      <c r="B24" s="21">
        <v>2.2482805430623518</v>
      </c>
      <c r="C24" s="21">
        <v>0</v>
      </c>
      <c r="D24" s="21">
        <v>65535</v>
      </c>
      <c r="E24" s="21" t="e">
        <v>#NUM!</v>
      </c>
      <c r="F24" s="21">
        <v>2.2482805430623518</v>
      </c>
      <c r="G24" s="21">
        <v>2.2482805430623518</v>
      </c>
      <c r="H24" s="21">
        <v>2.2482805430623518</v>
      </c>
      <c r="I24" s="21">
        <v>2.2482805430623518</v>
      </c>
    </row>
    <row r="25" spans="1:9" x14ac:dyDescent="0.25">
      <c r="A25" s="21" t="s">
        <v>61</v>
      </c>
      <c r="B25" s="21">
        <v>-3.2171587995742685</v>
      </c>
      <c r="C25" s="21">
        <v>0</v>
      </c>
      <c r="D25" s="21">
        <v>65535</v>
      </c>
      <c r="E25" s="21" t="e">
        <v>#NUM!</v>
      </c>
      <c r="F25" s="21">
        <v>-3.2171587995742685</v>
      </c>
      <c r="G25" s="21">
        <v>-3.2171587995742685</v>
      </c>
      <c r="H25" s="21">
        <v>-3.2171587995742685</v>
      </c>
      <c r="I25" s="21">
        <v>-3.2171587995742685</v>
      </c>
    </row>
    <row r="26" spans="1:9" x14ac:dyDescent="0.25">
      <c r="A26" s="21" t="s">
        <v>91</v>
      </c>
      <c r="B26" s="21">
        <v>1.5787225908038434</v>
      </c>
      <c r="C26" s="21">
        <v>0</v>
      </c>
      <c r="D26" s="21">
        <v>65535</v>
      </c>
      <c r="E26" s="21" t="e">
        <v>#NUM!</v>
      </c>
      <c r="F26" s="21">
        <v>1.5787225908038434</v>
      </c>
      <c r="G26" s="21">
        <v>1.5787225908038434</v>
      </c>
      <c r="H26" s="21">
        <v>1.5787225908038434</v>
      </c>
      <c r="I26" s="21">
        <v>1.5787225908038434</v>
      </c>
    </row>
    <row r="27" spans="1:9" x14ac:dyDescent="0.25">
      <c r="A27" s="21" t="s">
        <v>149</v>
      </c>
      <c r="B27" s="21">
        <v>-3.0898004650565714</v>
      </c>
      <c r="C27" s="21">
        <v>0</v>
      </c>
      <c r="D27" s="21">
        <v>65535</v>
      </c>
      <c r="E27" s="21" t="e">
        <v>#NUM!</v>
      </c>
      <c r="F27" s="21">
        <v>-3.0898004650565714</v>
      </c>
      <c r="G27" s="21">
        <v>-3.0898004650565714</v>
      </c>
      <c r="H27" s="21">
        <v>-3.0898004650565714</v>
      </c>
      <c r="I27" s="21">
        <v>-3.0898004650565714</v>
      </c>
    </row>
    <row r="28" spans="1:9" x14ac:dyDescent="0.25">
      <c r="A28" s="21" t="s">
        <v>63</v>
      </c>
      <c r="B28" s="21">
        <v>-0.24237975888459692</v>
      </c>
      <c r="C28" s="21">
        <v>0</v>
      </c>
      <c r="D28" s="21">
        <v>65535</v>
      </c>
      <c r="E28" s="21" t="e">
        <v>#NUM!</v>
      </c>
      <c r="F28" s="21">
        <v>-0.24237975888459692</v>
      </c>
      <c r="G28" s="21">
        <v>-0.24237975888459692</v>
      </c>
      <c r="H28" s="21">
        <v>-0.24237975888459692</v>
      </c>
      <c r="I28" s="21">
        <v>-0.24237975888459692</v>
      </c>
    </row>
    <row r="29" spans="1:9" x14ac:dyDescent="0.25">
      <c r="A29" s="21" t="s">
        <v>93</v>
      </c>
      <c r="B29" s="21">
        <v>0.7920872920436014</v>
      </c>
      <c r="C29" s="21">
        <v>0</v>
      </c>
      <c r="D29" s="21">
        <v>65535</v>
      </c>
      <c r="E29" s="21" t="e">
        <v>#NUM!</v>
      </c>
      <c r="F29" s="21">
        <v>0.7920872920436014</v>
      </c>
      <c r="G29" s="21">
        <v>0.7920872920436014</v>
      </c>
      <c r="H29" s="21">
        <v>0.7920872920436014</v>
      </c>
      <c r="I29" s="21">
        <v>0.7920872920436014</v>
      </c>
    </row>
    <row r="30" spans="1:9" x14ac:dyDescent="0.25">
      <c r="A30" s="21" t="s">
        <v>99</v>
      </c>
      <c r="B30" s="21">
        <v>-1.0797338994513188</v>
      </c>
      <c r="C30" s="21">
        <v>0</v>
      </c>
      <c r="D30" s="21">
        <v>65535</v>
      </c>
      <c r="E30" s="21" t="e">
        <v>#NUM!</v>
      </c>
      <c r="F30" s="21">
        <v>-1.0797338994513188</v>
      </c>
      <c r="G30" s="21">
        <v>-1.0797338994513188</v>
      </c>
      <c r="H30" s="21">
        <v>-1.0797338994513188</v>
      </c>
      <c r="I30" s="21">
        <v>-1.0797338994513188</v>
      </c>
    </row>
    <row r="31" spans="1:9" x14ac:dyDescent="0.25">
      <c r="A31" s="21" t="s">
        <v>95</v>
      </c>
      <c r="B31" s="21">
        <v>6.8689718655794652E-2</v>
      </c>
      <c r="C31" s="21">
        <v>0</v>
      </c>
      <c r="D31" s="21">
        <v>65535</v>
      </c>
      <c r="E31" s="21" t="e">
        <v>#NUM!</v>
      </c>
      <c r="F31" s="21">
        <v>6.8689718655794652E-2</v>
      </c>
      <c r="G31" s="21">
        <v>6.8689718655794652E-2</v>
      </c>
      <c r="H31" s="21">
        <v>6.8689718655794652E-2</v>
      </c>
      <c r="I31" s="21">
        <v>6.8689718655794652E-2</v>
      </c>
    </row>
    <row r="32" spans="1:9" ht="17.25" thickBot="1" x14ac:dyDescent="0.3">
      <c r="A32" s="22" t="s">
        <v>97</v>
      </c>
      <c r="B32" s="22">
        <v>-2.9994789933089825</v>
      </c>
      <c r="C32" s="22">
        <v>0</v>
      </c>
      <c r="D32" s="22">
        <v>65535</v>
      </c>
      <c r="E32" s="22" t="e">
        <v>#NUM!</v>
      </c>
      <c r="F32" s="22">
        <v>-2.9994789933089825</v>
      </c>
      <c r="G32" s="22">
        <v>-2.9994789933089825</v>
      </c>
      <c r="H32" s="22">
        <v>-2.9994789933089825</v>
      </c>
      <c r="I32" s="22">
        <v>-2.9994789933089825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L19" sqref="L19"/>
    </sheetView>
  </sheetViews>
  <sheetFormatPr defaultRowHeight="16.5" x14ac:dyDescent="0.25"/>
  <sheetData>
    <row r="1" spans="1:9" x14ac:dyDescent="0.25">
      <c r="A1" t="s">
        <v>122</v>
      </c>
    </row>
    <row r="2" spans="1:9" ht="17.25" thickBot="1" x14ac:dyDescent="0.3"/>
    <row r="3" spans="1:9" x14ac:dyDescent="0.25">
      <c r="A3" s="24" t="s">
        <v>123</v>
      </c>
      <c r="B3" s="24"/>
    </row>
    <row r="4" spans="1:9" x14ac:dyDescent="0.25">
      <c r="A4" s="21" t="s">
        <v>124</v>
      </c>
      <c r="B4" s="21">
        <v>0.77505978272813714</v>
      </c>
    </row>
    <row r="5" spans="1:9" x14ac:dyDescent="0.25">
      <c r="A5" s="21" t="s">
        <v>125</v>
      </c>
      <c r="B5" s="21">
        <v>0.6007176668025872</v>
      </c>
    </row>
    <row r="6" spans="1:9" x14ac:dyDescent="0.25">
      <c r="A6" s="21" t="s">
        <v>126</v>
      </c>
      <c r="B6" s="21">
        <v>0.38292730324036212</v>
      </c>
    </row>
    <row r="7" spans="1:9" x14ac:dyDescent="0.25">
      <c r="A7" s="21" t="s">
        <v>127</v>
      </c>
      <c r="B7" s="21">
        <v>6.4041929674194726</v>
      </c>
    </row>
    <row r="8" spans="1:9" ht="17.25" thickBot="1" x14ac:dyDescent="0.3">
      <c r="A8" s="22" t="s">
        <v>128</v>
      </c>
      <c r="B8" s="22">
        <v>18</v>
      </c>
    </row>
    <row r="10" spans="1:9" ht="17.25" thickBot="1" x14ac:dyDescent="0.3">
      <c r="A10" t="s">
        <v>129</v>
      </c>
    </row>
    <row r="11" spans="1:9" x14ac:dyDescent="0.25">
      <c r="A11" s="23"/>
      <c r="B11" s="23" t="s">
        <v>134</v>
      </c>
      <c r="C11" s="23" t="s">
        <v>5</v>
      </c>
      <c r="D11" s="23" t="s">
        <v>8</v>
      </c>
      <c r="E11" s="23" t="s">
        <v>31</v>
      </c>
      <c r="F11" s="23" t="s">
        <v>135</v>
      </c>
    </row>
    <row r="12" spans="1:9" x14ac:dyDescent="0.25">
      <c r="A12" s="21" t="s">
        <v>130</v>
      </c>
      <c r="B12" s="21">
        <v>6</v>
      </c>
      <c r="C12" s="21">
        <v>678.75308064337059</v>
      </c>
      <c r="D12" s="21">
        <v>113.12551344056176</v>
      </c>
      <c r="E12" s="21">
        <v>2.75823804587642</v>
      </c>
      <c r="F12" s="21">
        <v>6.8964358417028027E-2</v>
      </c>
    </row>
    <row r="13" spans="1:9" x14ac:dyDescent="0.25">
      <c r="A13" s="21" t="s">
        <v>131</v>
      </c>
      <c r="B13" s="21">
        <v>11</v>
      </c>
      <c r="C13" s="21">
        <v>451.15056320339528</v>
      </c>
      <c r="D13" s="21">
        <v>41.013687563945027</v>
      </c>
      <c r="E13" s="21"/>
      <c r="F13" s="21"/>
    </row>
    <row r="14" spans="1:9" ht="17.25" thickBot="1" x14ac:dyDescent="0.3">
      <c r="A14" s="22" t="s">
        <v>132</v>
      </c>
      <c r="B14" s="22">
        <v>17</v>
      </c>
      <c r="C14" s="22">
        <v>1129.9036438467658</v>
      </c>
      <c r="D14" s="22"/>
      <c r="E14" s="22"/>
      <c r="F14" s="22"/>
    </row>
    <row r="15" spans="1:9" ht="17.25" thickBot="1" x14ac:dyDescent="0.3"/>
    <row r="16" spans="1:9" x14ac:dyDescent="0.25">
      <c r="A16" s="23"/>
      <c r="B16" s="23" t="s">
        <v>136</v>
      </c>
      <c r="C16" s="23" t="s">
        <v>127</v>
      </c>
      <c r="D16" s="23" t="s">
        <v>137</v>
      </c>
      <c r="E16" s="23" t="s">
        <v>138</v>
      </c>
      <c r="F16" s="23" t="s">
        <v>139</v>
      </c>
      <c r="G16" s="23" t="s">
        <v>140</v>
      </c>
      <c r="H16" s="23" t="s">
        <v>141</v>
      </c>
      <c r="I16" s="23" t="s">
        <v>142</v>
      </c>
    </row>
    <row r="17" spans="1:9" x14ac:dyDescent="0.25">
      <c r="A17" s="21" t="s">
        <v>133</v>
      </c>
      <c r="B17" s="21">
        <v>31.659705446777778</v>
      </c>
      <c r="C17" s="21">
        <v>1.5094827584298358</v>
      </c>
      <c r="D17" s="21">
        <v>20.973876826331033</v>
      </c>
      <c r="E17" s="21">
        <v>3.2071392646835388E-10</v>
      </c>
      <c r="F17" s="21">
        <v>28.337356296059518</v>
      </c>
      <c r="G17" s="21">
        <v>34.982054597496038</v>
      </c>
      <c r="H17" s="21">
        <v>28.337356296059518</v>
      </c>
      <c r="I17" s="21">
        <v>34.982054597496038</v>
      </c>
    </row>
    <row r="18" spans="1:9" x14ac:dyDescent="0.25">
      <c r="A18" s="21" t="s">
        <v>51</v>
      </c>
      <c r="B18" s="21">
        <v>-5.1797584059861643</v>
      </c>
      <c r="C18" s="21">
        <v>1.8487312668409703</v>
      </c>
      <c r="D18" s="21">
        <v>-2.8017908816120718</v>
      </c>
      <c r="E18" s="21">
        <v>1.7219519680543215E-2</v>
      </c>
      <c r="F18" s="21">
        <v>-9.248788489300555</v>
      </c>
      <c r="G18" s="21">
        <v>-1.1107283226717737</v>
      </c>
      <c r="H18" s="21">
        <v>-9.248788489300555</v>
      </c>
      <c r="I18" s="21">
        <v>-1.1107283226717737</v>
      </c>
    </row>
    <row r="19" spans="1:9" x14ac:dyDescent="0.25">
      <c r="A19" s="21" t="s">
        <v>53</v>
      </c>
      <c r="B19" s="21">
        <v>-8.1328795903612087E-3</v>
      </c>
      <c r="C19" s="21">
        <v>1.8487312668409703</v>
      </c>
      <c r="D19" s="21">
        <v>-4.3991680869109283E-3</v>
      </c>
      <c r="E19" s="21">
        <v>0.99656875108649534</v>
      </c>
      <c r="F19" s="21">
        <v>-4.0771629629047519</v>
      </c>
      <c r="G19" s="21">
        <v>4.0608972037240294</v>
      </c>
      <c r="H19" s="21">
        <v>-4.0771629629047519</v>
      </c>
      <c r="I19" s="21">
        <v>4.0608972037240294</v>
      </c>
    </row>
    <row r="20" spans="1:9" x14ac:dyDescent="0.25">
      <c r="A20" s="21" t="s">
        <v>55</v>
      </c>
      <c r="B20" s="21">
        <v>3.5147963863255374</v>
      </c>
      <c r="C20" s="21">
        <v>1.8487312668409706</v>
      </c>
      <c r="D20" s="21">
        <v>1.9011937804954555</v>
      </c>
      <c r="E20" s="21">
        <v>8.3780980667295474E-2</v>
      </c>
      <c r="F20" s="21">
        <v>-0.55423369698885327</v>
      </c>
      <c r="G20" s="21">
        <v>7.583826469639928</v>
      </c>
      <c r="H20" s="21">
        <v>-0.55423369698885327</v>
      </c>
      <c r="I20" s="21">
        <v>7.583826469639928</v>
      </c>
    </row>
    <row r="21" spans="1:9" x14ac:dyDescent="0.25">
      <c r="A21" s="21" t="s">
        <v>74</v>
      </c>
      <c r="B21" s="21">
        <v>-0.68623414160982121</v>
      </c>
      <c r="C21" s="21">
        <v>1.8487312668409703</v>
      </c>
      <c r="D21" s="21">
        <v>-0.3711919379080052</v>
      </c>
      <c r="E21" s="21">
        <v>0.71754453747552716</v>
      </c>
      <c r="F21" s="21">
        <v>-4.7552642249242121</v>
      </c>
      <c r="G21" s="21">
        <v>3.3827959417045692</v>
      </c>
      <c r="H21" s="21">
        <v>-4.7552642249242121</v>
      </c>
      <c r="I21" s="21">
        <v>3.3827959417045692</v>
      </c>
    </row>
    <row r="22" spans="1:9" x14ac:dyDescent="0.25">
      <c r="A22" s="21" t="s">
        <v>185</v>
      </c>
      <c r="B22" s="21">
        <v>-1.2035536600248362</v>
      </c>
      <c r="C22" s="21">
        <v>1.8487312668409706</v>
      </c>
      <c r="D22" s="21">
        <v>-0.65101601385333574</v>
      </c>
      <c r="E22" s="21">
        <v>0.52840120717051065</v>
      </c>
      <c r="F22" s="21">
        <v>-5.2725837433392266</v>
      </c>
      <c r="G22" s="21">
        <v>2.8654764232895547</v>
      </c>
      <c r="H22" s="21">
        <v>-5.2725837433392266</v>
      </c>
      <c r="I22" s="21">
        <v>2.8654764232895547</v>
      </c>
    </row>
    <row r="23" spans="1:9" ht="17.25" thickBot="1" x14ac:dyDescent="0.3">
      <c r="A23" s="22" t="s">
        <v>187</v>
      </c>
      <c r="B23" s="22">
        <v>3.9318622922438347</v>
      </c>
      <c r="C23" s="22">
        <v>1.8487312668409706</v>
      </c>
      <c r="D23" s="22">
        <v>2.1267895246681392</v>
      </c>
      <c r="E23" s="22">
        <v>5.6895780642793832E-2</v>
      </c>
      <c r="F23" s="22">
        <v>-0.13716779107055599</v>
      </c>
      <c r="G23" s="22">
        <v>8.0008923755582249</v>
      </c>
      <c r="H23" s="22">
        <v>-0.13716779107055599</v>
      </c>
      <c r="I23" s="22">
        <v>8.0008923755582249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example</vt:lpstr>
      <vt:lpstr>1</vt:lpstr>
      <vt:lpstr>1-anova</vt:lpstr>
      <vt:lpstr>工作表5</vt:lpstr>
      <vt:lpstr>工作表6</vt:lpstr>
      <vt:lpstr>工作表7</vt:lpstr>
      <vt:lpstr>2</vt:lpstr>
      <vt:lpstr>2-anova</vt:lpstr>
      <vt:lpstr>工作表9</vt:lpstr>
      <vt:lpstr>工作表1</vt:lpstr>
      <vt:lpstr>工作表4</vt:lpstr>
      <vt:lpstr>3</vt:lpstr>
      <vt:lpstr>工作表12</vt:lpstr>
      <vt:lpstr>工作表13</vt:lpstr>
      <vt:lpstr>工作表14</vt:lpstr>
      <vt:lpstr>4</vt:lpstr>
      <vt:lpstr>4-anova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chen yiping</cp:lastModifiedBy>
  <dcterms:created xsi:type="dcterms:W3CDTF">2019-06-01T04:26:33Z</dcterms:created>
  <dcterms:modified xsi:type="dcterms:W3CDTF">2019-06-03T13:54:44Z</dcterms:modified>
</cp:coreProperties>
</file>