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final exam\"/>
    </mc:Choice>
  </mc:AlternateContent>
  <xr:revisionPtr revIDLastSave="0" documentId="13_ncr:1_{20C39DB0-F4C6-4A4A-9DA0-EFCD6A893B86}" xr6:coauthVersionLast="47" xr6:coauthVersionMax="47" xr10:uidLastSave="{00000000-0000-0000-0000-000000000000}"/>
  <bookViews>
    <workbookView xWindow="3560" yWindow="2540" windowWidth="19200" windowHeight="11460" activeTab="2" xr2:uid="{2224B4A3-7DDB-4A03-9076-3DDD34B94DE1}"/>
  </bookViews>
  <sheets>
    <sheet name="工作表1" sheetId="5" r:id="rId1"/>
    <sheet name="experiment design 1" sheetId="1" r:id="rId2"/>
    <sheet name="experiment design 2" sheetId="3" r:id="rId3"/>
    <sheet name="experiment parameters(A)" sheetId="2" r:id="rId4"/>
    <sheet name="experiment parameters(B)" sheetId="4" r:id="rId5"/>
  </sheets>
  <definedNames>
    <definedName name="solver_adj" localSheetId="1" hidden="1">'experiment design 1'!$K$46:$M$46</definedName>
    <definedName name="solver_adj" localSheetId="2" hidden="1">'experiment design 2'!$C$30:$D$30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'experiment design 1'!$K$46</definedName>
    <definedName name="solver_lhs1" localSheetId="2" hidden="1">'experiment design 2'!$C$30</definedName>
    <definedName name="solver_lhs2" localSheetId="1" hidden="1">'experiment design 1'!$K$46</definedName>
    <definedName name="solver_lhs2" localSheetId="2" hidden="1">'experiment design 2'!$C$30</definedName>
    <definedName name="solver_lhs3" localSheetId="1" hidden="1">'experiment design 1'!$L$46</definedName>
    <definedName name="solver_lhs3" localSheetId="2" hidden="1">'experiment design 2'!$D$30</definedName>
    <definedName name="solver_lhs4" localSheetId="1" hidden="1">'experiment design 1'!$L$46</definedName>
    <definedName name="solver_lhs4" localSheetId="2" hidden="1">'experiment design 2'!$D$30</definedName>
    <definedName name="solver_lhs5" localSheetId="1" hidden="1">'experiment design 1'!$M$46</definedName>
    <definedName name="solver_lhs6" localSheetId="1" hidden="1">'experiment design 1'!$M$46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6</definedName>
    <definedName name="solver_num" localSheetId="2" hidden="1">4</definedName>
    <definedName name="solver_nwt" localSheetId="1" hidden="1">1</definedName>
    <definedName name="solver_nwt" localSheetId="2" hidden="1">1</definedName>
    <definedName name="solver_opt" localSheetId="1" hidden="1">'experiment design 1'!$N$46</definedName>
    <definedName name="solver_opt" localSheetId="2" hidden="1">'experiment design 2'!$E$30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3</definedName>
    <definedName name="solver_rel2" localSheetId="2" hidden="1">3</definedName>
    <definedName name="solver_rel3" localSheetId="1" hidden="1">1</definedName>
    <definedName name="solver_rel3" localSheetId="2" hidden="1">1</definedName>
    <definedName name="solver_rel4" localSheetId="1" hidden="1">3</definedName>
    <definedName name="solver_rel4" localSheetId="2" hidden="1">3</definedName>
    <definedName name="solver_rel5" localSheetId="1" hidden="1">1</definedName>
    <definedName name="solver_rel6" localSheetId="1" hidden="1">3</definedName>
    <definedName name="solver_rhs1" localSheetId="1" hidden="1">1</definedName>
    <definedName name="solver_rhs1" localSheetId="2" hidden="1">1</definedName>
    <definedName name="solver_rhs2" localSheetId="1" hidden="1">-1</definedName>
    <definedName name="solver_rhs2" localSheetId="2" hidden="1">-1</definedName>
    <definedName name="solver_rhs3" localSheetId="1" hidden="1">1</definedName>
    <definedName name="solver_rhs3" localSheetId="2" hidden="1">1</definedName>
    <definedName name="solver_rhs4" localSheetId="1" hidden="1">-1</definedName>
    <definedName name="solver_rhs4" localSheetId="2" hidden="1">-1</definedName>
    <definedName name="solver_rhs5" localSheetId="1" hidden="1">1</definedName>
    <definedName name="solver_rhs6" localSheetId="1" hidden="1">-1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3" l="1"/>
  <c r="O15" i="3"/>
  <c r="O16" i="3"/>
  <c r="O17" i="3"/>
  <c r="O18" i="3"/>
  <c r="O19" i="3"/>
  <c r="O13" i="3"/>
  <c r="I47" i="4"/>
  <c r="M47" i="4"/>
  <c r="K47" i="4"/>
  <c r="M40" i="4"/>
  <c r="M41" i="4"/>
  <c r="M42" i="4"/>
  <c r="M43" i="4"/>
  <c r="M44" i="4"/>
  <c r="M45" i="4"/>
  <c r="M46" i="4"/>
  <c r="M39" i="4"/>
  <c r="M32" i="4"/>
  <c r="M33" i="4"/>
  <c r="M34" i="4"/>
  <c r="M35" i="4"/>
  <c r="M36" i="4"/>
  <c r="M37" i="4"/>
  <c r="M38" i="4"/>
  <c r="M31" i="4"/>
  <c r="M24" i="4"/>
  <c r="M25" i="4"/>
  <c r="M26" i="4"/>
  <c r="M27" i="4"/>
  <c r="M28" i="4"/>
  <c r="M29" i="4"/>
  <c r="M30" i="4"/>
  <c r="M23" i="4"/>
  <c r="K40" i="4"/>
  <c r="K41" i="4"/>
  <c r="K42" i="4"/>
  <c r="K43" i="4"/>
  <c r="K44" i="4"/>
  <c r="K45" i="4"/>
  <c r="K46" i="4"/>
  <c r="K39" i="4"/>
  <c r="K32" i="4"/>
  <c r="K33" i="4"/>
  <c r="K34" i="4"/>
  <c r="K35" i="4"/>
  <c r="K36" i="4"/>
  <c r="K37" i="4"/>
  <c r="K38" i="4"/>
  <c r="K31" i="4"/>
  <c r="K24" i="4"/>
  <c r="K25" i="4"/>
  <c r="K26" i="4"/>
  <c r="K27" i="4"/>
  <c r="K28" i="4"/>
  <c r="K29" i="4"/>
  <c r="K30" i="4"/>
  <c r="K23" i="4"/>
  <c r="I40" i="4"/>
  <c r="I41" i="4"/>
  <c r="I42" i="4"/>
  <c r="I43" i="4"/>
  <c r="I44" i="4"/>
  <c r="I45" i="4"/>
  <c r="I46" i="4"/>
  <c r="I39" i="4"/>
  <c r="I24" i="4"/>
  <c r="I25" i="4"/>
  <c r="I26" i="4"/>
  <c r="I27" i="4"/>
  <c r="I28" i="4"/>
  <c r="I29" i="4"/>
  <c r="I30" i="4"/>
  <c r="I23" i="4"/>
  <c r="I32" i="4"/>
  <c r="I33" i="4"/>
  <c r="I34" i="4"/>
  <c r="I35" i="4"/>
  <c r="I36" i="4"/>
  <c r="I37" i="4"/>
  <c r="I38" i="4"/>
  <c r="I31" i="4"/>
  <c r="N46" i="1"/>
  <c r="Y23" i="1"/>
  <c r="AC19" i="1"/>
  <c r="AC20" i="1"/>
  <c r="AB19" i="1"/>
  <c r="AB20" i="1"/>
  <c r="AA19" i="1"/>
  <c r="AA20" i="1"/>
  <c r="Z21" i="1"/>
  <c r="Y21" i="1"/>
  <c r="Y20" i="1"/>
  <c r="Y19" i="1"/>
  <c r="AA35" i="4"/>
  <c r="AD35" i="4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J16" i="1"/>
  <c r="E17" i="1"/>
  <c r="F17" i="1"/>
  <c r="G17" i="1"/>
  <c r="H17" i="1"/>
  <c r="I17" i="1"/>
  <c r="AX49" i="4"/>
  <c r="AX48" i="4"/>
  <c r="AU49" i="4"/>
  <c r="AU48" i="4"/>
  <c r="AR49" i="4"/>
  <c r="AR48" i="4"/>
  <c r="AL7" i="4"/>
  <c r="AM7" i="4" s="1"/>
  <c r="W26" i="4" s="1"/>
  <c r="AL15" i="4"/>
  <c r="AN15" i="4" s="1"/>
  <c r="AL16" i="4"/>
  <c r="AM16" i="4" s="1"/>
  <c r="W35" i="4" s="1"/>
  <c r="AF6" i="4"/>
  <c r="AG6" i="4" s="1"/>
  <c r="Q25" i="4" s="1"/>
  <c r="AF7" i="4"/>
  <c r="AG7" i="4" s="1"/>
  <c r="Q26" i="4" s="1"/>
  <c r="AC5" i="4"/>
  <c r="AD5" i="4" s="1"/>
  <c r="V24" i="4" s="1"/>
  <c r="AC6" i="4"/>
  <c r="AD6" i="4" s="1"/>
  <c r="V25" i="4" s="1"/>
  <c r="AC7" i="4"/>
  <c r="AD7" i="4" s="1"/>
  <c r="V26" i="4" s="1"/>
  <c r="AC8" i="4"/>
  <c r="AD8" i="4" s="1"/>
  <c r="V27" i="4" s="1"/>
  <c r="AC9" i="4"/>
  <c r="AD9" i="4" s="1"/>
  <c r="V28" i="4" s="1"/>
  <c r="AC10" i="4"/>
  <c r="AL10" i="4" s="1"/>
  <c r="AN10" i="4" s="1"/>
  <c r="AC11" i="4"/>
  <c r="AD11" i="4" s="1"/>
  <c r="V30" i="4" s="1"/>
  <c r="AC12" i="4"/>
  <c r="AL12" i="4" s="1"/>
  <c r="AC13" i="4"/>
  <c r="AL13" i="4" s="1"/>
  <c r="AC14" i="4"/>
  <c r="AE14" i="4" s="1"/>
  <c r="AC15" i="4"/>
  <c r="AE15" i="4" s="1"/>
  <c r="AC16" i="4"/>
  <c r="AE16" i="4" s="1"/>
  <c r="AC17" i="4"/>
  <c r="AE17" i="4" s="1"/>
  <c r="AC18" i="4"/>
  <c r="AE18" i="4" s="1"/>
  <c r="AC4" i="4"/>
  <c r="AE4" i="4" s="1"/>
  <c r="Z5" i="4"/>
  <c r="AI5" i="4" s="1"/>
  <c r="AJ5" i="4" s="1"/>
  <c r="T24" i="4" s="1"/>
  <c r="Z6" i="4"/>
  <c r="AI6" i="4" s="1"/>
  <c r="AJ6" i="4" s="1"/>
  <c r="T25" i="4" s="1"/>
  <c r="Z7" i="4"/>
  <c r="AI7" i="4" s="1"/>
  <c r="AJ7" i="4" s="1"/>
  <c r="T26" i="4" s="1"/>
  <c r="Z8" i="4"/>
  <c r="AB8" i="4" s="1"/>
  <c r="Z9" i="4"/>
  <c r="AB9" i="4" s="1"/>
  <c r="Z10" i="4"/>
  <c r="AA10" i="4" s="1"/>
  <c r="S29" i="4" s="1"/>
  <c r="Z11" i="4"/>
  <c r="AA11" i="4" s="1"/>
  <c r="S30" i="4" s="1"/>
  <c r="Z12" i="4"/>
  <c r="AA12" i="4" s="1"/>
  <c r="S31" i="4" s="1"/>
  <c r="Z13" i="4"/>
  <c r="AA13" i="4" s="1"/>
  <c r="S32" i="4" s="1"/>
  <c r="Z14" i="4"/>
  <c r="AI14" i="4" s="1"/>
  <c r="Z15" i="4"/>
  <c r="AA15" i="4" s="1"/>
  <c r="S34" i="4" s="1"/>
  <c r="Z16" i="4"/>
  <c r="AA16" i="4" s="1"/>
  <c r="S35" i="4" s="1"/>
  <c r="Z17" i="4"/>
  <c r="AB17" i="4" s="1"/>
  <c r="Z18" i="4"/>
  <c r="AB18" i="4" s="1"/>
  <c r="Z4" i="4"/>
  <c r="AA4" i="4" s="1"/>
  <c r="S23" i="4" s="1"/>
  <c r="W5" i="4"/>
  <c r="X5" i="4" s="1"/>
  <c r="P24" i="4" s="1"/>
  <c r="W6" i="4"/>
  <c r="X6" i="4" s="1"/>
  <c r="P25" i="4" s="1"/>
  <c r="W7" i="4"/>
  <c r="Y7" i="4" s="1"/>
  <c r="W8" i="4"/>
  <c r="X8" i="4" s="1"/>
  <c r="P27" i="4" s="1"/>
  <c r="W9" i="4"/>
  <c r="Y9" i="4" s="1"/>
  <c r="W10" i="4"/>
  <c r="Y10" i="4" s="1"/>
  <c r="W11" i="4"/>
  <c r="X11" i="4" s="1"/>
  <c r="P30" i="4" s="1"/>
  <c r="W12" i="4"/>
  <c r="X12" i="4" s="1"/>
  <c r="P31" i="4" s="1"/>
  <c r="W13" i="4"/>
  <c r="X13" i="4" s="1"/>
  <c r="P32" i="4" s="1"/>
  <c r="W14" i="4"/>
  <c r="Y14" i="4" s="1"/>
  <c r="W15" i="4"/>
  <c r="X15" i="4" s="1"/>
  <c r="P34" i="4" s="1"/>
  <c r="W16" i="4"/>
  <c r="Y16" i="4" s="1"/>
  <c r="W17" i="4"/>
  <c r="Y17" i="4" s="1"/>
  <c r="W18" i="4"/>
  <c r="X18" i="4" s="1"/>
  <c r="P37" i="4" s="1"/>
  <c r="W4" i="4"/>
  <c r="Y4" i="4" s="1"/>
  <c r="AE5" i="4"/>
  <c r="AE6" i="4"/>
  <c r="AE7" i="4"/>
  <c r="AE9" i="4"/>
  <c r="AE10" i="4"/>
  <c r="AE11" i="4"/>
  <c r="AB15" i="4"/>
  <c r="AB6" i="4"/>
  <c r="AB5" i="4"/>
  <c r="AB4" i="4"/>
  <c r="Y5" i="4"/>
  <c r="Y6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4" i="4"/>
  <c r="AD13" i="4"/>
  <c r="V32" i="4" s="1"/>
  <c r="AA5" i="4"/>
  <c r="S24" i="4" s="1"/>
  <c r="AA6" i="4"/>
  <c r="S25" i="4" s="1"/>
  <c r="AA7" i="4"/>
  <c r="S26" i="4" s="1"/>
  <c r="AA14" i="4"/>
  <c r="S33" i="4" s="1"/>
  <c r="X16" i="4"/>
  <c r="P35" i="4" s="1"/>
  <c r="X4" i="4"/>
  <c r="P23" i="4" s="1"/>
  <c r="U5" i="4"/>
  <c r="U24" i="4" s="1"/>
  <c r="U6" i="4"/>
  <c r="U25" i="4" s="1"/>
  <c r="U7" i="4"/>
  <c r="U26" i="4" s="1"/>
  <c r="U8" i="4"/>
  <c r="U27" i="4" s="1"/>
  <c r="U9" i="4"/>
  <c r="U28" i="4" s="1"/>
  <c r="U10" i="4"/>
  <c r="U29" i="4" s="1"/>
  <c r="U11" i="4"/>
  <c r="U30" i="4" s="1"/>
  <c r="U12" i="4"/>
  <c r="U31" i="4" s="1"/>
  <c r="U13" i="4"/>
  <c r="U32" i="4" s="1"/>
  <c r="U14" i="4"/>
  <c r="U33" i="4" s="1"/>
  <c r="U15" i="4"/>
  <c r="U34" i="4" s="1"/>
  <c r="U16" i="4"/>
  <c r="U35" i="4" s="1"/>
  <c r="U17" i="4"/>
  <c r="U36" i="4" s="1"/>
  <c r="U18" i="4"/>
  <c r="U37" i="4" s="1"/>
  <c r="U4" i="4"/>
  <c r="U23" i="4" s="1"/>
  <c r="R5" i="4"/>
  <c r="R24" i="4" s="1"/>
  <c r="R6" i="4"/>
  <c r="R25" i="4" s="1"/>
  <c r="R7" i="4"/>
  <c r="R26" i="4" s="1"/>
  <c r="R8" i="4"/>
  <c r="R27" i="4" s="1"/>
  <c r="R9" i="4"/>
  <c r="R28" i="4" s="1"/>
  <c r="R10" i="4"/>
  <c r="R29" i="4" s="1"/>
  <c r="R11" i="4"/>
  <c r="R30" i="4" s="1"/>
  <c r="R12" i="4"/>
  <c r="R31" i="4" s="1"/>
  <c r="R13" i="4"/>
  <c r="R32" i="4" s="1"/>
  <c r="R14" i="4"/>
  <c r="R33" i="4" s="1"/>
  <c r="R15" i="4"/>
  <c r="R34" i="4" s="1"/>
  <c r="R16" i="4"/>
  <c r="R35" i="4" s="1"/>
  <c r="R17" i="4"/>
  <c r="R36" i="4" s="1"/>
  <c r="R18" i="4"/>
  <c r="R37" i="4" s="1"/>
  <c r="R4" i="4"/>
  <c r="R23" i="4" s="1"/>
  <c r="O5" i="4"/>
  <c r="O24" i="4" s="1"/>
  <c r="O6" i="4"/>
  <c r="O25" i="4" s="1"/>
  <c r="O7" i="4"/>
  <c r="O26" i="4" s="1"/>
  <c r="O8" i="4"/>
  <c r="O27" i="4" s="1"/>
  <c r="O9" i="4"/>
  <c r="O28" i="4" s="1"/>
  <c r="O10" i="4"/>
  <c r="O29" i="4" s="1"/>
  <c r="O11" i="4"/>
  <c r="O30" i="4" s="1"/>
  <c r="O12" i="4"/>
  <c r="O31" i="4" s="1"/>
  <c r="O13" i="4"/>
  <c r="O32" i="4" s="1"/>
  <c r="O14" i="4"/>
  <c r="O33" i="4" s="1"/>
  <c r="O15" i="4"/>
  <c r="O34" i="4" s="1"/>
  <c r="O16" i="4"/>
  <c r="O35" i="4" s="1"/>
  <c r="O17" i="4"/>
  <c r="O36" i="4" s="1"/>
  <c r="O18" i="4"/>
  <c r="O37" i="4" s="1"/>
  <c r="O4" i="4"/>
  <c r="O23" i="4" s="1"/>
  <c r="AA49" i="2"/>
  <c r="AA50" i="2"/>
  <c r="AA51" i="2"/>
  <c r="AA52" i="2"/>
  <c r="AA53" i="2"/>
  <c r="AA54" i="2"/>
  <c r="AA55" i="2"/>
  <c r="U49" i="2"/>
  <c r="U50" i="2"/>
  <c r="U51" i="2"/>
  <c r="U52" i="2"/>
  <c r="U53" i="2"/>
  <c r="U54" i="2"/>
  <c r="U55" i="2"/>
  <c r="AA48" i="2"/>
  <c r="U48" i="2"/>
  <c r="O49" i="2"/>
  <c r="O50" i="2"/>
  <c r="O51" i="2"/>
  <c r="O52" i="2"/>
  <c r="O53" i="2"/>
  <c r="O54" i="2"/>
  <c r="O55" i="2"/>
  <c r="O48" i="2"/>
  <c r="Q36" i="2"/>
  <c r="M5" i="4"/>
  <c r="M6" i="4"/>
  <c r="M7" i="4"/>
  <c r="M8" i="4"/>
  <c r="M9" i="4"/>
  <c r="K10" i="4"/>
  <c r="M10" i="4"/>
  <c r="M11" i="4"/>
  <c r="M12" i="4"/>
  <c r="I9" i="4" s="1"/>
  <c r="M13" i="4"/>
  <c r="I10" i="4" s="1"/>
  <c r="M14" i="4"/>
  <c r="I11" i="4" s="1"/>
  <c r="M15" i="4"/>
  <c r="I12" i="4" s="1"/>
  <c r="M18" i="4"/>
  <c r="I15" i="4" s="1"/>
  <c r="M4" i="4"/>
  <c r="H3" i="4"/>
  <c r="L11" i="4" s="1"/>
  <c r="G3" i="4"/>
  <c r="K6" i="4" s="1"/>
  <c r="E16" i="4"/>
  <c r="M17" i="4" s="1"/>
  <c r="I14" i="4" s="1"/>
  <c r="E15" i="4"/>
  <c r="M16" i="4" s="1"/>
  <c r="I13" i="4" s="1"/>
  <c r="D14" i="4"/>
  <c r="D13" i="4"/>
  <c r="C12" i="4"/>
  <c r="C11" i="4"/>
  <c r="AJ67" i="1"/>
  <c r="AJ68" i="1"/>
  <c r="AJ69" i="1"/>
  <c r="AJ70" i="1"/>
  <c r="AJ71" i="1"/>
  <c r="AJ72" i="1"/>
  <c r="AJ73" i="1"/>
  <c r="AJ66" i="1"/>
  <c r="AJ59" i="1"/>
  <c r="AJ60" i="1"/>
  <c r="AJ61" i="1"/>
  <c r="AJ62" i="1"/>
  <c r="AJ63" i="1"/>
  <c r="AJ64" i="1"/>
  <c r="AJ65" i="1"/>
  <c r="AJ58" i="1"/>
  <c r="AJ51" i="1"/>
  <c r="AJ52" i="1"/>
  <c r="AJ53" i="1"/>
  <c r="AJ54" i="1"/>
  <c r="AJ55" i="1"/>
  <c r="AJ56" i="1"/>
  <c r="AJ57" i="1"/>
  <c r="AJ50" i="1"/>
  <c r="AJ43" i="1"/>
  <c r="AJ44" i="1"/>
  <c r="AJ45" i="1"/>
  <c r="AJ46" i="1"/>
  <c r="AJ47" i="1"/>
  <c r="AJ48" i="1"/>
  <c r="AJ49" i="1"/>
  <c r="AJ42" i="1"/>
  <c r="AJ35" i="1"/>
  <c r="AJ36" i="1"/>
  <c r="AJ37" i="1"/>
  <c r="AJ38" i="1"/>
  <c r="AJ39" i="1"/>
  <c r="AJ40" i="1"/>
  <c r="AJ41" i="1"/>
  <c r="AJ34" i="1"/>
  <c r="AJ27" i="1"/>
  <c r="AJ28" i="1"/>
  <c r="AJ29" i="1"/>
  <c r="AJ30" i="1"/>
  <c r="AJ31" i="1"/>
  <c r="AJ32" i="1"/>
  <c r="AJ33" i="1"/>
  <c r="AJ26" i="1"/>
  <c r="AJ19" i="1"/>
  <c r="AJ20" i="1"/>
  <c r="AJ21" i="1"/>
  <c r="AJ22" i="1"/>
  <c r="AJ23" i="1"/>
  <c r="AJ24" i="1"/>
  <c r="AJ25" i="1"/>
  <c r="AJ18" i="1"/>
  <c r="AJ11" i="1"/>
  <c r="AJ12" i="1"/>
  <c r="AJ13" i="1"/>
  <c r="AJ14" i="1"/>
  <c r="AJ15" i="1"/>
  <c r="AJ16" i="1"/>
  <c r="AJ17" i="1"/>
  <c r="AJ10" i="1"/>
  <c r="AJ3" i="1"/>
  <c r="AJ4" i="1"/>
  <c r="AJ5" i="1"/>
  <c r="AJ6" i="1"/>
  <c r="AJ7" i="1"/>
  <c r="AJ8" i="1"/>
  <c r="AJ9" i="1"/>
  <c r="AJ2" i="1"/>
  <c r="Q14" i="3"/>
  <c r="Q15" i="3"/>
  <c r="Q16" i="3"/>
  <c r="Q17" i="3"/>
  <c r="Q18" i="3"/>
  <c r="Q19" i="3"/>
  <c r="P14" i="3"/>
  <c r="P15" i="3"/>
  <c r="P16" i="3"/>
  <c r="P17" i="3"/>
  <c r="P18" i="3"/>
  <c r="P19" i="3"/>
  <c r="Q13" i="3"/>
  <c r="P13" i="3"/>
  <c r="P6" i="3"/>
  <c r="F17" i="3"/>
  <c r="E15" i="3"/>
  <c r="E16" i="3"/>
  <c r="E17" i="3"/>
  <c r="E18" i="3"/>
  <c r="E19" i="3"/>
  <c r="E20" i="3"/>
  <c r="E21" i="3"/>
  <c r="E14" i="3"/>
  <c r="D15" i="3"/>
  <c r="D16" i="3"/>
  <c r="D17" i="3"/>
  <c r="D18" i="3"/>
  <c r="I18" i="3" s="1"/>
  <c r="D19" i="3"/>
  <c r="D20" i="3"/>
  <c r="D21" i="3"/>
  <c r="D14" i="3"/>
  <c r="C15" i="3"/>
  <c r="C16" i="3"/>
  <c r="F16" i="3" s="1"/>
  <c r="C17" i="3"/>
  <c r="H17" i="3" s="1"/>
  <c r="C18" i="3"/>
  <c r="H18" i="3" s="1"/>
  <c r="C19" i="3"/>
  <c r="H19" i="3" s="1"/>
  <c r="C20" i="3"/>
  <c r="C21" i="3"/>
  <c r="C14" i="3"/>
  <c r="H16" i="3" l="1"/>
  <c r="AE8" i="4"/>
  <c r="AF5" i="4"/>
  <c r="AH5" i="4" s="1"/>
  <c r="AL9" i="4"/>
  <c r="AM9" i="4" s="1"/>
  <c r="W28" i="4" s="1"/>
  <c r="AI4" i="4"/>
  <c r="AJ4" i="4" s="1"/>
  <c r="T23" i="4" s="1"/>
  <c r="AL8" i="4"/>
  <c r="AM8" i="4" s="1"/>
  <c r="W27" i="4" s="1"/>
  <c r="AI18" i="4"/>
  <c r="AJ18" i="4" s="1"/>
  <c r="T37" i="4" s="1"/>
  <c r="AI17" i="4"/>
  <c r="AK17" i="4" s="1"/>
  <c r="AL6" i="4"/>
  <c r="AM6" i="4" s="1"/>
  <c r="W25" i="4" s="1"/>
  <c r="X25" i="4" s="1"/>
  <c r="AI16" i="4"/>
  <c r="AJ16" i="4" s="1"/>
  <c r="T35" i="4" s="1"/>
  <c r="AL5" i="4"/>
  <c r="AN5" i="4" s="1"/>
  <c r="AI10" i="4"/>
  <c r="AJ10" i="4" s="1"/>
  <c r="T29" i="4" s="1"/>
  <c r="AI9" i="4"/>
  <c r="AJ9" i="4" s="1"/>
  <c r="T28" i="4" s="1"/>
  <c r="AB7" i="4"/>
  <c r="AH7" i="4"/>
  <c r="AF4" i="4"/>
  <c r="AI8" i="4"/>
  <c r="AJ8" i="4" s="1"/>
  <c r="T27" i="4" s="1"/>
  <c r="AB14" i="4"/>
  <c r="AF18" i="4"/>
  <c r="AG18" i="4" s="1"/>
  <c r="Q37" i="4" s="1"/>
  <c r="AH6" i="4"/>
  <c r="AF17" i="4"/>
  <c r="AG17" i="4" s="1"/>
  <c r="Q36" i="4" s="1"/>
  <c r="AE13" i="4"/>
  <c r="AF11" i="4"/>
  <c r="AH11" i="4" s="1"/>
  <c r="AF10" i="4"/>
  <c r="AG10" i="4" s="1"/>
  <c r="Q29" i="4" s="1"/>
  <c r="AL4" i="4"/>
  <c r="AM4" i="4" s="1"/>
  <c r="W23" i="4" s="1"/>
  <c r="AF9" i="4"/>
  <c r="AL18" i="4"/>
  <c r="AM18" i="4" s="1"/>
  <c r="W37" i="4" s="1"/>
  <c r="AF8" i="4"/>
  <c r="AL17" i="4"/>
  <c r="AM17" i="4" s="1"/>
  <c r="W36" i="4" s="1"/>
  <c r="AJ14" i="4"/>
  <c r="T33" i="4" s="1"/>
  <c r="AK14" i="4"/>
  <c r="AN13" i="4"/>
  <c r="AM13" i="4"/>
  <c r="W32" i="4" s="1"/>
  <c r="AN12" i="4"/>
  <c r="AM12" i="4"/>
  <c r="W31" i="4" s="1"/>
  <c r="X9" i="4"/>
  <c r="P28" i="4" s="1"/>
  <c r="AD10" i="4"/>
  <c r="V29" i="4" s="1"/>
  <c r="X7" i="4"/>
  <c r="P26" i="4" s="1"/>
  <c r="Y26" i="4" s="1"/>
  <c r="Y13" i="4"/>
  <c r="AK6" i="4"/>
  <c r="AA9" i="4"/>
  <c r="S28" i="4" s="1"/>
  <c r="Y8" i="4"/>
  <c r="AM15" i="4"/>
  <c r="W34" i="4" s="1"/>
  <c r="AF13" i="4"/>
  <c r="AG13" i="4" s="1"/>
  <c r="Q32" i="4" s="1"/>
  <c r="AI12" i="4"/>
  <c r="AK12" i="4" s="1"/>
  <c r="AL11" i="4"/>
  <c r="X10" i="4"/>
  <c r="P29" i="4" s="1"/>
  <c r="AA8" i="4"/>
  <c r="S27" i="4" s="1"/>
  <c r="AE12" i="4"/>
  <c r="AF12" i="4"/>
  <c r="AG12" i="4" s="1"/>
  <c r="Q31" i="4" s="1"/>
  <c r="AI11" i="4"/>
  <c r="AJ11" i="4" s="1"/>
  <c r="T30" i="4" s="1"/>
  <c r="AK9" i="4"/>
  <c r="AN7" i="4"/>
  <c r="AB10" i="4"/>
  <c r="AK7" i="4"/>
  <c r="AG5" i="4"/>
  <c r="Q24" i="4" s="1"/>
  <c r="Y12" i="4"/>
  <c r="AB13" i="4"/>
  <c r="AM5" i="4"/>
  <c r="W24" i="4" s="1"/>
  <c r="AD4" i="4"/>
  <c r="V23" i="4" s="1"/>
  <c r="Y11" i="4"/>
  <c r="AJ17" i="4"/>
  <c r="T36" i="4" s="1"/>
  <c r="AK5" i="4"/>
  <c r="AF16" i="4"/>
  <c r="AI15" i="4"/>
  <c r="AL14" i="4"/>
  <c r="AN6" i="4"/>
  <c r="AB11" i="4"/>
  <c r="AK16" i="4"/>
  <c r="AF15" i="4"/>
  <c r="AD12" i="4"/>
  <c r="V31" i="4" s="1"/>
  <c r="AB12" i="4"/>
  <c r="AF14" i="4"/>
  <c r="AI13" i="4"/>
  <c r="Y25" i="4"/>
  <c r="AN18" i="4"/>
  <c r="AM10" i="4"/>
  <c r="W29" i="4" s="1"/>
  <c r="AN17" i="4"/>
  <c r="AN9" i="4"/>
  <c r="AN16" i="4"/>
  <c r="AN8" i="4"/>
  <c r="AK11" i="4"/>
  <c r="AK18" i="4"/>
  <c r="AK10" i="4"/>
  <c r="AK4" i="4"/>
  <c r="AH13" i="4"/>
  <c r="AG11" i="4"/>
  <c r="Q30" i="4" s="1"/>
  <c r="AH12" i="4"/>
  <c r="AH18" i="4"/>
  <c r="AH10" i="4"/>
  <c r="AH17" i="4"/>
  <c r="AD18" i="4"/>
  <c r="V37" i="4" s="1"/>
  <c r="AD17" i="4"/>
  <c r="V36" i="4" s="1"/>
  <c r="AD16" i="4"/>
  <c r="V35" i="4" s="1"/>
  <c r="AD15" i="4"/>
  <c r="V34" i="4" s="1"/>
  <c r="AD14" i="4"/>
  <c r="V33" i="4" s="1"/>
  <c r="AB16" i="4"/>
  <c r="AA18" i="4"/>
  <c r="S37" i="4" s="1"/>
  <c r="AA17" i="4"/>
  <c r="S36" i="4" s="1"/>
  <c r="X17" i="4"/>
  <c r="P36" i="4" s="1"/>
  <c r="Y18" i="4"/>
  <c r="Y15" i="4"/>
  <c r="X14" i="4"/>
  <c r="P33" i="4" s="1"/>
  <c r="K11" i="4"/>
  <c r="L16" i="4"/>
  <c r="L5" i="4"/>
  <c r="K16" i="4"/>
  <c r="G13" i="4" s="1"/>
  <c r="K5" i="4"/>
  <c r="L15" i="4"/>
  <c r="L10" i="4"/>
  <c r="L9" i="4"/>
  <c r="K4" i="4"/>
  <c r="L14" i="4"/>
  <c r="K9" i="4"/>
  <c r="L13" i="4"/>
  <c r="K8" i="4"/>
  <c r="K14" i="4"/>
  <c r="G11" i="4" s="1"/>
  <c r="K18" i="4"/>
  <c r="G15" i="4" s="1"/>
  <c r="K15" i="4"/>
  <c r="G12" i="4" s="1"/>
  <c r="L4" i="4"/>
  <c r="L8" i="4"/>
  <c r="L18" i="4"/>
  <c r="K13" i="4"/>
  <c r="L7" i="4"/>
  <c r="L12" i="4"/>
  <c r="K7" i="4"/>
  <c r="L17" i="4"/>
  <c r="K12" i="4"/>
  <c r="K17" i="4"/>
  <c r="G14" i="4" s="1"/>
  <c r="L6" i="4"/>
  <c r="G14" i="3"/>
  <c r="H14" i="3"/>
  <c r="F14" i="3"/>
  <c r="I14" i="3"/>
  <c r="I21" i="3"/>
  <c r="G21" i="3"/>
  <c r="F21" i="3"/>
  <c r="G20" i="3"/>
  <c r="I17" i="3"/>
  <c r="I19" i="3"/>
  <c r="G18" i="3"/>
  <c r="I20" i="3"/>
  <c r="H20" i="3"/>
  <c r="F20" i="3"/>
  <c r="I16" i="3"/>
  <c r="G15" i="3"/>
  <c r="F19" i="3"/>
  <c r="G16" i="3"/>
  <c r="I15" i="3"/>
  <c r="H15" i="3"/>
  <c r="F15" i="3"/>
  <c r="G19" i="3"/>
  <c r="G17" i="3"/>
  <c r="H21" i="3"/>
  <c r="F18" i="3"/>
  <c r="Y24" i="4" l="1"/>
  <c r="X24" i="4"/>
  <c r="X26" i="4"/>
  <c r="X29" i="4"/>
  <c r="AH4" i="4"/>
  <c r="AG4" i="4"/>
  <c r="Q23" i="4" s="1"/>
  <c r="AN4" i="4"/>
  <c r="AG8" i="4"/>
  <c r="Q27" i="4" s="1"/>
  <c r="AH8" i="4"/>
  <c r="AH9" i="4"/>
  <c r="AG9" i="4"/>
  <c r="Q28" i="4" s="1"/>
  <c r="AK8" i="4"/>
  <c r="AJ13" i="4"/>
  <c r="T32" i="4" s="1"/>
  <c r="AK13" i="4"/>
  <c r="AH14" i="4"/>
  <c r="AG14" i="4"/>
  <c r="Q33" i="4" s="1"/>
  <c r="AG15" i="4"/>
  <c r="Q34" i="4" s="1"/>
  <c r="AH15" i="4"/>
  <c r="AM14" i="4"/>
  <c r="W33" i="4" s="1"/>
  <c r="AN14" i="4"/>
  <c r="AJ15" i="4"/>
  <c r="T34" i="4" s="1"/>
  <c r="AK15" i="4"/>
  <c r="AG16" i="4"/>
  <c r="Q35" i="4" s="1"/>
  <c r="X35" i="4" s="1"/>
  <c r="AH16" i="4"/>
  <c r="AJ12" i="4"/>
  <c r="T31" i="4" s="1"/>
  <c r="X31" i="4" s="1"/>
  <c r="AM11" i="4"/>
  <c r="W30" i="4" s="1"/>
  <c r="X30" i="4" s="1"/>
  <c r="AN11" i="4"/>
  <c r="Y37" i="4"/>
  <c r="Y36" i="4"/>
  <c r="Y29" i="4"/>
  <c r="X36" i="4"/>
  <c r="X37" i="4"/>
  <c r="H9" i="4"/>
  <c r="H15" i="4"/>
  <c r="H13" i="4"/>
  <c r="H11" i="4"/>
  <c r="H14" i="4"/>
  <c r="H10" i="4"/>
  <c r="H12" i="4"/>
  <c r="O4" i="3" a="1"/>
  <c r="O4" i="3" s="1"/>
  <c r="J15" i="3" s="1"/>
  <c r="O5" i="3" a="1"/>
  <c r="O5" i="3" s="1"/>
  <c r="J16" i="3" s="1"/>
  <c r="O6" i="3" a="1"/>
  <c r="O6" i="3" s="1"/>
  <c r="J17" i="3" s="1"/>
  <c r="O7" i="3" a="1"/>
  <c r="O7" i="3" s="1"/>
  <c r="J18" i="3" s="1"/>
  <c r="O8" i="3" a="1"/>
  <c r="O8" i="3" s="1"/>
  <c r="J19" i="3" s="1"/>
  <c r="O9" i="3" a="1"/>
  <c r="O9" i="3" s="1"/>
  <c r="J20" i="3" s="1"/>
  <c r="O10" i="3" a="1"/>
  <c r="O10" i="3" s="1"/>
  <c r="J21" i="3" s="1"/>
  <c r="O3" i="3" a="1"/>
  <c r="O3" i="3" s="1"/>
  <c r="Y30" i="4" l="1"/>
  <c r="Y34" i="4"/>
  <c r="X33" i="4"/>
  <c r="Y33" i="4"/>
  <c r="X32" i="4"/>
  <c r="Y32" i="4"/>
  <c r="X28" i="4"/>
  <c r="Y28" i="4"/>
  <c r="X27" i="4"/>
  <c r="Y27" i="4"/>
  <c r="X23" i="4"/>
  <c r="Y23" i="4"/>
  <c r="X34" i="4"/>
  <c r="Y31" i="4"/>
  <c r="Y35" i="4"/>
  <c r="B26" i="3"/>
  <c r="P8" i="3"/>
  <c r="J14" i="3"/>
  <c r="AI67" i="2"/>
  <c r="AI68" i="2"/>
  <c r="AI69" i="2"/>
  <c r="AI70" i="2"/>
  <c r="AI71" i="2"/>
  <c r="AI72" i="2"/>
  <c r="AI73" i="2"/>
  <c r="AI66" i="2"/>
  <c r="AI59" i="2"/>
  <c r="AI60" i="2"/>
  <c r="AI61" i="2"/>
  <c r="AI62" i="2"/>
  <c r="AI63" i="2"/>
  <c r="AI64" i="2"/>
  <c r="AI65" i="2"/>
  <c r="AI58" i="2"/>
  <c r="AI51" i="2"/>
  <c r="AI52" i="2"/>
  <c r="AI53" i="2"/>
  <c r="AI54" i="2"/>
  <c r="AI55" i="2"/>
  <c r="AI56" i="2"/>
  <c r="AI57" i="2"/>
  <c r="AI50" i="2"/>
  <c r="AI43" i="2"/>
  <c r="AI44" i="2"/>
  <c r="AI45" i="2"/>
  <c r="AI46" i="2"/>
  <c r="AI47" i="2"/>
  <c r="AI48" i="2"/>
  <c r="AI49" i="2"/>
  <c r="AI42" i="2"/>
  <c r="AI35" i="2"/>
  <c r="AI36" i="2"/>
  <c r="AI37" i="2"/>
  <c r="AI38" i="2"/>
  <c r="AI39" i="2"/>
  <c r="AI40" i="2"/>
  <c r="AI41" i="2"/>
  <c r="AI34" i="2"/>
  <c r="AI27" i="2"/>
  <c r="AI28" i="2"/>
  <c r="AI29" i="2"/>
  <c r="AI30" i="2"/>
  <c r="AI31" i="2"/>
  <c r="AI32" i="2"/>
  <c r="AI33" i="2"/>
  <c r="AI26" i="2"/>
  <c r="AI19" i="2"/>
  <c r="AI20" i="2"/>
  <c r="AI21" i="2"/>
  <c r="AI22" i="2"/>
  <c r="AI23" i="2"/>
  <c r="AI24" i="2"/>
  <c r="AI25" i="2"/>
  <c r="AI18" i="2"/>
  <c r="AI11" i="2"/>
  <c r="AI12" i="2"/>
  <c r="AI13" i="2"/>
  <c r="AI14" i="2"/>
  <c r="AI15" i="2"/>
  <c r="AI16" i="2"/>
  <c r="AI17" i="2"/>
  <c r="AI10" i="2"/>
  <c r="AI3" i="2"/>
  <c r="AI4" i="2"/>
  <c r="AI5" i="2"/>
  <c r="AI6" i="2"/>
  <c r="AI7" i="2"/>
  <c r="AI8" i="2"/>
  <c r="AI9" i="2"/>
  <c r="AI2" i="2"/>
  <c r="G24" i="3" l="1"/>
  <c r="H24" i="3"/>
  <c r="I24" i="3"/>
  <c r="C24" i="3"/>
  <c r="F24" i="3"/>
  <c r="E24" i="3"/>
  <c r="D24" i="3"/>
  <c r="L41" i="1"/>
  <c r="L31" i="1"/>
  <c r="L32" i="1"/>
  <c r="L33" i="1"/>
  <c r="L34" i="1"/>
  <c r="L35" i="1"/>
  <c r="L36" i="1"/>
  <c r="L37" i="1"/>
  <c r="L30" i="1"/>
  <c r="M14" i="3" l="1"/>
  <c r="D26" i="3"/>
  <c r="M15" i="3"/>
  <c r="E26" i="3"/>
  <c r="M16" i="3"/>
  <c r="F26" i="3"/>
  <c r="M13" i="3"/>
  <c r="C26" i="3"/>
  <c r="M19" i="3"/>
  <c r="I26" i="3"/>
  <c r="M18" i="3"/>
  <c r="H26" i="3"/>
  <c r="M17" i="3"/>
  <c r="Q2" i="3"/>
  <c r="Q4" i="3" s="1"/>
  <c r="G26" i="3"/>
  <c r="I79" i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8" i="1"/>
  <c r="I19" i="1"/>
  <c r="I20" i="1"/>
  <c r="I21" i="1"/>
  <c r="AG21" i="2"/>
  <c r="AG20" i="2"/>
  <c r="AG19" i="2"/>
  <c r="AG18" i="2"/>
  <c r="AG17" i="2"/>
  <c r="AG16" i="2"/>
  <c r="AG15" i="2"/>
  <c r="AG14" i="2"/>
  <c r="L20" i="2"/>
  <c r="M19" i="2"/>
  <c r="M18" i="2"/>
  <c r="L18" i="2"/>
  <c r="L16" i="2"/>
  <c r="M15" i="2"/>
  <c r="M14" i="2"/>
  <c r="L14" i="2"/>
  <c r="R18" i="3" l="1"/>
  <c r="N18" i="3"/>
  <c r="S18" i="3"/>
  <c r="R16" i="3"/>
  <c r="N16" i="3"/>
  <c r="S16" i="3"/>
  <c r="R15" i="3"/>
  <c r="N15" i="3"/>
  <c r="S15" i="3"/>
  <c r="R17" i="3"/>
  <c r="N17" i="3"/>
  <c r="S17" i="3"/>
  <c r="R19" i="3"/>
  <c r="S19" i="3"/>
  <c r="N19" i="3"/>
  <c r="E30" i="3"/>
  <c r="S13" i="3"/>
  <c r="N13" i="3"/>
  <c r="R13" i="3"/>
  <c r="R14" i="3"/>
  <c r="N14" i="3"/>
  <c r="S14" i="3"/>
  <c r="K14" i="1"/>
  <c r="K16" i="1" s="1"/>
  <c r="L14" i="1"/>
  <c r="L16" i="1" s="1"/>
  <c r="M14" i="1"/>
  <c r="M16" i="1" s="1"/>
  <c r="Z10" i="1"/>
  <c r="AC4" i="1" s="1"/>
  <c r="Z11" i="1"/>
  <c r="U8" i="1"/>
  <c r="V8" i="1"/>
  <c r="V9" i="1"/>
  <c r="U9" i="1"/>
  <c r="V7" i="1"/>
  <c r="U7" i="1"/>
  <c r="V6" i="1"/>
  <c r="U6" i="1"/>
  <c r="AC6" i="1" l="1"/>
  <c r="AC3" i="1"/>
  <c r="AC9" i="1"/>
  <c r="AC8" i="1"/>
  <c r="AC7" i="1"/>
  <c r="AC5" i="1"/>
  <c r="V5" i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K31" i="1" s="1"/>
  <c r="O5" i="1"/>
  <c r="K32" i="1" s="1"/>
  <c r="O6" i="1"/>
  <c r="K33" i="1" s="1"/>
  <c r="O7" i="1"/>
  <c r="K34" i="1" s="1"/>
  <c r="O8" i="1"/>
  <c r="K35" i="1" s="1"/>
  <c r="O9" i="1"/>
  <c r="K36" i="1" s="1"/>
  <c r="O10" i="1"/>
  <c r="K37" i="1" s="1"/>
  <c r="O3" i="1"/>
  <c r="K30" i="1" s="1"/>
  <c r="Q2" i="1" l="1"/>
  <c r="Q4" i="1" s="1"/>
  <c r="Q6" i="1" s="1"/>
  <c r="L19" i="1"/>
  <c r="L18" i="1"/>
  <c r="P6" i="1"/>
  <c r="N4" i="1"/>
  <c r="N5" i="1"/>
  <c r="N6" i="1"/>
  <c r="N7" i="1"/>
  <c r="N8" i="1"/>
  <c r="N9" i="1"/>
  <c r="N10" i="1"/>
  <c r="N3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M8" i="2"/>
  <c r="M7" i="2"/>
  <c r="M4" i="2"/>
  <c r="M3" i="2"/>
  <c r="L9" i="2"/>
  <c r="L7" i="2"/>
  <c r="L5" i="2"/>
  <c r="L3" i="2"/>
  <c r="I3" i="2"/>
  <c r="D3" i="2"/>
  <c r="H3" i="2" s="1"/>
  <c r="D2" i="2"/>
  <c r="G3" i="2" s="1"/>
  <c r="T17" i="1" l="1" a="1"/>
  <c r="T17" i="1" s="1"/>
  <c r="AL9" i="1"/>
  <c r="AL17" i="1" s="1"/>
  <c r="AL25" i="1" s="1"/>
  <c r="AL33" i="1" s="1"/>
  <c r="AL41" i="1" s="1"/>
  <c r="AL49" i="1" s="1"/>
  <c r="AL57" i="1" s="1"/>
  <c r="AL65" i="1" s="1"/>
  <c r="AL73" i="1" s="1"/>
  <c r="T12" i="1" a="1"/>
  <c r="T12" i="1" s="1"/>
  <c r="AL4" i="1"/>
  <c r="AL12" i="1" s="1"/>
  <c r="AL20" i="1" s="1"/>
  <c r="AL28" i="1" s="1"/>
  <c r="AL36" i="1" s="1"/>
  <c r="AL44" i="1" s="1"/>
  <c r="AL52" i="1" s="1"/>
  <c r="AL60" i="1" s="1"/>
  <c r="AL68" i="1" s="1"/>
  <c r="T11" i="1" a="1"/>
  <c r="T11" i="1" s="1"/>
  <c r="AL3" i="1"/>
  <c r="AL11" i="1" s="1"/>
  <c r="AL19" i="1" s="1"/>
  <c r="AL27" i="1" s="1"/>
  <c r="AL35" i="1" s="1"/>
  <c r="AL43" i="1" s="1"/>
  <c r="AL51" i="1" s="1"/>
  <c r="AL59" i="1" s="1"/>
  <c r="AL67" i="1" s="1"/>
  <c r="T10" i="1" a="1"/>
  <c r="T10" i="1" s="1"/>
  <c r="AL2" i="1"/>
  <c r="AL10" i="1" s="1"/>
  <c r="AL18" i="1" s="1"/>
  <c r="AL26" i="1" s="1"/>
  <c r="AL34" i="1" s="1"/>
  <c r="AL42" i="1" s="1"/>
  <c r="AL50" i="1" s="1"/>
  <c r="AL58" i="1" s="1"/>
  <c r="AL66" i="1" s="1"/>
  <c r="T14" i="1" a="1"/>
  <c r="T14" i="1" s="1"/>
  <c r="AL6" i="1"/>
  <c r="AL14" i="1" s="1"/>
  <c r="AL22" i="1" s="1"/>
  <c r="AL30" i="1" s="1"/>
  <c r="AL38" i="1" s="1"/>
  <c r="AL46" i="1" s="1"/>
  <c r="AL54" i="1" s="1"/>
  <c r="AL62" i="1" s="1"/>
  <c r="AL70" i="1" s="1"/>
  <c r="T16" i="1" a="1"/>
  <c r="T16" i="1" s="1"/>
  <c r="AL8" i="1"/>
  <c r="AL16" i="1" s="1"/>
  <c r="AL24" i="1" s="1"/>
  <c r="AL32" i="1" s="1"/>
  <c r="AL40" i="1" s="1"/>
  <c r="AL48" i="1" s="1"/>
  <c r="AL56" i="1" s="1"/>
  <c r="AL64" i="1" s="1"/>
  <c r="AL72" i="1" s="1"/>
  <c r="T15" i="1" a="1"/>
  <c r="T15" i="1" s="1"/>
  <c r="AL7" i="1"/>
  <c r="AL15" i="1" s="1"/>
  <c r="AL23" i="1" s="1"/>
  <c r="AL31" i="1" s="1"/>
  <c r="AL39" i="1" s="1"/>
  <c r="AL47" i="1" s="1"/>
  <c r="AL55" i="1" s="1"/>
  <c r="AL63" i="1" s="1"/>
  <c r="AL71" i="1" s="1"/>
  <c r="T13" i="1" a="1"/>
  <c r="T13" i="1" s="1"/>
  <c r="AL5" i="1"/>
  <c r="AL13" i="1" s="1"/>
  <c r="AL21" i="1" s="1"/>
  <c r="AL29" i="1" s="1"/>
  <c r="AL37" i="1" s="1"/>
  <c r="AL45" i="1" s="1"/>
  <c r="AL53" i="1" s="1"/>
  <c r="AL61" i="1" s="1"/>
  <c r="AL69" i="1" s="1"/>
  <c r="K39" i="1"/>
  <c r="L39" i="1"/>
  <c r="Z22" i="1"/>
  <c r="Q14" i="1"/>
  <c r="Q16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20" i="1"/>
  <c r="F3" i="2"/>
  <c r="AC16" i="1" l="1"/>
  <c r="T18" i="1"/>
  <c r="Y10" i="1" s="1"/>
  <c r="AA10" i="1" s="1"/>
  <c r="AC18" i="1"/>
  <c r="AC17" i="1"/>
  <c r="K41" i="1"/>
  <c r="M41" i="1" s="1"/>
  <c r="T7" i="1"/>
  <c r="T8" i="1"/>
  <c r="Y8" i="1" s="1"/>
  <c r="AA8" i="1" s="1"/>
  <c r="T6" i="1"/>
  <c r="T9" i="1"/>
  <c r="Y9" i="1" s="1"/>
  <c r="AA9" i="1" s="1"/>
  <c r="L24" i="1"/>
  <c r="Q24" i="1" s="1"/>
  <c r="T5" i="1"/>
  <c r="T3" i="1"/>
  <c r="Y16" i="1" s="1"/>
  <c r="AA16" i="1" s="1"/>
  <c r="T4" i="1"/>
  <c r="O16" i="1"/>
  <c r="AK17" i="1" s="1"/>
  <c r="AM17" i="1" s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AK51" i="1" l="1"/>
  <c r="AM51" i="1" s="1"/>
  <c r="AK10" i="1"/>
  <c r="AM10" i="1" s="1"/>
  <c r="AK42" i="1"/>
  <c r="AM42" i="1" s="1"/>
  <c r="AK25" i="1"/>
  <c r="AM25" i="1" s="1"/>
  <c r="AK19" i="1"/>
  <c r="AM19" i="1" s="1"/>
  <c r="AK69" i="1"/>
  <c r="AM69" i="1" s="1"/>
  <c r="AK34" i="1"/>
  <c r="AM34" i="1" s="1"/>
  <c r="AK37" i="1"/>
  <c r="AM37" i="1" s="1"/>
  <c r="AK73" i="1"/>
  <c r="AM73" i="1" s="1"/>
  <c r="AK39" i="1"/>
  <c r="AM39" i="1" s="1"/>
  <c r="AK5" i="1"/>
  <c r="AM5" i="1" s="1"/>
  <c r="AK27" i="1"/>
  <c r="AM27" i="1" s="1"/>
  <c r="AK18" i="1"/>
  <c r="AM18" i="1" s="1"/>
  <c r="AK67" i="1"/>
  <c r="AM67" i="1" s="1"/>
  <c r="AK22" i="1"/>
  <c r="AM22" i="1" s="1"/>
  <c r="AK11" i="1"/>
  <c r="AM11" i="1" s="1"/>
  <c r="AN39" i="1" s="1"/>
  <c r="AK2" i="1"/>
  <c r="AM2" i="1" s="1"/>
  <c r="AK8" i="1"/>
  <c r="AM8" i="1" s="1"/>
  <c r="AK72" i="1"/>
  <c r="AM72" i="1" s="1"/>
  <c r="AK60" i="1"/>
  <c r="AM60" i="1" s="1"/>
  <c r="AK41" i="1"/>
  <c r="AM41" i="1" s="1"/>
  <c r="AK49" i="1"/>
  <c r="AM49" i="1" s="1"/>
  <c r="AK58" i="1"/>
  <c r="AM58" i="1" s="1"/>
  <c r="AK35" i="1"/>
  <c r="AM35" i="1" s="1"/>
  <c r="AK44" i="1"/>
  <c r="AM44" i="1" s="1"/>
  <c r="AK48" i="1"/>
  <c r="AM48" i="1" s="1"/>
  <c r="AK38" i="1"/>
  <c r="AM38" i="1" s="1"/>
  <c r="AK70" i="1"/>
  <c r="AM70" i="1" s="1"/>
  <c r="AK50" i="1"/>
  <c r="AM50" i="1" s="1"/>
  <c r="AK7" i="1"/>
  <c r="AM7" i="1" s="1"/>
  <c r="AK13" i="1"/>
  <c r="AM13" i="1" s="1"/>
  <c r="AN13" i="1" s="1"/>
  <c r="AK55" i="1"/>
  <c r="AM55" i="1" s="1"/>
  <c r="AK47" i="1"/>
  <c r="AM47" i="1" s="1"/>
  <c r="AK16" i="1"/>
  <c r="AM16" i="1" s="1"/>
  <c r="AK57" i="1"/>
  <c r="AM57" i="1" s="1"/>
  <c r="AK24" i="1"/>
  <c r="AM24" i="1" s="1"/>
  <c r="AK68" i="1"/>
  <c r="AM68" i="1" s="1"/>
  <c r="AK6" i="1"/>
  <c r="AM6" i="1" s="1"/>
  <c r="AK32" i="1"/>
  <c r="AM32" i="1" s="1"/>
  <c r="AK26" i="1"/>
  <c r="AM26" i="1" s="1"/>
  <c r="AK36" i="1"/>
  <c r="AM36" i="1" s="1"/>
  <c r="AK65" i="1"/>
  <c r="AM65" i="1" s="1"/>
  <c r="AK4" i="1"/>
  <c r="AM4" i="1" s="1"/>
  <c r="AK28" i="1"/>
  <c r="AM28" i="1" s="1"/>
  <c r="AK40" i="1"/>
  <c r="AM40" i="1" s="1"/>
  <c r="AK14" i="1"/>
  <c r="AM14" i="1" s="1"/>
  <c r="AK43" i="1"/>
  <c r="AM43" i="1" s="1"/>
  <c r="AK12" i="1"/>
  <c r="AM12" i="1" s="1"/>
  <c r="AK30" i="1"/>
  <c r="AM30" i="1" s="1"/>
  <c r="AK15" i="1"/>
  <c r="AM15" i="1" s="1"/>
  <c r="AK56" i="1"/>
  <c r="AM56" i="1" s="1"/>
  <c r="AK63" i="1"/>
  <c r="AM63" i="1" s="1"/>
  <c r="AK21" i="1"/>
  <c r="AM21" i="1" s="1"/>
  <c r="AK33" i="1"/>
  <c r="AM33" i="1" s="1"/>
  <c r="AK53" i="1"/>
  <c r="AM53" i="1" s="1"/>
  <c r="AK45" i="1"/>
  <c r="AM45" i="1" s="1"/>
  <c r="AK3" i="1"/>
  <c r="AM3" i="1" s="1"/>
  <c r="AK62" i="1"/>
  <c r="AM62" i="1" s="1"/>
  <c r="AK54" i="1"/>
  <c r="AM54" i="1" s="1"/>
  <c r="AK29" i="1"/>
  <c r="AM29" i="1" s="1"/>
  <c r="AN29" i="1" s="1"/>
  <c r="AK31" i="1"/>
  <c r="AM31" i="1" s="1"/>
  <c r="AK9" i="1"/>
  <c r="AM9" i="1" s="1"/>
  <c r="AK64" i="1"/>
  <c r="AM64" i="1" s="1"/>
  <c r="AK23" i="1"/>
  <c r="AM23" i="1" s="1"/>
  <c r="AK46" i="1"/>
  <c r="AM46" i="1" s="1"/>
  <c r="AK61" i="1"/>
  <c r="AM61" i="1" s="1"/>
  <c r="AK59" i="1"/>
  <c r="AM59" i="1" s="1"/>
  <c r="AK66" i="1"/>
  <c r="AM66" i="1" s="1"/>
  <c r="AK71" i="1"/>
  <c r="AM71" i="1" s="1"/>
  <c r="AK20" i="1"/>
  <c r="AM20" i="1" s="1"/>
  <c r="AK52" i="1"/>
  <c r="AM52" i="1" s="1"/>
  <c r="Y5" i="1"/>
  <c r="AA5" i="1" s="1"/>
  <c r="AB5" i="1" s="1"/>
  <c r="Y7" i="1"/>
  <c r="AA7" i="1" s="1"/>
  <c r="AB7" i="1" s="1"/>
  <c r="AA21" i="1"/>
  <c r="AB8" i="1"/>
  <c r="Y4" i="1"/>
  <c r="AA4" i="1" s="1"/>
  <c r="AB4" i="1" s="1"/>
  <c r="Y17" i="1"/>
  <c r="Y6" i="1"/>
  <c r="AA6" i="1" s="1"/>
  <c r="AB6" i="1" s="1"/>
  <c r="Y18" i="1"/>
  <c r="AA18" i="1" s="1"/>
  <c r="AB9" i="1"/>
  <c r="M24" i="1"/>
  <c r="N24" i="1" s="1"/>
  <c r="R24" i="1"/>
  <c r="U18" i="1"/>
  <c r="Y22" i="1" s="1"/>
  <c r="Y3" i="1"/>
  <c r="M21" i="1"/>
  <c r="N21" i="1" s="1"/>
  <c r="Q21" i="1"/>
  <c r="R21" i="1"/>
  <c r="AN43" i="1" l="1"/>
  <c r="AN22" i="1"/>
  <c r="AN67" i="1"/>
  <c r="AN12" i="1"/>
  <c r="AN27" i="1"/>
  <c r="AN14" i="1"/>
  <c r="AN46" i="1"/>
  <c r="AN31" i="1"/>
  <c r="AM75" i="1"/>
  <c r="AN48" i="1"/>
  <c r="AN20" i="1"/>
  <c r="AN64" i="1"/>
  <c r="AN71" i="1"/>
  <c r="AN55" i="1"/>
  <c r="AN23" i="1"/>
  <c r="AN8" i="1"/>
  <c r="AN61" i="1"/>
  <c r="AN35" i="1"/>
  <c r="AN58" i="1"/>
  <c r="AM74" i="1"/>
  <c r="AN24" i="1"/>
  <c r="AN52" i="1"/>
  <c r="AN5" i="1"/>
  <c r="AN36" i="1"/>
  <c r="AN11" i="1"/>
  <c r="AN37" i="1"/>
  <c r="AN47" i="1"/>
  <c r="AN51" i="1"/>
  <c r="AO51" i="1" s="1"/>
  <c r="AN68" i="1"/>
  <c r="AO68" i="1" s="1"/>
  <c r="AN16" i="1"/>
  <c r="AO16" i="1" s="1"/>
  <c r="AN7" i="1"/>
  <c r="AO7" i="1" s="1"/>
  <c r="AN49" i="1"/>
  <c r="AN41" i="1"/>
  <c r="AN54" i="1"/>
  <c r="AN38" i="1"/>
  <c r="AN65" i="1"/>
  <c r="AN59" i="1"/>
  <c r="AO59" i="1" s="1"/>
  <c r="AN66" i="1"/>
  <c r="AN57" i="1"/>
  <c r="AN62" i="1"/>
  <c r="AN25" i="1"/>
  <c r="AO25" i="1" s="1"/>
  <c r="AN33" i="1"/>
  <c r="AN73" i="1"/>
  <c r="AO73" i="1" s="1"/>
  <c r="AN10" i="1"/>
  <c r="AO10" i="1" s="1"/>
  <c r="AN34" i="1"/>
  <c r="AO34" i="1" s="1"/>
  <c r="AN40" i="1"/>
  <c r="AO40" i="1" s="1"/>
  <c r="AN69" i="1"/>
  <c r="AO69" i="1" s="1"/>
  <c r="AN45" i="1"/>
  <c r="AN6" i="1"/>
  <c r="AN44" i="1"/>
  <c r="AN60" i="1"/>
  <c r="AN4" i="1"/>
  <c r="AO4" i="1" s="1"/>
  <c r="AN26" i="1"/>
  <c r="AO26" i="1" s="1"/>
  <c r="AN70" i="1"/>
  <c r="AN50" i="1"/>
  <c r="AO50" i="1" s="1"/>
  <c r="AN2" i="1"/>
  <c r="AO2" i="1" s="1"/>
  <c r="AN18" i="1"/>
  <c r="AN42" i="1"/>
  <c r="AO42" i="1" s="1"/>
  <c r="AN30" i="1"/>
  <c r="AO30" i="1" s="1"/>
  <c r="AN28" i="1"/>
  <c r="AO28" i="1" s="1"/>
  <c r="AN9" i="1"/>
  <c r="AO9" i="1" s="1"/>
  <c r="AN32" i="1"/>
  <c r="AO32" i="1" s="1"/>
  <c r="AN63" i="1"/>
  <c r="AO63" i="1" s="1"/>
  <c r="AN19" i="1"/>
  <c r="AN15" i="1"/>
  <c r="AN17" i="1"/>
  <c r="AN21" i="1"/>
  <c r="AO21" i="1" s="1"/>
  <c r="AN72" i="1"/>
  <c r="AO72" i="1" s="1"/>
  <c r="AN3" i="1"/>
  <c r="AO3" i="1" s="1"/>
  <c r="AN56" i="1"/>
  <c r="AN53" i="1"/>
  <c r="AO53" i="1" s="1"/>
  <c r="AB16" i="1"/>
  <c r="AO15" i="1"/>
  <c r="AO38" i="1"/>
  <c r="AO43" i="1"/>
  <c r="AO66" i="1"/>
  <c r="AO57" i="1"/>
  <c r="AO6" i="1"/>
  <c r="AO22" i="1"/>
  <c r="AO55" i="1"/>
  <c r="AO39" i="1"/>
  <c r="AO29" i="1"/>
  <c r="AO47" i="1"/>
  <c r="AO27" i="1"/>
  <c r="AO23" i="1"/>
  <c r="AO58" i="1"/>
  <c r="AO56" i="1"/>
  <c r="AO54" i="1"/>
  <c r="AO8" i="1"/>
  <c r="AO33" i="1"/>
  <c r="AO62" i="1"/>
  <c r="AO70" i="1"/>
  <c r="AO18" i="1"/>
  <c r="AO45" i="1"/>
  <c r="AO5" i="1"/>
  <c r="AO17" i="1"/>
  <c r="AO36" i="1"/>
  <c r="AO64" i="1"/>
  <c r="AO46" i="1"/>
  <c r="AO12" i="1"/>
  <c r="AO65" i="1"/>
  <c r="AO49" i="1"/>
  <c r="AO35" i="1"/>
  <c r="AO13" i="1"/>
  <c r="AO61" i="1"/>
  <c r="AO14" i="1"/>
  <c r="AB18" i="1"/>
  <c r="AO11" i="1"/>
  <c r="AO67" i="1"/>
  <c r="AO41" i="1"/>
  <c r="AO44" i="1"/>
  <c r="AO48" i="1"/>
  <c r="AO19" i="1"/>
  <c r="AO31" i="1"/>
  <c r="AO71" i="1"/>
  <c r="AO20" i="1"/>
  <c r="AO24" i="1"/>
  <c r="AO37" i="1"/>
  <c r="AO52" i="1"/>
  <c r="AO60" i="1"/>
  <c r="AA17" i="1"/>
  <c r="AB17" i="1" s="1"/>
  <c r="AA3" i="1"/>
  <c r="AB3" i="1" s="1"/>
  <c r="Y11" i="1"/>
  <c r="Y24" i="1" l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<sst xmlns="http://schemas.openxmlformats.org/spreadsheetml/2006/main" count="684" uniqueCount="228">
  <si>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</si>
  <si>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</si>
  <si>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</si>
  <si>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</si>
  <si>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</si>
  <si>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</si>
  <si>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</si>
  <si>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</si>
  <si>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</si>
  <si>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</si>
  <si>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</si>
  <si>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</si>
  <si>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</si>
  <si>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</si>
  <si>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</si>
  <si>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</si>
  <si>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</si>
  <si>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</si>
  <si>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</si>
  <si>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</si>
  <si>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</si>
  <si>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</si>
  <si>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</si>
  <si>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</si>
  <si>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</si>
  <si>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</si>
  <si>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</si>
  <si>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</si>
  <si>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</si>
  <si>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</si>
  <si>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</si>
  <si>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</si>
  <si>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</si>
  <si>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</si>
  <si>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</si>
  <si>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</si>
  <si>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</si>
  <si>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</si>
  <si>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</si>
  <si>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</si>
  <si>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</si>
  <si>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</si>
  <si>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</si>
  <si>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</si>
  <si>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</si>
  <si>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</si>
  <si>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</si>
  <si>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</si>
  <si>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</si>
  <si>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</si>
  <si>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</si>
  <si>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</si>
  <si>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</si>
  <si>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</si>
  <si>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</si>
  <si>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</si>
  <si>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</si>
  <si>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</si>
  <si>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</si>
  <si>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</si>
  <si>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</si>
  <si>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</si>
  <si>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</si>
  <si>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</si>
  <si>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</si>
  <si>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</si>
  <si>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</si>
  <si>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</si>
  <si>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</si>
  <si>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</si>
  <si>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</si>
  <si>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</si>
  <si>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</si>
  <si>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</si>
  <si>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</si>
  <si>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</si>
  <si>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</si>
  <si>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</si>
  <si>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</si>
  <si>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</si>
  <si>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</si>
  <si>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</si>
  <si>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</si>
  <si>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</si>
  <si>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</si>
  <si>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</si>
  <si>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</si>
  <si>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</si>
  <si>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</si>
  <si>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</si>
  <si>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</si>
  <si>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</si>
  <si>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</si>
  <si>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</si>
  <si>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</si>
  <si>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</si>
  <si>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</si>
  <si>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</si>
  <si>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</si>
  <si>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</si>
  <si>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</si>
  <si>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</si>
  <si>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</si>
  <si>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</si>
  <si>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</si>
  <si>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</si>
  <si>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</si>
  <si>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y</t>
  </si>
  <si>
    <t>y_hat</t>
    <phoneticPr fontId="1" type="noConversion"/>
  </si>
  <si>
    <t>e_ij</t>
    <phoneticPr fontId="1" type="noConversion"/>
  </si>
  <si>
    <t>e_average</t>
    <phoneticPr fontId="1" type="noConversion"/>
  </si>
  <si>
    <t>e_std</t>
    <phoneticPr fontId="1" type="noConversion"/>
  </si>
  <si>
    <t>percentile</t>
    <phoneticPr fontId="1" type="noConversion"/>
  </si>
  <si>
    <t>norm.inv</t>
    <phoneticPr fontId="1" type="noConversion"/>
  </si>
  <si>
    <t>order</t>
  </si>
  <si>
    <t>order</t>
    <phoneticPr fontId="1" type="noConversion"/>
  </si>
  <si>
    <t>SN</t>
    <phoneticPr fontId="1" type="noConversion"/>
  </si>
  <si>
    <t>SN_mean</t>
    <phoneticPr fontId="1" type="noConversion"/>
  </si>
  <si>
    <t>effect</t>
    <phoneticPr fontId="1" type="noConversion"/>
  </si>
  <si>
    <t>t_3,0.025</t>
    <phoneticPr fontId="1" type="noConversion"/>
  </si>
  <si>
    <t>t_3,0.975</t>
    <phoneticPr fontId="1" type="noConversion"/>
  </si>
  <si>
    <t>SN_hat</t>
    <phoneticPr fontId="1" type="noConversion"/>
  </si>
  <si>
    <t>x1</t>
  </si>
  <si>
    <t>x2</t>
  </si>
  <si>
    <t>x3</t>
  </si>
  <si>
    <t>test</t>
  </si>
  <si>
    <t>height</t>
    <phoneticPr fontId="1" type="noConversion"/>
  </si>
  <si>
    <t>width</t>
    <phoneticPr fontId="1" type="noConversion"/>
  </si>
  <si>
    <t>leg length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</si>
  <si>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</si>
  <si>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</si>
  <si>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</si>
  <si>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</si>
  <si>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</si>
  <si>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</si>
  <si>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</si>
  <si>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</si>
  <si>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</si>
  <si>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</si>
  <si>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</si>
  <si>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</si>
  <si>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</si>
  <si>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</si>
  <si>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</si>
  <si>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</si>
  <si>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</si>
  <si>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</si>
  <si>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</si>
  <si>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</si>
  <si>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</si>
  <si>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</si>
  <si>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</si>
  <si>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</si>
  <si>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x1x2</t>
  </si>
  <si>
    <t>x2x3</t>
  </si>
  <si>
    <t>x1x3</t>
  </si>
  <si>
    <t>x1x2x3</t>
  </si>
  <si>
    <t>number</t>
  </si>
  <si>
    <t>number</t>
    <phoneticPr fontId="1" type="noConversion"/>
  </si>
  <si>
    <t>result</t>
    <phoneticPr fontId="1" type="noConversion"/>
  </si>
  <si>
    <t>run2</t>
  </si>
  <si>
    <t>run3</t>
  </si>
  <si>
    <t>replication1</t>
    <phoneticPr fontId="1" type="noConversion"/>
  </si>
  <si>
    <t>replication2</t>
  </si>
  <si>
    <t>replication3</t>
  </si>
  <si>
    <t>replication2</t>
    <phoneticPr fontId="1" type="noConversion"/>
  </si>
  <si>
    <t>replication3</t>
    <phoneticPr fontId="1" type="noConversion"/>
  </si>
  <si>
    <t xml:space="preserve"> order</t>
    <phoneticPr fontId="1" type="noConversion"/>
  </si>
  <si>
    <t>10--1</t>
    <phoneticPr fontId="1" type="noConversion"/>
  </si>
  <si>
    <t>13--3</t>
    <phoneticPr fontId="1" type="noConversion"/>
  </si>
  <si>
    <t>13--2</t>
    <phoneticPr fontId="1" type="noConversion"/>
  </si>
  <si>
    <t>13--1</t>
    <phoneticPr fontId="1" type="noConversion"/>
  </si>
  <si>
    <t>12--3</t>
    <phoneticPr fontId="1" type="noConversion"/>
  </si>
  <si>
    <t>9--3</t>
    <phoneticPr fontId="1" type="noConversion"/>
  </si>
  <si>
    <t>11--2</t>
    <phoneticPr fontId="1" type="noConversion"/>
  </si>
  <si>
    <t>15--2</t>
    <phoneticPr fontId="1" type="noConversion"/>
  </si>
  <si>
    <t>9--1</t>
    <phoneticPr fontId="1" type="noConversion"/>
  </si>
  <si>
    <t>11--1</t>
    <phoneticPr fontId="1" type="noConversion"/>
  </si>
  <si>
    <t>12--1</t>
    <phoneticPr fontId="1" type="noConversion"/>
  </si>
  <si>
    <t>14--1</t>
    <phoneticPr fontId="1" type="noConversion"/>
  </si>
  <si>
    <t>15--1</t>
    <phoneticPr fontId="1" type="noConversion"/>
  </si>
  <si>
    <t>9--2</t>
    <phoneticPr fontId="1" type="noConversion"/>
  </si>
  <si>
    <t>10--2</t>
    <phoneticPr fontId="1" type="noConversion"/>
  </si>
  <si>
    <t>12--2</t>
    <phoneticPr fontId="1" type="noConversion"/>
  </si>
  <si>
    <t>14--2</t>
    <phoneticPr fontId="1" type="noConversion"/>
  </si>
  <si>
    <t>10--3</t>
    <phoneticPr fontId="1" type="noConversion"/>
  </si>
  <si>
    <t>11--3</t>
    <phoneticPr fontId="1" type="noConversion"/>
  </si>
  <si>
    <t>14--3</t>
    <phoneticPr fontId="1" type="noConversion"/>
  </si>
  <si>
    <t>15--3</t>
    <phoneticPr fontId="1" type="noConversion"/>
  </si>
  <si>
    <t>11--1</t>
  </si>
  <si>
    <t>6--1</t>
  </si>
  <si>
    <t>6--3</t>
  </si>
  <si>
    <t>5--1</t>
  </si>
  <si>
    <t>5--2</t>
  </si>
  <si>
    <t>5--3</t>
  </si>
  <si>
    <t>var</t>
    <phoneticPr fontId="1" type="noConversion"/>
  </si>
  <si>
    <t>6--2</t>
  </si>
  <si>
    <t>1--1</t>
  </si>
  <si>
    <t>1--2</t>
  </si>
  <si>
    <t>1--3</t>
  </si>
  <si>
    <t>run1</t>
  </si>
  <si>
    <t>paper height(mm)</t>
  </si>
  <si>
    <t>width-height ratio</t>
  </si>
  <si>
    <t>leg length(mm)</t>
  </si>
  <si>
    <t>replication1</t>
  </si>
  <si>
    <t>2--1</t>
  </si>
  <si>
    <t>2--2</t>
  </si>
  <si>
    <t>2--3</t>
  </si>
  <si>
    <t>3--1</t>
  </si>
  <si>
    <t>3--2</t>
  </si>
  <si>
    <t>3--3</t>
  </si>
  <si>
    <t>4--1</t>
  </si>
  <si>
    <t>4--2</t>
  </si>
  <si>
    <t>4--3</t>
  </si>
  <si>
    <t>7--1</t>
  </si>
  <si>
    <t>7--2</t>
  </si>
  <si>
    <t>7--3</t>
  </si>
  <si>
    <t>8--1</t>
  </si>
  <si>
    <t>8--2</t>
  </si>
  <si>
    <t>9--1</t>
  </si>
  <si>
    <t>10--1</t>
  </si>
  <si>
    <t>12--1</t>
  </si>
  <si>
    <t>13--1</t>
  </si>
  <si>
    <t>14--1</t>
  </si>
  <si>
    <t>15--1</t>
  </si>
  <si>
    <t>r1</t>
    <phoneticPr fontId="1" type="noConversion"/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</si>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</sst>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15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29" xfId="0" applyBorder="1">
      <alignment vertical="center"/>
    </xf>
    <xf numFmtId="0" fontId="0" fillId="4" borderId="0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0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27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5" borderId="6" xfId="0" applyFill="1" applyBorder="1">
      <alignment vertical="center"/>
    </xf>
    <xf numFmtId="176" fontId="0" fillId="5" borderId="6" xfId="0" applyNumberFormat="1" applyFill="1" applyBorder="1">
      <alignment vertical="center"/>
    </xf>
    <xf numFmtId="0" fontId="0" fillId="7" borderId="6" xfId="0" applyFill="1" applyBorder="1">
      <alignment vertical="center"/>
    </xf>
    <xf numFmtId="176" fontId="0" fillId="7" borderId="6" xfId="0" applyNumberFormat="1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48" xfId="0" applyBorder="1">
      <alignment vertical="center"/>
    </xf>
    <xf numFmtId="0" fontId="0" fillId="0" borderId="45" xfId="0" applyBorder="1">
      <alignment vertical="center"/>
    </xf>
    <xf numFmtId="176" fontId="0" fillId="0" borderId="48" xfId="0" applyNumberFormat="1" applyBorder="1">
      <alignment vertical="center"/>
    </xf>
    <xf numFmtId="0" fontId="0" fillId="0" borderId="49" xfId="0" applyBorder="1">
      <alignment vertical="center"/>
    </xf>
    <xf numFmtId="0" fontId="0" fillId="0" borderId="47" xfId="0" applyBorder="1">
      <alignment vertical="center"/>
    </xf>
    <xf numFmtId="176" fontId="0" fillId="0" borderId="47" xfId="0" applyNumberFormat="1" applyBorder="1">
      <alignment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1'!$K$18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1'!$Q$18,'experiment design 1'!$L$18,'experiment design 1'!$R$18)</c:f>
              <c:numCache>
                <c:formatCode>General</c:formatCode>
                <c:ptCount val="3"/>
                <c:pt idx="0">
                  <c:v>-83.23268129999397</c:v>
                </c:pt>
                <c:pt idx="1">
                  <c:v>-69.444444444444443</c:v>
                </c:pt>
                <c:pt idx="2">
                  <c:v>-55.656207588894915</c:v>
                </c:pt>
              </c:numCache>
            </c:numRef>
          </c:xVal>
          <c:yVal>
            <c:numRef>
              <c:f>('experiment design 1'!$J$18,'experiment design 1'!$J$18,'experiment design 1'!$J$18)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 1'!$K$19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1'!$Q$19,'experiment design 1'!$L$19,'experiment design 1'!$R$19)</c:f>
              <c:numCache>
                <c:formatCode>General</c:formatCode>
                <c:ptCount val="3"/>
                <c:pt idx="0">
                  <c:v>-52.677125744438413</c:v>
                </c:pt>
                <c:pt idx="1">
                  <c:v>-38.888888888888886</c:v>
                </c:pt>
                <c:pt idx="2">
                  <c:v>-25.100652033339358</c:v>
                </c:pt>
              </c:numCache>
            </c:numRef>
          </c:xVal>
          <c:yVal>
            <c:numRef>
              <c:f>('experiment design 1'!$J$19,'experiment design 1'!$J$19,'experiment design 1'!$J$19)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 1'!$K$20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1'!$Q$20,'experiment design 1'!$L$20,'experiment design 1'!$R$20)</c:f>
              <c:numCache>
                <c:formatCode>General</c:formatCode>
                <c:ptCount val="3"/>
                <c:pt idx="0">
                  <c:v>-4.3437924111050812</c:v>
                </c:pt>
                <c:pt idx="1">
                  <c:v>9.4444444444444446</c:v>
                </c:pt>
                <c:pt idx="2">
                  <c:v>23.23268129999397</c:v>
                </c:pt>
              </c:numCache>
            </c:numRef>
          </c:xVal>
          <c:yVal>
            <c:numRef>
              <c:f>('experiment design 1'!$J$20,'experiment design 1'!$J$20,'experiment design 1'!$J$20)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 1'!$K$21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1'!$Q$21,'experiment design 1'!$L$21,'experiment design 1'!$R$21)</c:f>
              <c:numCache>
                <c:formatCode>General</c:formatCode>
                <c:ptCount val="3"/>
                <c:pt idx="0">
                  <c:v>38.433985366672694</c:v>
                </c:pt>
                <c:pt idx="1">
                  <c:v>52.222222222222221</c:v>
                </c:pt>
                <c:pt idx="2">
                  <c:v>66.010459077771742</c:v>
                </c:pt>
              </c:numCache>
            </c:numRef>
          </c:xVal>
          <c:yVal>
            <c:numRef>
              <c:f>('experiment design 1'!$J$21,'experiment design 1'!$J$21,'experiment design 1'!$J$21)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 1'!$K$22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1'!$Q$22,'experiment design 1'!$L$22,'experiment design 1'!$R$22)</c:f>
              <c:numCache>
                <c:formatCode>General</c:formatCode>
                <c:ptCount val="3"/>
                <c:pt idx="0">
                  <c:v>11.767318700006031</c:v>
                </c:pt>
                <c:pt idx="1">
                  <c:v>25.555555555555557</c:v>
                </c:pt>
                <c:pt idx="2">
                  <c:v>39.343792411105085</c:v>
                </c:pt>
              </c:numCache>
            </c:numRef>
          </c:xVal>
          <c:yVal>
            <c:numRef>
              <c:f>('experiment design 1'!$J$22,'experiment design 1'!$J$22,'experiment design 1'!$J$22)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 1'!$K$23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1'!$Q$23,'experiment design 1'!$L$23,'experiment design 1'!$R$23)</c:f>
              <c:numCache>
                <c:formatCode>General</c:formatCode>
                <c:ptCount val="3"/>
                <c:pt idx="0">
                  <c:v>-28.788236855549528</c:v>
                </c:pt>
                <c:pt idx="1">
                  <c:v>-15</c:v>
                </c:pt>
                <c:pt idx="2">
                  <c:v>-1.2117631444504742</c:v>
                </c:pt>
              </c:numCache>
            </c:numRef>
          </c:xVal>
          <c:yVal>
            <c:numRef>
              <c:f>('experiment design 1'!$J$23,'experiment design 1'!$J$23,'experiment design 1'!$J$23)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 1'!$K$24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1'!$Q$24,'experiment design 1'!$L$24,'experiment design 1'!$R$24)</c:f>
              <c:numCache>
                <c:formatCode>General</c:formatCode>
                <c:ptCount val="3"/>
                <c:pt idx="0">
                  <c:v>-7.6771257444384151</c:v>
                </c:pt>
                <c:pt idx="1">
                  <c:v>6.1111111111111107</c:v>
                </c:pt>
                <c:pt idx="2">
                  <c:v>19.899347966660635</c:v>
                </c:pt>
              </c:numCache>
            </c:numRef>
          </c:xVal>
          <c:yVal>
            <c:numRef>
              <c:f>('experiment design 1'!$J$24,'experiment design 1'!$J$24,'experiment design 1'!$J$24)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0-43B1-9B3D-E4FB9DFF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0-43B1-9B3D-E4FB9DFF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1'!$AF$2:$AF$73</c:f>
              <c:numCache>
                <c:formatCode>General</c:formatCode>
                <c:ptCount val="72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48</c:v>
                </c:pt>
                <c:pt idx="9">
                  <c:v>28</c:v>
                </c:pt>
                <c:pt idx="10">
                  <c:v>45</c:v>
                </c:pt>
                <c:pt idx="11">
                  <c:v>47</c:v>
                </c:pt>
                <c:pt idx="12">
                  <c:v>34</c:v>
                </c:pt>
                <c:pt idx="13">
                  <c:v>31</c:v>
                </c:pt>
                <c:pt idx="14">
                  <c:v>32</c:v>
                </c:pt>
                <c:pt idx="15">
                  <c:v>44</c:v>
                </c:pt>
                <c:pt idx="16">
                  <c:v>59</c:v>
                </c:pt>
                <c:pt idx="17">
                  <c:v>63</c:v>
                </c:pt>
                <c:pt idx="18">
                  <c:v>54</c:v>
                </c:pt>
                <c:pt idx="19">
                  <c:v>72</c:v>
                </c:pt>
                <c:pt idx="20">
                  <c:v>70</c:v>
                </c:pt>
                <c:pt idx="21">
                  <c:v>66</c:v>
                </c:pt>
                <c:pt idx="22">
                  <c:v>57</c:v>
                </c:pt>
                <c:pt idx="23">
                  <c:v>56</c:v>
                </c:pt>
                <c:pt idx="24">
                  <c:v>11</c:v>
                </c:pt>
                <c:pt idx="25">
                  <c:v>15</c:v>
                </c:pt>
                <c:pt idx="26">
                  <c:v>24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14</c:v>
                </c:pt>
                <c:pt idx="31">
                  <c:v>5</c:v>
                </c:pt>
                <c:pt idx="32">
                  <c:v>38</c:v>
                </c:pt>
                <c:pt idx="33">
                  <c:v>26</c:v>
                </c:pt>
                <c:pt idx="34">
                  <c:v>30</c:v>
                </c:pt>
                <c:pt idx="35">
                  <c:v>36</c:v>
                </c:pt>
                <c:pt idx="36">
                  <c:v>42</c:v>
                </c:pt>
                <c:pt idx="37">
                  <c:v>25</c:v>
                </c:pt>
                <c:pt idx="38">
                  <c:v>37</c:v>
                </c:pt>
                <c:pt idx="39">
                  <c:v>39</c:v>
                </c:pt>
                <c:pt idx="40">
                  <c:v>69</c:v>
                </c:pt>
                <c:pt idx="41">
                  <c:v>64</c:v>
                </c:pt>
                <c:pt idx="42">
                  <c:v>53</c:v>
                </c:pt>
                <c:pt idx="43">
                  <c:v>51</c:v>
                </c:pt>
                <c:pt idx="44">
                  <c:v>55</c:v>
                </c:pt>
                <c:pt idx="45">
                  <c:v>65</c:v>
                </c:pt>
                <c:pt idx="46">
                  <c:v>61</c:v>
                </c:pt>
                <c:pt idx="47">
                  <c:v>62</c:v>
                </c:pt>
                <c:pt idx="48">
                  <c:v>10</c:v>
                </c:pt>
                <c:pt idx="49">
                  <c:v>12</c:v>
                </c:pt>
                <c:pt idx="50">
                  <c:v>7</c:v>
                </c:pt>
                <c:pt idx="51">
                  <c:v>9</c:v>
                </c:pt>
                <c:pt idx="52">
                  <c:v>2</c:v>
                </c:pt>
                <c:pt idx="53">
                  <c:v>20</c:v>
                </c:pt>
                <c:pt idx="54">
                  <c:v>19</c:v>
                </c:pt>
                <c:pt idx="55">
                  <c:v>8</c:v>
                </c:pt>
                <c:pt idx="56">
                  <c:v>43</c:v>
                </c:pt>
                <c:pt idx="57">
                  <c:v>35</c:v>
                </c:pt>
                <c:pt idx="58">
                  <c:v>41</c:v>
                </c:pt>
                <c:pt idx="59">
                  <c:v>33</c:v>
                </c:pt>
                <c:pt idx="60">
                  <c:v>40</c:v>
                </c:pt>
                <c:pt idx="61">
                  <c:v>27</c:v>
                </c:pt>
                <c:pt idx="62">
                  <c:v>29</c:v>
                </c:pt>
                <c:pt idx="63">
                  <c:v>46</c:v>
                </c:pt>
                <c:pt idx="64">
                  <c:v>52</c:v>
                </c:pt>
                <c:pt idx="65">
                  <c:v>71</c:v>
                </c:pt>
                <c:pt idx="66">
                  <c:v>68</c:v>
                </c:pt>
                <c:pt idx="67">
                  <c:v>50</c:v>
                </c:pt>
                <c:pt idx="68">
                  <c:v>60</c:v>
                </c:pt>
                <c:pt idx="69">
                  <c:v>58</c:v>
                </c:pt>
                <c:pt idx="70">
                  <c:v>67</c:v>
                </c:pt>
                <c:pt idx="71">
                  <c:v>49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F-40FD-8BB4-139A8D47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1'!$AK$2:$AK$73</c:f>
              <c:numCache>
                <c:formatCode>General</c:formatCode>
                <c:ptCount val="72"/>
                <c:pt idx="0">
                  <c:v>300</c:v>
                </c:pt>
                <c:pt idx="1">
                  <c:v>193.33333333333334</c:v>
                </c:pt>
                <c:pt idx="2">
                  <c:v>208.88888888888889</c:v>
                </c:pt>
                <c:pt idx="3">
                  <c:v>206.66666666666666</c:v>
                </c:pt>
                <c:pt idx="4">
                  <c:v>289.44444444444446</c:v>
                </c:pt>
                <c:pt idx="5">
                  <c:v>152.7777777777778</c:v>
                </c:pt>
                <c:pt idx="6">
                  <c:v>198.33333333333334</c:v>
                </c:pt>
                <c:pt idx="7">
                  <c:v>166.11111111111111</c:v>
                </c:pt>
                <c:pt idx="8">
                  <c:v>300</c:v>
                </c:pt>
                <c:pt idx="9">
                  <c:v>193.33333333333334</c:v>
                </c:pt>
                <c:pt idx="10">
                  <c:v>208.88888888888889</c:v>
                </c:pt>
                <c:pt idx="11">
                  <c:v>206.66666666666666</c:v>
                </c:pt>
                <c:pt idx="12">
                  <c:v>289.44444444444446</c:v>
                </c:pt>
                <c:pt idx="13">
                  <c:v>152.7777777777778</c:v>
                </c:pt>
                <c:pt idx="14">
                  <c:v>198.33333333333334</c:v>
                </c:pt>
                <c:pt idx="15">
                  <c:v>166.11111111111111</c:v>
                </c:pt>
                <c:pt idx="16">
                  <c:v>300</c:v>
                </c:pt>
                <c:pt idx="17">
                  <c:v>193.33333333333334</c:v>
                </c:pt>
                <c:pt idx="18">
                  <c:v>208.88888888888889</c:v>
                </c:pt>
                <c:pt idx="19">
                  <c:v>206.66666666666666</c:v>
                </c:pt>
                <c:pt idx="20">
                  <c:v>289.44444444444446</c:v>
                </c:pt>
                <c:pt idx="21">
                  <c:v>152.7777777777778</c:v>
                </c:pt>
                <c:pt idx="22">
                  <c:v>198.33333333333334</c:v>
                </c:pt>
                <c:pt idx="23">
                  <c:v>166.11111111111111</c:v>
                </c:pt>
                <c:pt idx="24">
                  <c:v>300</c:v>
                </c:pt>
                <c:pt idx="25">
                  <c:v>193.33333333333334</c:v>
                </c:pt>
                <c:pt idx="26">
                  <c:v>208.88888888888889</c:v>
                </c:pt>
                <c:pt idx="27">
                  <c:v>206.66666666666666</c:v>
                </c:pt>
                <c:pt idx="28">
                  <c:v>289.44444444444446</c:v>
                </c:pt>
                <c:pt idx="29">
                  <c:v>152.7777777777778</c:v>
                </c:pt>
                <c:pt idx="30">
                  <c:v>198.33333333333334</c:v>
                </c:pt>
                <c:pt idx="31">
                  <c:v>166.11111111111111</c:v>
                </c:pt>
                <c:pt idx="32">
                  <c:v>300</c:v>
                </c:pt>
                <c:pt idx="33">
                  <c:v>193.33333333333334</c:v>
                </c:pt>
                <c:pt idx="34">
                  <c:v>208.88888888888889</c:v>
                </c:pt>
                <c:pt idx="35">
                  <c:v>206.66666666666666</c:v>
                </c:pt>
                <c:pt idx="36">
                  <c:v>289.44444444444446</c:v>
                </c:pt>
                <c:pt idx="37">
                  <c:v>152.7777777777778</c:v>
                </c:pt>
                <c:pt idx="38">
                  <c:v>198.33333333333334</c:v>
                </c:pt>
                <c:pt idx="39">
                  <c:v>166.11111111111111</c:v>
                </c:pt>
                <c:pt idx="40">
                  <c:v>300</c:v>
                </c:pt>
                <c:pt idx="41">
                  <c:v>193.33333333333334</c:v>
                </c:pt>
                <c:pt idx="42">
                  <c:v>208.88888888888889</c:v>
                </c:pt>
                <c:pt idx="43">
                  <c:v>206.66666666666666</c:v>
                </c:pt>
                <c:pt idx="44">
                  <c:v>289.44444444444446</c:v>
                </c:pt>
                <c:pt idx="45">
                  <c:v>152.7777777777778</c:v>
                </c:pt>
                <c:pt idx="46">
                  <c:v>198.33333333333334</c:v>
                </c:pt>
                <c:pt idx="47">
                  <c:v>166.11111111111111</c:v>
                </c:pt>
                <c:pt idx="48">
                  <c:v>300</c:v>
                </c:pt>
                <c:pt idx="49">
                  <c:v>193.33333333333334</c:v>
                </c:pt>
                <c:pt idx="50">
                  <c:v>208.88888888888889</c:v>
                </c:pt>
                <c:pt idx="51">
                  <c:v>206.66666666666666</c:v>
                </c:pt>
                <c:pt idx="52">
                  <c:v>289.44444444444446</c:v>
                </c:pt>
                <c:pt idx="53">
                  <c:v>152.7777777777778</c:v>
                </c:pt>
                <c:pt idx="54">
                  <c:v>198.33333333333334</c:v>
                </c:pt>
                <c:pt idx="55">
                  <c:v>166.11111111111111</c:v>
                </c:pt>
                <c:pt idx="56">
                  <c:v>300</c:v>
                </c:pt>
                <c:pt idx="57">
                  <c:v>193.33333333333334</c:v>
                </c:pt>
                <c:pt idx="58">
                  <c:v>208.88888888888889</c:v>
                </c:pt>
                <c:pt idx="59">
                  <c:v>206.66666666666666</c:v>
                </c:pt>
                <c:pt idx="60">
                  <c:v>289.44444444444446</c:v>
                </c:pt>
                <c:pt idx="61">
                  <c:v>152.7777777777778</c:v>
                </c:pt>
                <c:pt idx="62">
                  <c:v>198.33333333333334</c:v>
                </c:pt>
                <c:pt idx="63">
                  <c:v>166.11111111111111</c:v>
                </c:pt>
                <c:pt idx="64">
                  <c:v>300</c:v>
                </c:pt>
                <c:pt idx="65">
                  <c:v>193.33333333333334</c:v>
                </c:pt>
                <c:pt idx="66">
                  <c:v>208.88888888888889</c:v>
                </c:pt>
                <c:pt idx="67">
                  <c:v>206.66666666666666</c:v>
                </c:pt>
                <c:pt idx="68">
                  <c:v>289.44444444444446</c:v>
                </c:pt>
                <c:pt idx="69">
                  <c:v>152.7777777777778</c:v>
                </c:pt>
                <c:pt idx="70">
                  <c:v>198.33333333333334</c:v>
                </c:pt>
                <c:pt idx="71">
                  <c:v>166.11111111111111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A-4770-98EE-B65F857AE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1'!$AL$2:$AL$73</c:f>
              <c:numCache>
                <c:formatCode>General</c:formatCode>
                <c:ptCount val="72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292.22222222222223</c:v>
                </c:pt>
                <c:pt idx="9">
                  <c:v>191.66666666666666</c:v>
                </c:pt>
                <c:pt idx="10">
                  <c:v>181.66666666666666</c:v>
                </c:pt>
                <c:pt idx="11">
                  <c:v>173.33333333333334</c:v>
                </c:pt>
                <c:pt idx="12">
                  <c:v>297.22222222222223</c:v>
                </c:pt>
                <c:pt idx="13">
                  <c:v>154.44444444444446</c:v>
                </c:pt>
                <c:pt idx="14">
                  <c:v>225.55555555555554</c:v>
                </c:pt>
                <c:pt idx="15">
                  <c:v>199.44444444444446</c:v>
                </c:pt>
                <c:pt idx="16">
                  <c:v>292.22222222222223</c:v>
                </c:pt>
                <c:pt idx="17">
                  <c:v>191.66666666666666</c:v>
                </c:pt>
                <c:pt idx="18">
                  <c:v>181.66666666666666</c:v>
                </c:pt>
                <c:pt idx="19">
                  <c:v>173.33333333333334</c:v>
                </c:pt>
                <c:pt idx="20">
                  <c:v>297.22222222222223</c:v>
                </c:pt>
                <c:pt idx="21">
                  <c:v>154.44444444444446</c:v>
                </c:pt>
                <c:pt idx="22">
                  <c:v>225.55555555555554</c:v>
                </c:pt>
                <c:pt idx="23">
                  <c:v>199.44444444444446</c:v>
                </c:pt>
                <c:pt idx="24">
                  <c:v>292.22222222222223</c:v>
                </c:pt>
                <c:pt idx="25">
                  <c:v>191.66666666666666</c:v>
                </c:pt>
                <c:pt idx="26">
                  <c:v>181.66666666666666</c:v>
                </c:pt>
                <c:pt idx="27">
                  <c:v>173.33333333333334</c:v>
                </c:pt>
                <c:pt idx="28">
                  <c:v>297.22222222222223</c:v>
                </c:pt>
                <c:pt idx="29">
                  <c:v>154.44444444444446</c:v>
                </c:pt>
                <c:pt idx="30">
                  <c:v>225.55555555555554</c:v>
                </c:pt>
                <c:pt idx="31">
                  <c:v>199.44444444444446</c:v>
                </c:pt>
                <c:pt idx="32">
                  <c:v>292.22222222222223</c:v>
                </c:pt>
                <c:pt idx="33">
                  <c:v>191.66666666666666</c:v>
                </c:pt>
                <c:pt idx="34">
                  <c:v>181.66666666666666</c:v>
                </c:pt>
                <c:pt idx="35">
                  <c:v>173.33333333333334</c:v>
                </c:pt>
                <c:pt idx="36">
                  <c:v>297.22222222222223</c:v>
                </c:pt>
                <c:pt idx="37">
                  <c:v>154.44444444444446</c:v>
                </c:pt>
                <c:pt idx="38">
                  <c:v>225.55555555555554</c:v>
                </c:pt>
                <c:pt idx="39">
                  <c:v>199.44444444444446</c:v>
                </c:pt>
                <c:pt idx="40">
                  <c:v>292.22222222222223</c:v>
                </c:pt>
                <c:pt idx="41">
                  <c:v>191.66666666666666</c:v>
                </c:pt>
                <c:pt idx="42">
                  <c:v>181.66666666666666</c:v>
                </c:pt>
                <c:pt idx="43">
                  <c:v>173.33333333333334</c:v>
                </c:pt>
                <c:pt idx="44">
                  <c:v>297.22222222222223</c:v>
                </c:pt>
                <c:pt idx="45">
                  <c:v>154.44444444444446</c:v>
                </c:pt>
                <c:pt idx="46">
                  <c:v>225.55555555555554</c:v>
                </c:pt>
                <c:pt idx="47">
                  <c:v>199.44444444444446</c:v>
                </c:pt>
                <c:pt idx="48">
                  <c:v>292.22222222222223</c:v>
                </c:pt>
                <c:pt idx="49">
                  <c:v>191.66666666666666</c:v>
                </c:pt>
                <c:pt idx="50">
                  <c:v>181.66666666666666</c:v>
                </c:pt>
                <c:pt idx="51">
                  <c:v>173.33333333333334</c:v>
                </c:pt>
                <c:pt idx="52">
                  <c:v>297.22222222222223</c:v>
                </c:pt>
                <c:pt idx="53">
                  <c:v>154.44444444444446</c:v>
                </c:pt>
                <c:pt idx="54">
                  <c:v>225.55555555555554</c:v>
                </c:pt>
                <c:pt idx="55">
                  <c:v>199.44444444444446</c:v>
                </c:pt>
                <c:pt idx="56">
                  <c:v>292.22222222222223</c:v>
                </c:pt>
                <c:pt idx="57">
                  <c:v>191.66666666666666</c:v>
                </c:pt>
                <c:pt idx="58">
                  <c:v>181.66666666666666</c:v>
                </c:pt>
                <c:pt idx="59">
                  <c:v>173.33333333333334</c:v>
                </c:pt>
                <c:pt idx="60">
                  <c:v>297.22222222222223</c:v>
                </c:pt>
                <c:pt idx="61">
                  <c:v>154.44444444444446</c:v>
                </c:pt>
                <c:pt idx="62">
                  <c:v>225.55555555555554</c:v>
                </c:pt>
                <c:pt idx="63">
                  <c:v>199.44444444444446</c:v>
                </c:pt>
                <c:pt idx="64">
                  <c:v>292.22222222222223</c:v>
                </c:pt>
                <c:pt idx="65">
                  <c:v>191.66666666666666</c:v>
                </c:pt>
                <c:pt idx="66">
                  <c:v>181.66666666666666</c:v>
                </c:pt>
                <c:pt idx="67">
                  <c:v>173.33333333333334</c:v>
                </c:pt>
                <c:pt idx="68">
                  <c:v>297.22222222222223</c:v>
                </c:pt>
                <c:pt idx="69">
                  <c:v>154.44444444444446</c:v>
                </c:pt>
                <c:pt idx="70">
                  <c:v>225.55555555555554</c:v>
                </c:pt>
                <c:pt idx="71">
                  <c:v>199.44444444444446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4-43EA-86A7-D6F45D2A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1'!$AG$2:$AG$73</c:f>
              <c:numCache>
                <c:formatCode>General</c:formatCode>
                <c:ptCount val="7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-1</c:v>
                </c:pt>
                <c:pt idx="49">
                  <c:v>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3-4EBF-B129-BDAA8D6BA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1'!$AH$2:$AH$73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1-49B6-8FA7-35503217A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1'!$AI$2:$AI$73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7-418C-9E22-9298BE069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2'!$L$13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2'!$R$13,'experiment design 2'!$M$13,'experiment design 2'!$S$13)</c:f>
              <c:numCache>
                <c:formatCode>General</c:formatCode>
                <c:ptCount val="3"/>
                <c:pt idx="0">
                  <c:v>-5.2759994998637687</c:v>
                </c:pt>
                <c:pt idx="1">
                  <c:v>-2.6949631518794543</c:v>
                </c:pt>
                <c:pt idx="2">
                  <c:v>-0.11392680389513954</c:v>
                </c:pt>
              </c:numCache>
            </c:numRef>
          </c:xVal>
          <c:yVal>
            <c:numRef>
              <c:f>('experiment design 2'!$K$13,'experiment design 2'!$K$13,'experiment design 2'!$K$13)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4-402C-9BCF-0E84E98ED3B9}"/>
            </c:ext>
          </c:extLst>
        </c:ser>
        <c:ser>
          <c:idx val="1"/>
          <c:order val="1"/>
          <c:tx>
            <c:strRef>
              <c:f>'experiment design 2'!$L$14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2'!$R$14,'experiment design 2'!$M$14,'experiment design 2'!$S$14)</c:f>
              <c:numCache>
                <c:formatCode>General</c:formatCode>
                <c:ptCount val="3"/>
                <c:pt idx="0">
                  <c:v>-3.8315191814821525</c:v>
                </c:pt>
                <c:pt idx="1">
                  <c:v>-1.2504828334978377</c:v>
                </c:pt>
                <c:pt idx="2">
                  <c:v>1.3305535144864771</c:v>
                </c:pt>
              </c:numCache>
            </c:numRef>
          </c:xVal>
          <c:yVal>
            <c:numRef>
              <c:f>('experiment design 2'!$K$14,'experiment design 2'!$K$14,'experiment design 2'!$K$14)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C4-402C-9BCF-0E84E98ED3B9}"/>
            </c:ext>
          </c:extLst>
        </c:ser>
        <c:ser>
          <c:idx val="2"/>
          <c:order val="2"/>
          <c:tx>
            <c:strRef>
              <c:f>'experiment design 2'!$L$15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2'!$R$15,'experiment design 2'!$M$15,'experiment design 2'!$S$15)</c:f>
              <c:numCache>
                <c:formatCode>General</c:formatCode>
                <c:ptCount val="3"/>
                <c:pt idx="0">
                  <c:v>-2.2318624116115964</c:v>
                </c:pt>
                <c:pt idx="1">
                  <c:v>0.34917393637271843</c:v>
                </c:pt>
                <c:pt idx="2">
                  <c:v>2.9302102843570332</c:v>
                </c:pt>
              </c:numCache>
            </c:numRef>
          </c:xVal>
          <c:yVal>
            <c:numRef>
              <c:f>('experiment design 2'!$K$15,'experiment design 2'!$K$15,'experiment design 2'!$K$15)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C4-402C-9BCF-0E84E98ED3B9}"/>
            </c:ext>
          </c:extLst>
        </c:ser>
        <c:ser>
          <c:idx val="3"/>
          <c:order val="3"/>
          <c:tx>
            <c:strRef>
              <c:f>'experiment design 2'!$L$16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2'!$R$16,'experiment design 2'!$M$16,'experiment design 2'!$S$16)</c:f>
              <c:numCache>
                <c:formatCode>General</c:formatCode>
                <c:ptCount val="3"/>
                <c:pt idx="0">
                  <c:v>-0.56306570020989044</c:v>
                </c:pt>
                <c:pt idx="1">
                  <c:v>2.0179706477744244</c:v>
                </c:pt>
                <c:pt idx="2">
                  <c:v>4.5990069957587387</c:v>
                </c:pt>
              </c:numCache>
            </c:numRef>
          </c:xVal>
          <c:yVal>
            <c:numRef>
              <c:f>('experiment design 2'!$K$16,'experiment design 2'!$K$16,'experiment design 2'!$K$16)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C4-402C-9BCF-0E84E98ED3B9}"/>
            </c:ext>
          </c:extLst>
        </c:ser>
        <c:ser>
          <c:idx val="4"/>
          <c:order val="4"/>
          <c:tx>
            <c:strRef>
              <c:f>'experiment design 2'!$L$17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2'!$R$17,'experiment design 2'!$M$17,'experiment design 2'!$S$17)</c:f>
              <c:numCache>
                <c:formatCode>General</c:formatCode>
                <c:ptCount val="3"/>
                <c:pt idx="0">
                  <c:v>-1.3619328665665287</c:v>
                </c:pt>
                <c:pt idx="1">
                  <c:v>1.2191034814177861</c:v>
                </c:pt>
                <c:pt idx="2">
                  <c:v>3.8001398294021009</c:v>
                </c:pt>
              </c:numCache>
            </c:numRef>
          </c:xVal>
          <c:yVal>
            <c:numRef>
              <c:f>('experiment design 2'!$K$17,'experiment design 2'!$K$17,'experiment design 2'!$K$17)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C4-402C-9BCF-0E84E98ED3B9}"/>
            </c:ext>
          </c:extLst>
        </c:ser>
        <c:ser>
          <c:idx val="5"/>
          <c:order val="5"/>
          <c:tx>
            <c:strRef>
              <c:f>'experiment design 2'!$L$18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2'!$R$18,'experiment design 2'!$M$18,'experiment design 2'!$S$18)</c:f>
              <c:numCache>
                <c:formatCode>General</c:formatCode>
                <c:ptCount val="3"/>
                <c:pt idx="0">
                  <c:v>-3.2125690419746857</c:v>
                </c:pt>
                <c:pt idx="1">
                  <c:v>-0.63153269399037093</c:v>
                </c:pt>
                <c:pt idx="2">
                  <c:v>1.9495036539939439</c:v>
                </c:pt>
              </c:numCache>
            </c:numRef>
          </c:xVal>
          <c:yVal>
            <c:numRef>
              <c:f>('experiment design 2'!$K$18,'experiment design 2'!$K$18,'experiment design 2'!$K$18)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C4-402C-9BCF-0E84E98ED3B9}"/>
            </c:ext>
          </c:extLst>
        </c:ser>
        <c:ser>
          <c:idx val="6"/>
          <c:order val="6"/>
          <c:tx>
            <c:strRef>
              <c:f>'experiment design 2'!$L$19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2'!$R$19,'experiment design 2'!$M$19,'experiment design 2'!$S$19)</c:f>
              <c:numCache>
                <c:formatCode>General</c:formatCode>
                <c:ptCount val="3"/>
                <c:pt idx="0">
                  <c:v>-2.2840062964643697</c:v>
                </c:pt>
                <c:pt idx="1">
                  <c:v>0.2970300515199451</c:v>
                </c:pt>
                <c:pt idx="2">
                  <c:v>2.8780663995042599</c:v>
                </c:pt>
              </c:numCache>
            </c:numRef>
          </c:xVal>
          <c:yVal>
            <c:numRef>
              <c:f>('experiment design 2'!$K$19,'experiment design 2'!$K$19,'experiment design 2'!$K$19)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4-402C-9BCF-0E84E98E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85664"/>
        <c:axId val="1880092736"/>
      </c:scatterChart>
      <c:valAx>
        <c:axId val="1880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92736"/>
        <c:crosses val="autoZero"/>
        <c:crossBetween val="midCat"/>
      </c:valAx>
      <c:valAx>
        <c:axId val="18800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619021580635754"/>
          <c:w val="0.13354177602799649"/>
          <c:h val="0.74132327209098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-1</xdr:colOff>
      <xdr:row>24</xdr:row>
      <xdr:rowOff>138546</xdr:rowOff>
    </xdr:from>
    <xdr:to>
      <xdr:col>29</xdr:col>
      <xdr:colOff>294408</xdr:colOff>
      <xdr:row>44</xdr:row>
      <xdr:rowOff>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18C0F9B-55CB-47DE-8C76-972493DB4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11546</xdr:colOff>
      <xdr:row>45</xdr:row>
      <xdr:rowOff>31173</xdr:rowOff>
    </xdr:from>
    <xdr:to>
      <xdr:col>29</xdr:col>
      <xdr:colOff>334818</xdr:colOff>
      <xdr:row>57</xdr:row>
      <xdr:rowOff>130463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A470E68-BC5F-40E0-AE5B-ABA66C03B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42911</xdr:colOff>
      <xdr:row>59</xdr:row>
      <xdr:rowOff>13468</xdr:rowOff>
    </xdr:from>
    <xdr:to>
      <xdr:col>29</xdr:col>
      <xdr:colOff>302105</xdr:colOff>
      <xdr:row>71</xdr:row>
      <xdr:rowOff>112759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ABC25DF-9C09-4DB1-A282-81339A45F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567266</xdr:colOff>
      <xdr:row>75</xdr:row>
      <xdr:rowOff>1926</xdr:rowOff>
    </xdr:from>
    <xdr:to>
      <xdr:col>29</xdr:col>
      <xdr:colOff>223210</xdr:colOff>
      <xdr:row>87</xdr:row>
      <xdr:rowOff>101216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F099D0A-7112-442E-BB28-7D4455930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381001</xdr:colOff>
      <xdr:row>25</xdr:row>
      <xdr:rowOff>103908</xdr:rowOff>
    </xdr:from>
    <xdr:to>
      <xdr:col>21</xdr:col>
      <xdr:colOff>617682</xdr:colOff>
      <xdr:row>37</xdr:row>
      <xdr:rowOff>203198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00C570D-D10E-46DA-B8D2-EDA852129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398318</xdr:colOff>
      <xdr:row>38</xdr:row>
      <xdr:rowOff>155864</xdr:rowOff>
    </xdr:from>
    <xdr:to>
      <xdr:col>21</xdr:col>
      <xdr:colOff>634999</xdr:colOff>
      <xdr:row>51</xdr:row>
      <xdr:rowOff>47334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7D460D4-C999-412E-A00D-FC54B529A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398319</xdr:colOff>
      <xdr:row>51</xdr:row>
      <xdr:rowOff>207817</xdr:rowOff>
    </xdr:from>
    <xdr:to>
      <xdr:col>21</xdr:col>
      <xdr:colOff>635000</xdr:colOff>
      <xdr:row>64</xdr:row>
      <xdr:rowOff>99289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5207A52-C868-48B7-B0B4-18F70FA78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44822</xdr:colOff>
      <xdr:row>22</xdr:row>
      <xdr:rowOff>17930</xdr:rowOff>
    </xdr:from>
    <xdr:to>
      <xdr:col>16</xdr:col>
      <xdr:colOff>246528</xdr:colOff>
      <xdr:row>34</xdr:row>
      <xdr:rowOff>206189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5AD8AB-4BD7-4630-9E37-742F74A88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3FB4-651D-425D-A759-1685BC90FD18}">
  <dimension ref="A1:I24"/>
  <sheetViews>
    <sheetView workbookViewId="0">
      <selection sqref="A1:I27"/>
    </sheetView>
  </sheetViews>
  <sheetFormatPr defaultRowHeight="17" x14ac:dyDescent="0.4"/>
  <sheetData>
    <row r="1" spans="1:9" x14ac:dyDescent="0.4">
      <c r="A1" t="s">
        <v>129</v>
      </c>
    </row>
    <row r="2" spans="1:9" ht="17.5" thickBot="1" x14ac:dyDescent="0.45"/>
    <row r="3" spans="1:9" x14ac:dyDescent="0.4">
      <c r="A3" s="42" t="s">
        <v>130</v>
      </c>
      <c r="B3" s="42"/>
    </row>
    <row r="4" spans="1:9" x14ac:dyDescent="0.4">
      <c r="A4" s="39" t="s">
        <v>131</v>
      </c>
      <c r="B4" s="39">
        <v>0.87502074791369655</v>
      </c>
    </row>
    <row r="5" spans="1:9" x14ac:dyDescent="0.4">
      <c r="A5" s="39" t="s">
        <v>132</v>
      </c>
      <c r="B5" s="39">
        <v>0.76566130927944487</v>
      </c>
    </row>
    <row r="6" spans="1:9" x14ac:dyDescent="0.4">
      <c r="A6" s="39" t="s">
        <v>133</v>
      </c>
      <c r="B6" s="39">
        <v>0.7400305149818841</v>
      </c>
    </row>
    <row r="7" spans="1:9" x14ac:dyDescent="0.4">
      <c r="A7" s="39" t="s">
        <v>134</v>
      </c>
      <c r="B7" s="39">
        <v>31.52930735398769</v>
      </c>
    </row>
    <row r="8" spans="1:9" ht="17.5" thickBot="1" x14ac:dyDescent="0.45">
      <c r="A8" s="40" t="s">
        <v>135</v>
      </c>
      <c r="B8" s="40">
        <v>72</v>
      </c>
    </row>
    <row r="10" spans="1:9" ht="17.5" thickBot="1" x14ac:dyDescent="0.45">
      <c r="A10" t="s">
        <v>136</v>
      </c>
    </row>
    <row r="11" spans="1:9" x14ac:dyDescent="0.4">
      <c r="A11" s="41"/>
      <c r="B11" s="41" t="s">
        <v>141</v>
      </c>
      <c r="C11" s="41" t="s">
        <v>142</v>
      </c>
      <c r="D11" s="41" t="s">
        <v>143</v>
      </c>
      <c r="E11" s="41" t="s">
        <v>144</v>
      </c>
      <c r="F11" s="41" t="s">
        <v>145</v>
      </c>
    </row>
    <row r="12" spans="1:9" x14ac:dyDescent="0.4">
      <c r="A12" s="39" t="s">
        <v>137</v>
      </c>
      <c r="B12" s="39">
        <v>7</v>
      </c>
      <c r="C12" s="39">
        <v>207874.65277777778</v>
      </c>
      <c r="D12" s="39">
        <v>29696.378968253968</v>
      </c>
      <c r="E12" s="39">
        <v>29.872710942567736</v>
      </c>
      <c r="F12" s="39">
        <v>7.1464046455199487E-18</v>
      </c>
    </row>
    <row r="13" spans="1:9" x14ac:dyDescent="0.4">
      <c r="A13" s="39" t="s">
        <v>138</v>
      </c>
      <c r="B13" s="39">
        <v>64</v>
      </c>
      <c r="C13" s="39">
        <v>63622.222222222226</v>
      </c>
      <c r="D13" s="39">
        <v>994.09722222222229</v>
      </c>
      <c r="E13" s="39"/>
      <c r="F13" s="39"/>
    </row>
    <row r="14" spans="1:9" ht="17.5" thickBot="1" x14ac:dyDescent="0.45">
      <c r="A14" s="40" t="s">
        <v>139</v>
      </c>
      <c r="B14" s="40">
        <v>71</v>
      </c>
      <c r="C14" s="40">
        <v>271496.875</v>
      </c>
      <c r="D14" s="40"/>
      <c r="E14" s="40"/>
      <c r="F14" s="40"/>
    </row>
    <row r="15" spans="1:9" ht="17.5" thickBot="1" x14ac:dyDescent="0.45"/>
    <row r="16" spans="1:9" x14ac:dyDescent="0.4">
      <c r="A16" s="41"/>
      <c r="B16" s="41" t="s">
        <v>146</v>
      </c>
      <c r="C16" s="41" t="s">
        <v>134</v>
      </c>
      <c r="D16" s="41" t="s">
        <v>147</v>
      </c>
      <c r="E16" s="41" t="s">
        <v>148</v>
      </c>
      <c r="F16" s="41" t="s">
        <v>149</v>
      </c>
      <c r="G16" s="41" t="s">
        <v>150</v>
      </c>
      <c r="H16" s="41" t="s">
        <v>151</v>
      </c>
      <c r="I16" s="41" t="s">
        <v>152</v>
      </c>
    </row>
    <row r="17" spans="1:9" x14ac:dyDescent="0.4">
      <c r="A17" s="39" t="s">
        <v>140</v>
      </c>
      <c r="B17" s="39">
        <v>172.29166666666666</v>
      </c>
      <c r="C17" s="39">
        <v>3.71576450601993</v>
      </c>
      <c r="D17" s="39">
        <v>46.367757264362695</v>
      </c>
      <c r="E17" s="39">
        <v>5.6963708232434816E-51</v>
      </c>
      <c r="F17" s="39">
        <v>164.86857372452951</v>
      </c>
      <c r="G17" s="39">
        <v>179.7147596088038</v>
      </c>
      <c r="H17" s="39">
        <v>164.86857372452951</v>
      </c>
      <c r="I17" s="39">
        <v>179.7147596088038</v>
      </c>
    </row>
    <row r="18" spans="1:9" x14ac:dyDescent="0.4">
      <c r="A18" s="39" t="s">
        <v>122</v>
      </c>
      <c r="B18" s="39">
        <v>-34.513888888888864</v>
      </c>
      <c r="C18" s="39">
        <v>3.7157645060199291</v>
      </c>
      <c r="D18" s="39">
        <v>-9.2885027651705965</v>
      </c>
      <c r="E18" s="39">
        <v>1.7789459470305319E-13</v>
      </c>
      <c r="F18" s="39">
        <v>-41.936981831026017</v>
      </c>
      <c r="G18" s="39">
        <v>-27.090795946751708</v>
      </c>
      <c r="H18" s="39">
        <v>-41.936981831026017</v>
      </c>
      <c r="I18" s="39">
        <v>-27.090795946751708</v>
      </c>
    </row>
    <row r="19" spans="1:9" x14ac:dyDescent="0.4">
      <c r="A19" s="39" t="s">
        <v>123</v>
      </c>
      <c r="B19" s="39">
        <v>-25.625000000000014</v>
      </c>
      <c r="C19" s="39">
        <v>3.71576450601993</v>
      </c>
      <c r="D19" s="39">
        <v>-6.8962927974807915</v>
      </c>
      <c r="E19" s="39">
        <v>2.8278984230469716E-9</v>
      </c>
      <c r="F19" s="39">
        <v>-33.048092942137174</v>
      </c>
      <c r="G19" s="39">
        <v>-18.201907057862858</v>
      </c>
      <c r="H19" s="39">
        <v>-33.048092942137174</v>
      </c>
      <c r="I19" s="39">
        <v>-18.201907057862858</v>
      </c>
    </row>
    <row r="20" spans="1:9" x14ac:dyDescent="0.4">
      <c r="A20" s="39" t="s">
        <v>124</v>
      </c>
      <c r="B20" s="39">
        <v>13.680555555555555</v>
      </c>
      <c r="C20" s="39">
        <v>3.71576450601993</v>
      </c>
      <c r="D20" s="39">
        <v>3.6817606533976019</v>
      </c>
      <c r="E20" s="39">
        <v>4.7768190654367426E-4</v>
      </c>
      <c r="F20" s="39">
        <v>6.2574626134183982</v>
      </c>
      <c r="G20" s="39">
        <v>21.103648497692713</v>
      </c>
      <c r="H20" s="39">
        <v>6.2574626134183982</v>
      </c>
      <c r="I20" s="39">
        <v>21.103648497692713</v>
      </c>
    </row>
    <row r="21" spans="1:9" x14ac:dyDescent="0.4">
      <c r="A21" s="39" t="s">
        <v>153</v>
      </c>
      <c r="B21" s="39">
        <v>27.569444444444443</v>
      </c>
      <c r="C21" s="39">
        <v>3.7157645060199291</v>
      </c>
      <c r="D21" s="39">
        <v>7.4195887279129353</v>
      </c>
      <c r="E21" s="39">
        <v>3.4015277259804298E-10</v>
      </c>
      <c r="F21" s="39">
        <v>20.146351502307287</v>
      </c>
      <c r="G21" s="39">
        <v>34.992537386581596</v>
      </c>
      <c r="H21" s="39">
        <v>20.146351502307287</v>
      </c>
      <c r="I21" s="39">
        <v>34.992537386581596</v>
      </c>
    </row>
    <row r="22" spans="1:9" x14ac:dyDescent="0.4">
      <c r="A22" s="39" t="s">
        <v>154</v>
      </c>
      <c r="B22" s="39">
        <v>5.4861111111111232</v>
      </c>
      <c r="C22" s="39">
        <v>3.71576450601993</v>
      </c>
      <c r="D22" s="39">
        <v>1.4764420894335595</v>
      </c>
      <c r="E22" s="39">
        <v>0.14472894507094994</v>
      </c>
      <c r="F22" s="39">
        <v>-1.9369818310260341</v>
      </c>
      <c r="G22" s="39">
        <v>12.909204053248281</v>
      </c>
      <c r="H22" s="39">
        <v>-1.9369818310260341</v>
      </c>
      <c r="I22" s="39">
        <v>12.909204053248281</v>
      </c>
    </row>
    <row r="23" spans="1:9" x14ac:dyDescent="0.4">
      <c r="A23" s="39" t="s">
        <v>155</v>
      </c>
      <c r="B23" s="39">
        <v>-5.9027777777777724</v>
      </c>
      <c r="C23" s="39">
        <v>3.7157645060199291</v>
      </c>
      <c r="D23" s="39">
        <v>-1.588576931669015</v>
      </c>
      <c r="E23" s="39">
        <v>0.11708438715111748</v>
      </c>
      <c r="F23" s="39">
        <v>-13.325870719914928</v>
      </c>
      <c r="G23" s="39">
        <v>1.5203151643593831</v>
      </c>
      <c r="H23" s="39">
        <v>-13.325870719914928</v>
      </c>
      <c r="I23" s="39">
        <v>1.5203151643593831</v>
      </c>
    </row>
    <row r="24" spans="1:9" ht="17.5" thickBot="1" x14ac:dyDescent="0.45">
      <c r="A24" s="40" t="s">
        <v>156</v>
      </c>
      <c r="B24" s="40">
        <v>-5.2083333333333375</v>
      </c>
      <c r="C24" s="40">
        <v>3.7157645060199291</v>
      </c>
      <c r="D24" s="40">
        <v>-1.401685527943251</v>
      </c>
      <c r="E24" s="40">
        <v>0.16584040658342786</v>
      </c>
      <c r="F24" s="40">
        <v>-12.631426275470492</v>
      </c>
      <c r="G24" s="40">
        <v>2.2147596088038179</v>
      </c>
      <c r="H24" s="40">
        <v>-12.631426275470492</v>
      </c>
      <c r="I24" s="40">
        <v>2.2147596088038179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O85"/>
  <sheetViews>
    <sheetView topLeftCell="H4" zoomScale="75" zoomScaleNormal="55" workbookViewId="0">
      <selection activeCell="L41" sqref="L41"/>
    </sheetView>
  </sheetViews>
  <sheetFormatPr defaultRowHeight="17" x14ac:dyDescent="0.4"/>
  <cols>
    <col min="16" max="16" width="13.08984375" bestFit="1" customWidth="1"/>
    <col min="17" max="17" width="14" bestFit="1" customWidth="1"/>
    <col min="24" max="24" width="17.08984375" bestFit="1" customWidth="1"/>
    <col min="36" max="36" width="13.453125" bestFit="1" customWidth="1"/>
  </cols>
  <sheetData>
    <row r="1" spans="1:41" ht="17.5" thickBot="1" x14ac:dyDescent="0.45">
      <c r="A1" s="14"/>
      <c r="B1" s="15"/>
      <c r="C1" s="15"/>
      <c r="D1" s="15"/>
      <c r="E1" s="57" t="s">
        <v>96</v>
      </c>
      <c r="F1" s="58"/>
      <c r="G1" s="58"/>
      <c r="H1" s="57" t="s">
        <v>97</v>
      </c>
      <c r="I1" s="58"/>
      <c r="J1" s="58"/>
      <c r="K1" s="57" t="s">
        <v>98</v>
      </c>
      <c r="L1" s="58"/>
      <c r="M1" s="58"/>
      <c r="N1" s="22"/>
      <c r="O1" s="23"/>
      <c r="P1" s="14" t="s">
        <v>23</v>
      </c>
      <c r="Q1" s="16" t="s">
        <v>37</v>
      </c>
      <c r="AE1" t="s">
        <v>0</v>
      </c>
      <c r="AF1" t="s">
        <v>114</v>
      </c>
      <c r="AG1" t="s">
        <v>1</v>
      </c>
      <c r="AH1" t="s">
        <v>2</v>
      </c>
      <c r="AI1" t="s">
        <v>3</v>
      </c>
      <c r="AJ1" t="s">
        <v>107</v>
      </c>
      <c r="AK1" t="s">
        <v>108</v>
      </c>
      <c r="AL1" t="s">
        <v>15</v>
      </c>
      <c r="AM1" t="s">
        <v>109</v>
      </c>
      <c r="AN1" t="s">
        <v>112</v>
      </c>
      <c r="AO1" t="s">
        <v>113</v>
      </c>
    </row>
    <row r="2" spans="1:41" x14ac:dyDescent="0.4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857.46527777777692</v>
      </c>
      <c r="S2" s="14" t="s">
        <v>47</v>
      </c>
      <c r="T2" s="15" cm="1">
        <f t="array" ref="T2">SUM(((E3:M10)-$P$8)^2)</f>
        <v>236077.77777777769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  <c r="AE2">
        <v>1</v>
      </c>
      <c r="AF2">
        <v>23</v>
      </c>
      <c r="AG2">
        <v>-1</v>
      </c>
      <c r="AH2">
        <v>-1</v>
      </c>
      <c r="AI2">
        <v>-1</v>
      </c>
      <c r="AJ2">
        <f>E3</f>
        <v>255</v>
      </c>
      <c r="AK2">
        <f>$J$16+$K$16*AG2+$L$16*AH2+$N$16*AG2*AH2+$O$16*AH$2*AI2+$P$16*AG2*AI2</f>
        <v>300</v>
      </c>
      <c r="AL2">
        <f>N3</f>
        <v>292.22222222222223</v>
      </c>
      <c r="AM2">
        <f>AJ2-AK2</f>
        <v>-45</v>
      </c>
      <c r="AN2">
        <f t="shared" ref="AN2:AN33" si="0">100*(_xlfn.RANK.EQ(AM2,$AM$2:$AM$73,1)-0.5)/$P$6</f>
        <v>13.194444444444445</v>
      </c>
      <c r="AO2">
        <f t="shared" ref="AO2:AO33" si="1">_xlfn.NORM.INV(AN2/100,$AM$74,$AM$75)</f>
        <v>-39.635163844461808</v>
      </c>
    </row>
    <row r="3" spans="1:41" x14ac:dyDescent="0.4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s="17" t="s">
        <v>24</v>
      </c>
      <c r="Q3" s="18" t="s">
        <v>38</v>
      </c>
      <c r="S3" s="17" t="s">
        <v>48</v>
      </c>
      <c r="T3" s="6">
        <f t="shared" ref="T3:T9" si="2">$P$6/2*((U3-$P$8)^2+(V3-$P$8)^2)</f>
        <v>86805.555555555504</v>
      </c>
      <c r="U3" s="6">
        <f>AVERAGE(E4:M4,E6:M6,E8:M8,E10:M10)</f>
        <v>179.72222222222223</v>
      </c>
      <c r="V3" s="18">
        <f>AVERAGE(E3:M3,E5:M5,E7:M7,E9:M9)</f>
        <v>249.16666666666666</v>
      </c>
      <c r="X3" s="3" t="s">
        <v>17</v>
      </c>
      <c r="Y3" s="6">
        <f>T3</f>
        <v>86805.555555555504</v>
      </c>
      <c r="Z3" s="6">
        <v>1</v>
      </c>
      <c r="AA3" s="6">
        <f>Y3/Z3</f>
        <v>86805.555555555504</v>
      </c>
      <c r="AB3" s="6">
        <f>AA3/$AA$10</f>
        <v>101.2350678274954</v>
      </c>
      <c r="AC3" s="10">
        <f>_xlfn.F.INV.RT(0.05,Z3,$Z$10)</f>
        <v>3.9909237717402912</v>
      </c>
      <c r="AE3">
        <v>2</v>
      </c>
      <c r="AF3">
        <v>17</v>
      </c>
      <c r="AG3">
        <v>1</v>
      </c>
      <c r="AH3">
        <v>-1</v>
      </c>
      <c r="AI3">
        <v>-1</v>
      </c>
      <c r="AJ3">
        <f t="shared" ref="AJ3:AJ9" si="3">E4</f>
        <v>200</v>
      </c>
      <c r="AK3">
        <f t="shared" ref="AK3:AK66" si="4">$J$16+$K$16*AG3+$L$16*AH3+$N$16*AG3*AH3+$O$16*AH$2*AI3+$P$16*AG3*AI3</f>
        <v>193.33333333333334</v>
      </c>
      <c r="AL3">
        <f t="shared" ref="AL3:AL9" si="5">N4</f>
        <v>191.66666666666666</v>
      </c>
      <c r="AM3">
        <f t="shared" ref="AM3:AM66" si="6">AJ3-AK3</f>
        <v>6.6666666666666572</v>
      </c>
      <c r="AN3">
        <f t="shared" si="0"/>
        <v>57.638888888888886</v>
      </c>
      <c r="AO3">
        <f t="shared" si="1"/>
        <v>6.8348955309915027</v>
      </c>
    </row>
    <row r="4" spans="1:41" x14ac:dyDescent="0.4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10" si="7">AVERAGE(E4:M4)</f>
        <v>191.66666666666666</v>
      </c>
      <c r="O4" s="10">
        <f t="shared" ref="O4:O10" si="8">_xlfn.VAR.S(E4:M4)</f>
        <v>806.25</v>
      </c>
      <c r="P4" s="17">
        <v>9</v>
      </c>
      <c r="Q4" s="18">
        <f>4*Q2/(P2*P4)</f>
        <v>47.636959876543159</v>
      </c>
      <c r="S4" s="17" t="s">
        <v>49</v>
      </c>
      <c r="T4" s="6">
        <f t="shared" si="2"/>
        <v>27222.222222222219</v>
      </c>
      <c r="U4" s="6">
        <f>AVERAGE(E5:M5,E6:M6,E9:M9,E10:M10)</f>
        <v>195</v>
      </c>
      <c r="V4" s="18">
        <f>AVERAGE(E3:M3,E4:M4,E7:M7,E8:M8)</f>
        <v>233.88888888888889</v>
      </c>
      <c r="X4" s="3" t="s">
        <v>62</v>
      </c>
      <c r="Y4" s="6">
        <f t="shared" ref="Y4:Y9" si="9">T4</f>
        <v>27222.222222222219</v>
      </c>
      <c r="Z4" s="6">
        <v>1</v>
      </c>
      <c r="AA4" s="6">
        <f t="shared" ref="AA4:AA10" si="10">Y4/Z4</f>
        <v>27222.222222222219</v>
      </c>
      <c r="AB4" s="6">
        <f t="shared" ref="AB4:AB9" si="11">AA4/$AA$10</f>
        <v>31.747317270702574</v>
      </c>
      <c r="AC4" s="10">
        <f t="shared" ref="AC4:AC9" si="12">_xlfn.F.INV.RT(0.05,Z4,$Z$10)</f>
        <v>3.9909237717402912</v>
      </c>
      <c r="AE4">
        <v>3</v>
      </c>
      <c r="AF4">
        <v>18</v>
      </c>
      <c r="AG4">
        <v>-1</v>
      </c>
      <c r="AH4">
        <v>1</v>
      </c>
      <c r="AI4">
        <v>-1</v>
      </c>
      <c r="AJ4">
        <f t="shared" si="3"/>
        <v>150</v>
      </c>
      <c r="AK4">
        <f t="shared" si="4"/>
        <v>208.88888888888889</v>
      </c>
      <c r="AL4">
        <f t="shared" si="5"/>
        <v>181.66666666666666</v>
      </c>
      <c r="AM4">
        <f t="shared" si="6"/>
        <v>-58.888888888888886</v>
      </c>
      <c r="AN4">
        <f t="shared" si="0"/>
        <v>3.4722222222222223</v>
      </c>
      <c r="AO4">
        <f t="shared" si="1"/>
        <v>-64.406841997762029</v>
      </c>
    </row>
    <row r="5" spans="1:41" x14ac:dyDescent="0.4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7"/>
        <v>181.66666666666666</v>
      </c>
      <c r="O5" s="10">
        <f t="shared" si="8"/>
        <v>606.25</v>
      </c>
      <c r="P5" s="17" t="s">
        <v>25</v>
      </c>
      <c r="Q5" s="18" t="s">
        <v>40</v>
      </c>
      <c r="S5" s="17" t="s">
        <v>50</v>
      </c>
      <c r="T5" s="6">
        <f t="shared" si="2"/>
        <v>1605.5555555555502</v>
      </c>
      <c r="U5" s="6">
        <f>AVERAGE(E7:M10)</f>
        <v>219.16666666666666</v>
      </c>
      <c r="V5" s="18">
        <f>AVERAGE(E3:M6)</f>
        <v>209.72222222222223</v>
      </c>
      <c r="X5" s="3" t="s">
        <v>63</v>
      </c>
      <c r="Y5" s="6">
        <f t="shared" si="9"/>
        <v>1605.5555555555502</v>
      </c>
      <c r="Z5" s="6">
        <v>1</v>
      </c>
      <c r="AA5" s="6">
        <f t="shared" si="10"/>
        <v>1605.5555555555502</v>
      </c>
      <c r="AB5" s="6">
        <f t="shared" si="11"/>
        <v>1.8724438145373499</v>
      </c>
      <c r="AC5" s="10">
        <f t="shared" si="12"/>
        <v>3.9909237717402912</v>
      </c>
      <c r="AE5">
        <v>4</v>
      </c>
      <c r="AF5">
        <v>4</v>
      </c>
      <c r="AG5">
        <v>1</v>
      </c>
      <c r="AH5">
        <v>1</v>
      </c>
      <c r="AI5">
        <v>-1</v>
      </c>
      <c r="AJ5">
        <f t="shared" si="3"/>
        <v>170</v>
      </c>
      <c r="AK5">
        <f t="shared" si="4"/>
        <v>206.66666666666666</v>
      </c>
      <c r="AL5">
        <f t="shared" si="5"/>
        <v>173.33333333333334</v>
      </c>
      <c r="AM5">
        <f t="shared" si="6"/>
        <v>-36.666666666666657</v>
      </c>
      <c r="AN5">
        <f t="shared" si="0"/>
        <v>17.361111111111111</v>
      </c>
      <c r="AO5">
        <f t="shared" si="1"/>
        <v>-33.346884105789833</v>
      </c>
    </row>
    <row r="6" spans="1:41" x14ac:dyDescent="0.4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7"/>
        <v>173.33333333333334</v>
      </c>
      <c r="O6" s="10">
        <f t="shared" si="8"/>
        <v>431.25</v>
      </c>
      <c r="P6" s="17">
        <f>P2*P4</f>
        <v>72</v>
      </c>
      <c r="Q6" s="18">
        <f>Q4^0.5</f>
        <v>6.9019533377546942</v>
      </c>
      <c r="S6" s="17" t="s">
        <v>52</v>
      </c>
      <c r="T6" s="6">
        <f t="shared" si="2"/>
        <v>49088.888888888854</v>
      </c>
      <c r="U6" s="6">
        <f>AVERAGE(E3:M3,E6:M6,E7:M7,E10:M10)</f>
        <v>240.55555555555554</v>
      </c>
      <c r="V6" s="18">
        <f>AVERAGE(E4:M4,E5:M5,E8:M8,E9:M9)</f>
        <v>188.33333333333334</v>
      </c>
      <c r="X6" s="3" t="s">
        <v>33</v>
      </c>
      <c r="Y6" s="6">
        <f t="shared" si="9"/>
        <v>49088.888888888854</v>
      </c>
      <c r="Z6" s="6">
        <v>1</v>
      </c>
      <c r="AA6" s="6">
        <f t="shared" si="10"/>
        <v>49088.888888888854</v>
      </c>
      <c r="AB6" s="6">
        <f t="shared" si="11"/>
        <v>57.248835796719952</v>
      </c>
      <c r="AC6" s="10">
        <f t="shared" si="12"/>
        <v>3.9909237717402912</v>
      </c>
      <c r="AE6">
        <v>5</v>
      </c>
      <c r="AF6">
        <v>21</v>
      </c>
      <c r="AG6">
        <v>-1</v>
      </c>
      <c r="AH6">
        <v>-1</v>
      </c>
      <c r="AI6">
        <v>1</v>
      </c>
      <c r="AJ6">
        <f t="shared" si="3"/>
        <v>300</v>
      </c>
      <c r="AK6">
        <f t="shared" si="4"/>
        <v>289.44444444444446</v>
      </c>
      <c r="AL6">
        <f t="shared" si="5"/>
        <v>297.22222222222223</v>
      </c>
      <c r="AM6">
        <f t="shared" si="6"/>
        <v>10.555555555555543</v>
      </c>
      <c r="AN6">
        <f t="shared" si="0"/>
        <v>65.972222222222229</v>
      </c>
      <c r="AO6">
        <f t="shared" si="1"/>
        <v>14.605549353857581</v>
      </c>
    </row>
    <row r="7" spans="1:41" x14ac:dyDescent="0.4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7"/>
        <v>297.22222222222223</v>
      </c>
      <c r="O7" s="10">
        <f t="shared" si="8"/>
        <v>1994.444444444438</v>
      </c>
      <c r="P7" s="17" t="s">
        <v>26</v>
      </c>
      <c r="Q7" s="18" t="s">
        <v>41</v>
      </c>
      <c r="S7" s="17" t="s">
        <v>53</v>
      </c>
      <c r="T7" s="6">
        <f t="shared" si="2"/>
        <v>11755.555555555571</v>
      </c>
      <c r="U7" s="6">
        <f>AVERAGE(E3:M3,E4:M4,E9:M9,E10:M10)</f>
        <v>227.22222222222223</v>
      </c>
      <c r="V7" s="18">
        <f>AVERAGE(E5:M5,E6:M6,E7:M7,E8:M8)</f>
        <v>201.66666666666666</v>
      </c>
      <c r="X7" s="3" t="s">
        <v>21</v>
      </c>
      <c r="Y7" s="6">
        <f t="shared" si="9"/>
        <v>11755.555555555571</v>
      </c>
      <c r="Z7" s="6">
        <v>1</v>
      </c>
      <c r="AA7" s="6">
        <f t="shared" si="10"/>
        <v>11755.555555555571</v>
      </c>
      <c r="AB7" s="6">
        <f t="shared" si="11"/>
        <v>13.709657825470764</v>
      </c>
      <c r="AC7" s="10">
        <f t="shared" si="12"/>
        <v>3.9909237717402912</v>
      </c>
      <c r="AE7">
        <v>6</v>
      </c>
      <c r="AF7">
        <v>16</v>
      </c>
      <c r="AG7">
        <v>1</v>
      </c>
      <c r="AH7">
        <v>-1</v>
      </c>
      <c r="AI7">
        <v>1</v>
      </c>
      <c r="AJ7">
        <f t="shared" si="3"/>
        <v>140</v>
      </c>
      <c r="AK7">
        <f t="shared" si="4"/>
        <v>152.7777777777778</v>
      </c>
      <c r="AL7">
        <f t="shared" si="5"/>
        <v>154.44444444444446</v>
      </c>
      <c r="AM7">
        <f t="shared" si="6"/>
        <v>-12.7777777777778</v>
      </c>
      <c r="AN7">
        <f t="shared" si="0"/>
        <v>36.805555555555557</v>
      </c>
      <c r="AO7">
        <f t="shared" si="1"/>
        <v>-11.955600719560206</v>
      </c>
    </row>
    <row r="8" spans="1:41" ht="17.5" thickBot="1" x14ac:dyDescent="0.45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7"/>
        <v>154.44444444444446</v>
      </c>
      <c r="O8" s="10">
        <f t="shared" si="8"/>
        <v>502.77777777777737</v>
      </c>
      <c r="P8" s="19">
        <f>AVERAGE(N3:N10)</f>
        <v>214.44444444444446</v>
      </c>
      <c r="Q8" s="21">
        <f>P2*(P4-1)</f>
        <v>64</v>
      </c>
      <c r="S8" s="17" t="s">
        <v>54</v>
      </c>
      <c r="T8" s="6">
        <f t="shared" si="2"/>
        <v>4050</v>
      </c>
      <c r="U8" s="6">
        <f>AVERAGE(E3:M3,E5:M5,E8:M8,E10:M10)</f>
        <v>206.94444444444446</v>
      </c>
      <c r="V8" s="18">
        <f>AVERAGE(E4:M4,E6:M6,E7:M7,E9:M9)</f>
        <v>221.94444444444446</v>
      </c>
      <c r="X8" s="3" t="s">
        <v>20</v>
      </c>
      <c r="Y8" s="6">
        <f t="shared" si="9"/>
        <v>4050</v>
      </c>
      <c r="Z8" s="6">
        <v>1</v>
      </c>
      <c r="AA8" s="6">
        <f t="shared" si="10"/>
        <v>4050</v>
      </c>
      <c r="AB8" s="6">
        <f t="shared" si="11"/>
        <v>4.723223324559628</v>
      </c>
      <c r="AC8" s="10">
        <f t="shared" si="12"/>
        <v>3.9909237717402912</v>
      </c>
      <c r="AE8">
        <v>7</v>
      </c>
      <c r="AF8">
        <v>22</v>
      </c>
      <c r="AG8">
        <v>-1</v>
      </c>
      <c r="AH8">
        <v>1</v>
      </c>
      <c r="AI8">
        <v>1</v>
      </c>
      <c r="AJ8">
        <f t="shared" si="3"/>
        <v>175</v>
      </c>
      <c r="AK8">
        <f t="shared" si="4"/>
        <v>198.33333333333334</v>
      </c>
      <c r="AL8">
        <f t="shared" si="5"/>
        <v>225.55555555555554</v>
      </c>
      <c r="AM8">
        <f t="shared" si="6"/>
        <v>-23.333333333333343</v>
      </c>
      <c r="AN8">
        <f t="shared" si="0"/>
        <v>22.916666666666668</v>
      </c>
      <c r="AO8">
        <f t="shared" si="1"/>
        <v>-26.308606087044208</v>
      </c>
    </row>
    <row r="9" spans="1:41" x14ac:dyDescent="0.4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7"/>
        <v>225.55555555555554</v>
      </c>
      <c r="O9" s="10">
        <f t="shared" si="8"/>
        <v>815.27777777778101</v>
      </c>
      <c r="S9" s="17" t="s">
        <v>55</v>
      </c>
      <c r="T9" s="6">
        <f t="shared" si="2"/>
        <v>672.22222222222297</v>
      </c>
      <c r="U9" s="6">
        <f>AVERAGE(E4:M4,E5:M5,E7:M7,E10:M10)</f>
        <v>217.5</v>
      </c>
      <c r="V9" s="18">
        <f>AVERAGE(E3:M3,E6:M6,E8:M8,E9:M9)</f>
        <v>211.38888888888889</v>
      </c>
      <c r="X9" s="3" t="s">
        <v>22</v>
      </c>
      <c r="Y9" s="6">
        <f t="shared" si="9"/>
        <v>672.22222222222297</v>
      </c>
      <c r="Z9" s="6">
        <v>1</v>
      </c>
      <c r="AA9" s="6">
        <f t="shared" si="10"/>
        <v>672.22222222222297</v>
      </c>
      <c r="AB9" s="6">
        <f t="shared" si="11"/>
        <v>0.78396436525612578</v>
      </c>
      <c r="AC9" s="10">
        <f t="shared" si="12"/>
        <v>3.9909237717402912</v>
      </c>
      <c r="AE9">
        <v>8</v>
      </c>
      <c r="AF9">
        <v>1</v>
      </c>
      <c r="AG9">
        <v>1</v>
      </c>
      <c r="AH9">
        <v>1</v>
      </c>
      <c r="AI9">
        <v>1</v>
      </c>
      <c r="AJ9">
        <f t="shared" si="3"/>
        <v>180</v>
      </c>
      <c r="AK9">
        <f t="shared" si="4"/>
        <v>166.11111111111111</v>
      </c>
      <c r="AL9">
        <f t="shared" si="5"/>
        <v>199.44444444444446</v>
      </c>
      <c r="AM9">
        <f t="shared" si="6"/>
        <v>13.888888888888886</v>
      </c>
      <c r="AN9">
        <f t="shared" si="0"/>
        <v>74.305555555555557</v>
      </c>
      <c r="AO9">
        <f t="shared" si="1"/>
        <v>23.158368977613431</v>
      </c>
    </row>
    <row r="10" spans="1:41" ht="17.5" thickBot="1" x14ac:dyDescent="0.45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7"/>
        <v>199.44444444444446</v>
      </c>
      <c r="O10" s="11">
        <f t="shared" si="8"/>
        <v>527.77777777778101</v>
      </c>
      <c r="S10" s="17"/>
      <c r="T10" s="6" cm="1">
        <f t="array" ref="T10">SUM(((E3:M3)-N3)^2)</f>
        <v>9405.5555555555547</v>
      </c>
      <c r="U10" s="6"/>
      <c r="V10" s="18"/>
      <c r="X10" s="3" t="s">
        <v>64</v>
      </c>
      <c r="Y10" s="6">
        <f>T18</f>
        <v>54877.777777777766</v>
      </c>
      <c r="Z10" s="6">
        <f>P2*(P4-1)</f>
        <v>64</v>
      </c>
      <c r="AA10" s="6">
        <f t="shared" si="10"/>
        <v>857.4652777777776</v>
      </c>
      <c r="AB10" s="6"/>
      <c r="AC10" s="10"/>
      <c r="AE10">
        <v>9</v>
      </c>
      <c r="AF10">
        <v>48</v>
      </c>
      <c r="AG10">
        <v>-1</v>
      </c>
      <c r="AH10">
        <v>-1</v>
      </c>
      <c r="AI10">
        <v>-1</v>
      </c>
      <c r="AJ10">
        <f>F3</f>
        <v>300</v>
      </c>
      <c r="AK10">
        <f t="shared" si="4"/>
        <v>300</v>
      </c>
      <c r="AL10">
        <f>AL2</f>
        <v>292.22222222222223</v>
      </c>
      <c r="AM10">
        <f t="shared" si="6"/>
        <v>0</v>
      </c>
      <c r="AN10">
        <f t="shared" si="0"/>
        <v>49.305555555555557</v>
      </c>
      <c r="AO10">
        <f t="shared" si="1"/>
        <v>-0.61756259244648304</v>
      </c>
    </row>
    <row r="11" spans="1:41" ht="17.5" thickBot="1" x14ac:dyDescent="0.45">
      <c r="S11" s="17"/>
      <c r="T11" s="6" cm="1">
        <f t="array" ref="T11">SUM(((E4:M4)-N4)^2)</f>
        <v>6450</v>
      </c>
      <c r="U11" s="6"/>
      <c r="V11" s="18"/>
      <c r="X11" s="28" t="s">
        <v>65</v>
      </c>
      <c r="Y11" s="29">
        <f>SUM(Y3:Y10)</f>
        <v>236077.77777777769</v>
      </c>
      <c r="Z11" s="29">
        <f>P2*P4-1</f>
        <v>71</v>
      </c>
      <c r="AA11" s="29"/>
      <c r="AB11" s="29"/>
      <c r="AC11" s="30"/>
      <c r="AE11">
        <v>10</v>
      </c>
      <c r="AF11">
        <v>28</v>
      </c>
      <c r="AG11">
        <v>1</v>
      </c>
      <c r="AH11">
        <v>-1</v>
      </c>
      <c r="AI11">
        <v>-1</v>
      </c>
      <c r="AJ11">
        <f t="shared" ref="AJ11:AJ17" si="13">F4</f>
        <v>205</v>
      </c>
      <c r="AK11">
        <f t="shared" si="4"/>
        <v>193.33333333333334</v>
      </c>
      <c r="AL11">
        <f t="shared" ref="AL11:AL17" si="14">AL3</f>
        <v>191.66666666666666</v>
      </c>
      <c r="AM11">
        <f t="shared" si="6"/>
        <v>11.666666666666657</v>
      </c>
      <c r="AN11">
        <f t="shared" si="0"/>
        <v>68.75</v>
      </c>
      <c r="AO11">
        <f t="shared" si="1"/>
        <v>17.339710547966966</v>
      </c>
    </row>
    <row r="12" spans="1:41" x14ac:dyDescent="0.4">
      <c r="S12" s="17"/>
      <c r="T12" s="6" cm="1">
        <f t="array" ref="T12">SUM(((E5:M5)-N5)^2)</f>
        <v>4850.0000000000009</v>
      </c>
      <c r="U12" s="6"/>
      <c r="V12" s="18"/>
      <c r="X12" s="12" t="s">
        <v>66</v>
      </c>
      <c r="Y12" s="6">
        <f>SUM(Y3:Y9)/Y11</f>
        <v>0.76754365322163121</v>
      </c>
      <c r="AE12">
        <v>11</v>
      </c>
      <c r="AF12">
        <v>45</v>
      </c>
      <c r="AG12">
        <v>-1</v>
      </c>
      <c r="AH12">
        <v>1</v>
      </c>
      <c r="AI12">
        <v>-1</v>
      </c>
      <c r="AJ12">
        <f t="shared" si="13"/>
        <v>175</v>
      </c>
      <c r="AK12">
        <f t="shared" si="4"/>
        <v>208.88888888888889</v>
      </c>
      <c r="AL12">
        <f t="shared" si="14"/>
        <v>181.66666666666666</v>
      </c>
      <c r="AM12">
        <f t="shared" si="6"/>
        <v>-33.888888888888886</v>
      </c>
      <c r="AN12">
        <f t="shared" si="0"/>
        <v>20.138888888888889</v>
      </c>
      <c r="AO12">
        <f t="shared" si="1"/>
        <v>-29.681516574764466</v>
      </c>
    </row>
    <row r="13" spans="1:41" x14ac:dyDescent="0.4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3450</v>
      </c>
      <c r="U13" s="6"/>
      <c r="V13" s="18"/>
      <c r="X13" s="12" t="s">
        <v>67</v>
      </c>
      <c r="Y13" s="6">
        <f>1-(Y10/Z10)/(Y11/Z11)</f>
        <v>0.74211874029274716</v>
      </c>
      <c r="AE13">
        <v>12</v>
      </c>
      <c r="AF13">
        <v>47</v>
      </c>
      <c r="AG13">
        <v>1</v>
      </c>
      <c r="AH13">
        <v>1</v>
      </c>
      <c r="AI13">
        <v>-1</v>
      </c>
      <c r="AJ13">
        <f t="shared" si="13"/>
        <v>210</v>
      </c>
      <c r="AK13">
        <f t="shared" si="4"/>
        <v>206.66666666666666</v>
      </c>
      <c r="AL13">
        <f t="shared" si="14"/>
        <v>173.33333333333334</v>
      </c>
      <c r="AM13">
        <f t="shared" si="6"/>
        <v>3.3333333333333428</v>
      </c>
      <c r="AN13">
        <f t="shared" si="0"/>
        <v>54.861111111111114</v>
      </c>
      <c r="AO13">
        <f t="shared" si="1"/>
        <v>4.3334726389105809</v>
      </c>
    </row>
    <row r="14" spans="1:41" ht="17.5" thickBot="1" x14ac:dyDescent="0.45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5">SUMPRODUCT(B14:B85,$I$14:$I$85)/($P$2/2*$P$4)</f>
        <v>-69.444444444444443</v>
      </c>
      <c r="L14">
        <f t="shared" si="15"/>
        <v>-38.888888888888886</v>
      </c>
      <c r="M14">
        <f t="shared" si="15"/>
        <v>9.4444444444444446</v>
      </c>
      <c r="N14">
        <f t="shared" si="15"/>
        <v>52.222222222222221</v>
      </c>
      <c r="O14">
        <f t="shared" si="15"/>
        <v>25.555555555555557</v>
      </c>
      <c r="P14">
        <f t="shared" si="15"/>
        <v>-15</v>
      </c>
      <c r="Q14">
        <f t="shared" si="15"/>
        <v>6.1111111111111107</v>
      </c>
      <c r="S14" s="17"/>
      <c r="T14" s="6" cm="1">
        <f t="array" ref="T14">SUM(((E7:M7)-N7)^2)</f>
        <v>15955.555555555557</v>
      </c>
      <c r="U14" s="6"/>
      <c r="V14" s="18"/>
      <c r="AE14">
        <v>13</v>
      </c>
      <c r="AF14">
        <v>34</v>
      </c>
      <c r="AG14">
        <v>-1</v>
      </c>
      <c r="AH14">
        <v>-1</v>
      </c>
      <c r="AI14">
        <v>1</v>
      </c>
      <c r="AJ14">
        <f t="shared" si="13"/>
        <v>290</v>
      </c>
      <c r="AK14">
        <f t="shared" si="4"/>
        <v>289.44444444444446</v>
      </c>
      <c r="AL14">
        <f t="shared" si="14"/>
        <v>297.22222222222223</v>
      </c>
      <c r="AM14">
        <f t="shared" si="6"/>
        <v>0.55555555555554292</v>
      </c>
      <c r="AN14">
        <f t="shared" si="0"/>
        <v>53.472222222222221</v>
      </c>
      <c r="AO14">
        <f t="shared" si="1"/>
        <v>3.0915656611438624</v>
      </c>
    </row>
    <row r="15" spans="1:41" x14ac:dyDescent="0.4">
      <c r="A15">
        <v>2</v>
      </c>
      <c r="B15">
        <v>1</v>
      </c>
      <c r="C15">
        <v>-1</v>
      </c>
      <c r="D15">
        <v>-1</v>
      </c>
      <c r="E15">
        <f t="shared" ref="E15:E78" si="16">B15*C15</f>
        <v>-1</v>
      </c>
      <c r="F15">
        <f t="shared" ref="F15:F78" si="17">C15*D15</f>
        <v>1</v>
      </c>
      <c r="G15">
        <f t="shared" ref="G15:G78" si="18">B15*D15</f>
        <v>-1</v>
      </c>
      <c r="H15">
        <f t="shared" ref="H15:H78" si="19">B15*C15*D15</f>
        <v>1</v>
      </c>
      <c r="I15">
        <f t="shared" ref="I15:I21" si="20">E4</f>
        <v>200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4022.2222222222226</v>
      </c>
      <c r="U15" s="6"/>
      <c r="V15" s="18"/>
      <c r="X15" s="2" t="s">
        <v>56</v>
      </c>
      <c r="Y15" s="26" t="s">
        <v>57</v>
      </c>
      <c r="Z15" s="26" t="s">
        <v>58</v>
      </c>
      <c r="AA15" s="26" t="s">
        <v>59</v>
      </c>
      <c r="AB15" s="26" t="s">
        <v>60</v>
      </c>
      <c r="AC15" s="27" t="s">
        <v>61</v>
      </c>
      <c r="AE15">
        <v>14</v>
      </c>
      <c r="AF15">
        <v>31</v>
      </c>
      <c r="AG15">
        <v>1</v>
      </c>
      <c r="AH15">
        <v>-1</v>
      </c>
      <c r="AI15">
        <v>1</v>
      </c>
      <c r="AJ15">
        <f t="shared" si="13"/>
        <v>150</v>
      </c>
      <c r="AK15">
        <f t="shared" si="4"/>
        <v>152.7777777777778</v>
      </c>
      <c r="AL15">
        <f t="shared" si="14"/>
        <v>154.44444444444446</v>
      </c>
      <c r="AM15">
        <f t="shared" si="6"/>
        <v>-2.7777777777777999</v>
      </c>
      <c r="AN15">
        <f t="shared" si="0"/>
        <v>46.527777777777779</v>
      </c>
      <c r="AO15">
        <f t="shared" si="1"/>
        <v>-3.091565661143874</v>
      </c>
    </row>
    <row r="16" spans="1:41" x14ac:dyDescent="0.4">
      <c r="A16">
        <v>3</v>
      </c>
      <c r="B16">
        <v>-1</v>
      </c>
      <c r="C16">
        <v>1</v>
      </c>
      <c r="D16">
        <v>-1</v>
      </c>
      <c r="E16">
        <f t="shared" si="16"/>
        <v>-1</v>
      </c>
      <c r="F16">
        <f t="shared" si="17"/>
        <v>-1</v>
      </c>
      <c r="G16">
        <f t="shared" si="18"/>
        <v>1</v>
      </c>
      <c r="H16">
        <f t="shared" si="19"/>
        <v>1</v>
      </c>
      <c r="I16">
        <f t="shared" si="20"/>
        <v>150</v>
      </c>
      <c r="J16" s="37">
        <f>AVERAGE(E3:M10)</f>
        <v>214.44444444444446</v>
      </c>
      <c r="K16" s="37">
        <f>K14/2</f>
        <v>-34.722222222222221</v>
      </c>
      <c r="L16" s="37">
        <f t="shared" ref="L16:Q16" si="21">L14/2</f>
        <v>-19.444444444444443</v>
      </c>
      <c r="M16" s="38">
        <f t="shared" si="21"/>
        <v>4.7222222222222223</v>
      </c>
      <c r="N16" s="37">
        <f t="shared" si="21"/>
        <v>26.111111111111111</v>
      </c>
      <c r="O16" s="37">
        <f t="shared" si="21"/>
        <v>12.777777777777779</v>
      </c>
      <c r="P16" s="37">
        <f t="shared" si="21"/>
        <v>-7.5</v>
      </c>
      <c r="Q16">
        <f t="shared" si="21"/>
        <v>3.0555555555555554</v>
      </c>
      <c r="S16" s="17"/>
      <c r="T16" s="6" cm="1">
        <f t="array" ref="T16">SUM(((E9:M9)-N9)^2)</f>
        <v>6522.2222222222226</v>
      </c>
      <c r="U16" s="6"/>
      <c r="V16" s="18"/>
      <c r="X16" s="3" t="s">
        <v>17</v>
      </c>
      <c r="Y16" s="6">
        <f>T3</f>
        <v>86805.555555555504</v>
      </c>
      <c r="Z16" s="6">
        <v>1</v>
      </c>
      <c r="AA16" s="6">
        <f>Y16/Z16</f>
        <v>86805.555555555504</v>
      </c>
      <c r="AB16" s="6">
        <f>AA16/$AA$21</f>
        <v>100.23814152410573</v>
      </c>
      <c r="AC16" s="10">
        <f>_xlfn.F.INV.RT(0.05,Z16,$Z$21)</f>
        <v>3.9862694790263804</v>
      </c>
      <c r="AE16">
        <v>15</v>
      </c>
      <c r="AF16">
        <v>32</v>
      </c>
      <c r="AG16">
        <v>-1</v>
      </c>
      <c r="AH16">
        <v>1</v>
      </c>
      <c r="AI16">
        <v>1</v>
      </c>
      <c r="AJ16">
        <f t="shared" si="13"/>
        <v>210</v>
      </c>
      <c r="AK16">
        <f t="shared" si="4"/>
        <v>198.33333333333334</v>
      </c>
      <c r="AL16">
        <f t="shared" si="14"/>
        <v>225.55555555555554</v>
      </c>
      <c r="AM16">
        <f t="shared" si="6"/>
        <v>11.666666666666657</v>
      </c>
      <c r="AN16">
        <f t="shared" si="0"/>
        <v>68.75</v>
      </c>
      <c r="AO16">
        <f t="shared" si="1"/>
        <v>17.339710547966966</v>
      </c>
    </row>
    <row r="17" spans="1:41" x14ac:dyDescent="0.4">
      <c r="A17">
        <v>4</v>
      </c>
      <c r="B17">
        <v>1</v>
      </c>
      <c r="C17">
        <v>1</v>
      </c>
      <c r="D17">
        <v>-1</v>
      </c>
      <c r="E17">
        <f t="shared" si="16"/>
        <v>1</v>
      </c>
      <c r="F17">
        <f t="shared" si="17"/>
        <v>-1</v>
      </c>
      <c r="G17">
        <f t="shared" si="18"/>
        <v>-1</v>
      </c>
      <c r="H17">
        <f t="shared" si="19"/>
        <v>-1</v>
      </c>
      <c r="I17">
        <f t="shared" si="20"/>
        <v>170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4222.2222222222217</v>
      </c>
      <c r="U17" s="6" t="s">
        <v>47</v>
      </c>
      <c r="V17" s="18"/>
      <c r="X17" s="3" t="s">
        <v>18</v>
      </c>
      <c r="Y17" s="6">
        <f>T4</f>
        <v>27222.222222222219</v>
      </c>
      <c r="Z17" s="6">
        <v>1</v>
      </c>
      <c r="AA17" s="6">
        <f>Y17/Z17</f>
        <v>27222.222222222219</v>
      </c>
      <c r="AB17" s="6">
        <f>AA17/$AA$21</f>
        <v>31.434681181959572</v>
      </c>
      <c r="AC17" s="10">
        <f>_xlfn.F.INV.RT(0.05,Z17,$Z$21)</f>
        <v>3.9862694790263804</v>
      </c>
      <c r="AE17">
        <v>16</v>
      </c>
      <c r="AF17">
        <v>44</v>
      </c>
      <c r="AG17">
        <v>1</v>
      </c>
      <c r="AH17">
        <v>1</v>
      </c>
      <c r="AI17">
        <v>1</v>
      </c>
      <c r="AJ17">
        <f t="shared" si="13"/>
        <v>175</v>
      </c>
      <c r="AK17">
        <f t="shared" si="4"/>
        <v>166.11111111111111</v>
      </c>
      <c r="AL17">
        <f t="shared" si="14"/>
        <v>199.44444444444446</v>
      </c>
      <c r="AM17">
        <f t="shared" si="6"/>
        <v>8.8888888888888857</v>
      </c>
      <c r="AN17">
        <f t="shared" si="0"/>
        <v>61.805555555555557</v>
      </c>
      <c r="AO17">
        <f t="shared" si="1"/>
        <v>10.656133169355956</v>
      </c>
    </row>
    <row r="18" spans="1:41" ht="17.5" thickBot="1" x14ac:dyDescent="0.45">
      <c r="A18">
        <v>5</v>
      </c>
      <c r="B18">
        <v>-1</v>
      </c>
      <c r="C18">
        <v>-1</v>
      </c>
      <c r="D18">
        <v>1</v>
      </c>
      <c r="E18">
        <f t="shared" si="16"/>
        <v>1</v>
      </c>
      <c r="F18">
        <f t="shared" si="17"/>
        <v>-1</v>
      </c>
      <c r="G18">
        <f t="shared" si="18"/>
        <v>-1</v>
      </c>
      <c r="H18">
        <f t="shared" si="19"/>
        <v>1</v>
      </c>
      <c r="I18">
        <f t="shared" si="20"/>
        <v>300</v>
      </c>
      <c r="J18">
        <v>7</v>
      </c>
      <c r="K18" t="s">
        <v>17</v>
      </c>
      <c r="L18">
        <f>K14</f>
        <v>-69.444444444444443</v>
      </c>
      <c r="M18">
        <f t="shared" ref="M18:M24" si="22">(L18-0)/$Q$6</f>
        <v>-10.061563885773202</v>
      </c>
      <c r="N18">
        <f t="shared" ref="N18:N24" si="23">IF(_xlfn.T.DIST(M18,$Q$8,1)&gt;0.5,(1-_xlfn.T.DIST(M18,$Q$8,1))*2,_xlfn.T.DIST(M18,$Q$8,1)*2)</f>
        <v>8.2786488884469608E-15</v>
      </c>
      <c r="O18">
        <f>_xlfn.T.INV(0.025,64)</f>
        <v>-1.9977296543176954</v>
      </c>
      <c r="P18">
        <f>_xlfn.T.INV(0.975,64)</f>
        <v>1.9977296543176919</v>
      </c>
      <c r="Q18">
        <f t="shared" ref="Q18:Q24" si="24">L18-P18*$Q$6</f>
        <v>-83.23268129999397</v>
      </c>
      <c r="R18">
        <f t="shared" ref="R18:R24" si="25">L18+P18*$Q$6</f>
        <v>-55.656207588894915</v>
      </c>
      <c r="S18" s="19" t="s">
        <v>51</v>
      </c>
      <c r="T18" s="20">
        <f>SUM(T10:T17)</f>
        <v>54877.777777777766</v>
      </c>
      <c r="U18" s="20">
        <f>T18+SUM(T3:T9)</f>
        <v>236077.77777777769</v>
      </c>
      <c r="V18" s="21"/>
      <c r="X18" s="3" t="s">
        <v>33</v>
      </c>
      <c r="Y18" s="6">
        <f>T6</f>
        <v>49088.888888888854</v>
      </c>
      <c r="Z18" s="6">
        <v>1</v>
      </c>
      <c r="AA18" s="6">
        <f>Y18/Z18</f>
        <v>49088.888888888854</v>
      </c>
      <c r="AB18" s="6">
        <f>AA18/$AA$21</f>
        <v>56.685069984447878</v>
      </c>
      <c r="AC18" s="10">
        <f>_xlfn.F.INV.RT(0.05,Z18,$Z$21)</f>
        <v>3.9862694790263804</v>
      </c>
      <c r="AE18">
        <v>17</v>
      </c>
      <c r="AF18">
        <v>59</v>
      </c>
      <c r="AG18">
        <v>-1</v>
      </c>
      <c r="AH18">
        <v>-1</v>
      </c>
      <c r="AI18">
        <v>-1</v>
      </c>
      <c r="AJ18">
        <f>G3</f>
        <v>285</v>
      </c>
      <c r="AK18">
        <f t="shared" si="4"/>
        <v>300</v>
      </c>
      <c r="AL18">
        <f>AL10</f>
        <v>292.22222222222223</v>
      </c>
      <c r="AM18">
        <f t="shared" si="6"/>
        <v>-15</v>
      </c>
      <c r="AN18">
        <f t="shared" si="0"/>
        <v>32.638888888888886</v>
      </c>
      <c r="AO18">
        <f t="shared" si="1"/>
        <v>-15.960775308127316</v>
      </c>
    </row>
    <row r="19" spans="1:41" x14ac:dyDescent="0.4">
      <c r="A19">
        <v>6</v>
      </c>
      <c r="B19">
        <v>1</v>
      </c>
      <c r="C19">
        <v>-1</v>
      </c>
      <c r="D19">
        <v>1</v>
      </c>
      <c r="E19">
        <f t="shared" si="16"/>
        <v>-1</v>
      </c>
      <c r="F19">
        <f t="shared" si="17"/>
        <v>-1</v>
      </c>
      <c r="G19">
        <f t="shared" si="18"/>
        <v>1</v>
      </c>
      <c r="H19">
        <f t="shared" si="19"/>
        <v>-1</v>
      </c>
      <c r="I19">
        <f t="shared" si="20"/>
        <v>140</v>
      </c>
      <c r="J19">
        <v>6</v>
      </c>
      <c r="K19" t="s">
        <v>18</v>
      </c>
      <c r="L19">
        <f>L14</f>
        <v>-38.888888888888886</v>
      </c>
      <c r="M19">
        <f t="shared" si="22"/>
        <v>-5.6344757760329927</v>
      </c>
      <c r="N19">
        <f t="shared" si="23"/>
        <v>4.2283132864828538E-7</v>
      </c>
      <c r="O19">
        <f t="shared" ref="O19:O24" si="26">_xlfn.T.INV(0.025,64)</f>
        <v>-1.9977296543176954</v>
      </c>
      <c r="P19">
        <f t="shared" ref="P19:P24" si="27">_xlfn.T.INV(0.975,64)</f>
        <v>1.9977296543176919</v>
      </c>
      <c r="Q19">
        <f t="shared" si="24"/>
        <v>-52.677125744438413</v>
      </c>
      <c r="R19">
        <f t="shared" si="25"/>
        <v>-25.100652033339358</v>
      </c>
      <c r="X19" s="3" t="s">
        <v>21</v>
      </c>
      <c r="Y19" s="6">
        <f>T7</f>
        <v>11755.555555555571</v>
      </c>
      <c r="Z19" s="12">
        <v>1</v>
      </c>
      <c r="AA19" s="6">
        <f t="shared" ref="AA19:AA20" si="28">Y19/Z19</f>
        <v>11755.555555555571</v>
      </c>
      <c r="AB19" s="6">
        <f t="shared" ref="AB19:AB20" si="29">AA19/$AA$21</f>
        <v>13.57465007776052</v>
      </c>
      <c r="AC19" s="10">
        <f t="shared" ref="AC19:AC20" si="30">_xlfn.F.INV.RT(0.05,Z19,$Z$21)</f>
        <v>3.9862694790263804</v>
      </c>
      <c r="AE19">
        <v>18</v>
      </c>
      <c r="AF19">
        <v>63</v>
      </c>
      <c r="AG19">
        <v>1</v>
      </c>
      <c r="AH19">
        <v>-1</v>
      </c>
      <c r="AI19">
        <v>-1</v>
      </c>
      <c r="AJ19">
        <f t="shared" ref="AJ19:AJ25" si="31">G4</f>
        <v>230</v>
      </c>
      <c r="AK19">
        <f t="shared" si="4"/>
        <v>193.33333333333334</v>
      </c>
      <c r="AL19">
        <f t="shared" ref="AL19:AL25" si="32">AL11</f>
        <v>191.66666666666666</v>
      </c>
      <c r="AM19">
        <f t="shared" si="6"/>
        <v>36.666666666666657</v>
      </c>
      <c r="AN19">
        <f t="shared" si="0"/>
        <v>84.027777777777771</v>
      </c>
      <c r="AO19">
        <f t="shared" si="1"/>
        <v>35.319664884465048</v>
      </c>
    </row>
    <row r="20" spans="1:41" x14ac:dyDescent="0.4">
      <c r="A20">
        <v>7</v>
      </c>
      <c r="B20">
        <v>-1</v>
      </c>
      <c r="C20">
        <v>1</v>
      </c>
      <c r="D20">
        <v>1</v>
      </c>
      <c r="E20">
        <f t="shared" si="16"/>
        <v>-1</v>
      </c>
      <c r="F20">
        <f t="shared" si="17"/>
        <v>1</v>
      </c>
      <c r="G20">
        <f t="shared" si="18"/>
        <v>-1</v>
      </c>
      <c r="H20">
        <f t="shared" si="19"/>
        <v>-1</v>
      </c>
      <c r="I20">
        <f t="shared" si="20"/>
        <v>175</v>
      </c>
      <c r="J20">
        <v>5</v>
      </c>
      <c r="K20" t="s">
        <v>19</v>
      </c>
      <c r="L20">
        <f>M14</f>
        <v>9.4444444444444446</v>
      </c>
      <c r="M20">
        <f t="shared" si="22"/>
        <v>1.3683726884651555</v>
      </c>
      <c r="N20">
        <f t="shared" si="23"/>
        <v>0.17598015360623664</v>
      </c>
      <c r="O20">
        <f t="shared" si="26"/>
        <v>-1.9977296543176954</v>
      </c>
      <c r="P20">
        <f t="shared" si="27"/>
        <v>1.9977296543176919</v>
      </c>
      <c r="Q20">
        <f t="shared" si="24"/>
        <v>-4.3437924111050812</v>
      </c>
      <c r="R20">
        <f t="shared" si="25"/>
        <v>23.23268129999397</v>
      </c>
      <c r="X20" s="68" t="s">
        <v>20</v>
      </c>
      <c r="Y20">
        <f>T8</f>
        <v>4050</v>
      </c>
      <c r="Z20" s="12">
        <v>1</v>
      </c>
      <c r="AA20" s="6">
        <f t="shared" si="28"/>
        <v>4050</v>
      </c>
      <c r="AB20" s="6">
        <f t="shared" si="29"/>
        <v>4.6767107309486793</v>
      </c>
      <c r="AC20" s="10">
        <f t="shared" si="30"/>
        <v>3.9862694790263804</v>
      </c>
      <c r="AE20">
        <v>19</v>
      </c>
      <c r="AF20">
        <v>54</v>
      </c>
      <c r="AG20">
        <v>-1</v>
      </c>
      <c r="AH20">
        <v>1</v>
      </c>
      <c r="AI20">
        <v>-1</v>
      </c>
      <c r="AJ20">
        <f t="shared" si="31"/>
        <v>160</v>
      </c>
      <c r="AK20">
        <f t="shared" si="4"/>
        <v>208.88888888888889</v>
      </c>
      <c r="AL20">
        <f t="shared" si="32"/>
        <v>181.66666666666666</v>
      </c>
      <c r="AM20">
        <f t="shared" si="6"/>
        <v>-48.888888888888886</v>
      </c>
      <c r="AN20">
        <f t="shared" si="0"/>
        <v>9.0277777777777786</v>
      </c>
      <c r="AO20">
        <f t="shared" si="1"/>
        <v>-47.503678826659737</v>
      </c>
    </row>
    <row r="21" spans="1:41" x14ac:dyDescent="0.4">
      <c r="A21">
        <v>8</v>
      </c>
      <c r="B21">
        <v>1</v>
      </c>
      <c r="C21">
        <v>1</v>
      </c>
      <c r="D21">
        <v>1</v>
      </c>
      <c r="E21">
        <f t="shared" si="16"/>
        <v>1</v>
      </c>
      <c r="F21">
        <f t="shared" si="17"/>
        <v>1</v>
      </c>
      <c r="G21">
        <f t="shared" si="18"/>
        <v>1</v>
      </c>
      <c r="H21">
        <f t="shared" si="19"/>
        <v>1</v>
      </c>
      <c r="I21">
        <f t="shared" si="20"/>
        <v>180</v>
      </c>
      <c r="J21">
        <v>4</v>
      </c>
      <c r="K21" t="s">
        <v>33</v>
      </c>
      <c r="L21">
        <f>N14</f>
        <v>52.222222222222221</v>
      </c>
      <c r="M21">
        <f t="shared" si="22"/>
        <v>7.566296042101448</v>
      </c>
      <c r="N21">
        <f t="shared" si="23"/>
        <v>1.8754642283624889E-10</v>
      </c>
      <c r="O21">
        <f t="shared" si="26"/>
        <v>-1.9977296543176954</v>
      </c>
      <c r="P21">
        <f t="shared" si="27"/>
        <v>1.9977296543176919</v>
      </c>
      <c r="Q21">
        <f t="shared" si="24"/>
        <v>38.433985366672694</v>
      </c>
      <c r="R21">
        <f t="shared" si="25"/>
        <v>66.010459077771742</v>
      </c>
      <c r="X21" s="3" t="s">
        <v>64</v>
      </c>
      <c r="Y21" s="6">
        <f>SUM(T5,T9,T18)</f>
        <v>57155.55555555554</v>
      </c>
      <c r="Z21" s="6">
        <f>Z22-SUM(Z16:Z20)</f>
        <v>66</v>
      </c>
      <c r="AA21" s="6">
        <f t="shared" ref="AA21" si="33">Y21/Z21</f>
        <v>865.99326599326571</v>
      </c>
      <c r="AB21" s="6"/>
      <c r="AC21" s="10"/>
      <c r="AE21">
        <v>20</v>
      </c>
      <c r="AF21">
        <v>72</v>
      </c>
      <c r="AG21">
        <v>1</v>
      </c>
      <c r="AH21">
        <v>1</v>
      </c>
      <c r="AI21">
        <v>-1</v>
      </c>
      <c r="AJ21">
        <f t="shared" si="31"/>
        <v>160</v>
      </c>
      <c r="AK21">
        <f t="shared" si="4"/>
        <v>206.66666666666666</v>
      </c>
      <c r="AL21">
        <f t="shared" si="32"/>
        <v>173.33333333333334</v>
      </c>
      <c r="AM21">
        <f t="shared" si="6"/>
        <v>-46.666666666666657</v>
      </c>
      <c r="AN21">
        <f t="shared" si="0"/>
        <v>10.416666666666666</v>
      </c>
      <c r="AO21">
        <f t="shared" si="1"/>
        <v>-44.634227011201219</v>
      </c>
    </row>
    <row r="22" spans="1:41" ht="17.5" thickBot="1" x14ac:dyDescent="0.45">
      <c r="A22">
        <v>1</v>
      </c>
      <c r="B22">
        <v>-1</v>
      </c>
      <c r="C22">
        <v>-1</v>
      </c>
      <c r="D22">
        <v>-1</v>
      </c>
      <c r="E22">
        <f t="shared" si="16"/>
        <v>1</v>
      </c>
      <c r="F22">
        <f t="shared" si="17"/>
        <v>1</v>
      </c>
      <c r="G22">
        <f t="shared" si="18"/>
        <v>1</v>
      </c>
      <c r="H22">
        <f t="shared" si="19"/>
        <v>-1</v>
      </c>
      <c r="I22">
        <f>F3</f>
        <v>300</v>
      </c>
      <c r="J22">
        <v>3</v>
      </c>
      <c r="K22" t="s">
        <v>21</v>
      </c>
      <c r="L22">
        <f>O14</f>
        <v>25.555555555555557</v>
      </c>
      <c r="M22">
        <f t="shared" si="22"/>
        <v>3.7026555099645386</v>
      </c>
      <c r="N22">
        <f t="shared" si="23"/>
        <v>4.46435115563526E-4</v>
      </c>
      <c r="O22">
        <f t="shared" si="26"/>
        <v>-1.9977296543176954</v>
      </c>
      <c r="P22">
        <f t="shared" si="27"/>
        <v>1.9977296543176919</v>
      </c>
      <c r="Q22">
        <f t="shared" si="24"/>
        <v>11.767318700006031</v>
      </c>
      <c r="R22">
        <f t="shared" si="25"/>
        <v>39.343792411105085</v>
      </c>
      <c r="X22" s="28" t="s">
        <v>65</v>
      </c>
      <c r="Y22" s="29">
        <f>U18</f>
        <v>236077.77777777769</v>
      </c>
      <c r="Z22" s="29">
        <f>P6-1</f>
        <v>71</v>
      </c>
      <c r="AA22" s="29"/>
      <c r="AB22" s="29"/>
      <c r="AC22" s="30"/>
      <c r="AE22">
        <v>21</v>
      </c>
      <c r="AF22">
        <v>70</v>
      </c>
      <c r="AG22">
        <v>-1</v>
      </c>
      <c r="AH22">
        <v>-1</v>
      </c>
      <c r="AI22">
        <v>1</v>
      </c>
      <c r="AJ22">
        <f t="shared" si="31"/>
        <v>345</v>
      </c>
      <c r="AK22">
        <f t="shared" si="4"/>
        <v>289.44444444444446</v>
      </c>
      <c r="AL22">
        <f t="shared" si="32"/>
        <v>297.22222222222223</v>
      </c>
      <c r="AM22">
        <f t="shared" si="6"/>
        <v>55.555555555555543</v>
      </c>
      <c r="AN22">
        <f t="shared" si="0"/>
        <v>93.75</v>
      </c>
      <c r="AO22">
        <f t="shared" si="1"/>
        <v>54.424079353784329</v>
      </c>
    </row>
    <row r="23" spans="1:41" x14ac:dyDescent="0.4">
      <c r="A23">
        <v>2</v>
      </c>
      <c r="B23">
        <v>1</v>
      </c>
      <c r="C23">
        <v>-1</v>
      </c>
      <c r="D23">
        <v>-1</v>
      </c>
      <c r="E23">
        <f t="shared" si="16"/>
        <v>-1</v>
      </c>
      <c r="F23">
        <f t="shared" si="17"/>
        <v>1</v>
      </c>
      <c r="G23">
        <f t="shared" si="18"/>
        <v>-1</v>
      </c>
      <c r="H23">
        <f t="shared" si="19"/>
        <v>1</v>
      </c>
      <c r="I23">
        <f t="shared" ref="I23:I29" si="34">F4</f>
        <v>205</v>
      </c>
      <c r="J23">
        <v>2</v>
      </c>
      <c r="K23" t="s">
        <v>20</v>
      </c>
      <c r="L23">
        <f>P14</f>
        <v>-15</v>
      </c>
      <c r="M23">
        <f t="shared" si="22"/>
        <v>-2.1732977993270115</v>
      </c>
      <c r="N23">
        <f t="shared" si="23"/>
        <v>3.3465378030676521E-2</v>
      </c>
      <c r="O23">
        <f t="shared" si="26"/>
        <v>-1.9977296543176954</v>
      </c>
      <c r="P23">
        <f t="shared" si="27"/>
        <v>1.9977296543176919</v>
      </c>
      <c r="Q23">
        <f t="shared" si="24"/>
        <v>-28.788236855549528</v>
      </c>
      <c r="R23">
        <f t="shared" si="25"/>
        <v>-1.2117631444504742</v>
      </c>
      <c r="X23" s="12" t="s">
        <v>66</v>
      </c>
      <c r="Y23">
        <f>SUM(Y16:Y20)/Y22</f>
        <v>0.75789523226808475</v>
      </c>
      <c r="AE23">
        <v>22</v>
      </c>
      <c r="AF23">
        <v>66</v>
      </c>
      <c r="AG23">
        <v>1</v>
      </c>
      <c r="AH23">
        <v>-1</v>
      </c>
      <c r="AI23">
        <v>1</v>
      </c>
      <c r="AJ23">
        <f t="shared" si="31"/>
        <v>145</v>
      </c>
      <c r="AK23">
        <f t="shared" si="4"/>
        <v>152.7777777777778</v>
      </c>
      <c r="AL23">
        <f t="shared" si="32"/>
        <v>154.44444444444446</v>
      </c>
      <c r="AM23">
        <f t="shared" si="6"/>
        <v>-7.7777777777777999</v>
      </c>
      <c r="AN23">
        <f t="shared" si="0"/>
        <v>39.583333333333336</v>
      </c>
      <c r="AO23">
        <f t="shared" si="1"/>
        <v>-9.3708125354018179</v>
      </c>
    </row>
    <row r="24" spans="1:41" x14ac:dyDescent="0.4">
      <c r="A24">
        <v>3</v>
      </c>
      <c r="B24">
        <v>-1</v>
      </c>
      <c r="C24">
        <v>1</v>
      </c>
      <c r="D24">
        <v>-1</v>
      </c>
      <c r="E24">
        <f t="shared" si="16"/>
        <v>-1</v>
      </c>
      <c r="F24">
        <f t="shared" si="17"/>
        <v>-1</v>
      </c>
      <c r="G24">
        <f t="shared" si="18"/>
        <v>1</v>
      </c>
      <c r="H24">
        <f t="shared" si="19"/>
        <v>1</v>
      </c>
      <c r="I24">
        <f t="shared" si="34"/>
        <v>175</v>
      </c>
      <c r="J24">
        <v>1</v>
      </c>
      <c r="K24" t="s">
        <v>22</v>
      </c>
      <c r="L24">
        <f>Q14</f>
        <v>6.1111111111111107</v>
      </c>
      <c r="M24">
        <f t="shared" si="22"/>
        <v>0.88541762194804174</v>
      </c>
      <c r="N24">
        <f t="shared" si="23"/>
        <v>0.37924609779040441</v>
      </c>
      <c r="O24">
        <f t="shared" si="26"/>
        <v>-1.9977296543176954</v>
      </c>
      <c r="P24">
        <f t="shared" si="27"/>
        <v>1.9977296543176919</v>
      </c>
      <c r="Q24">
        <f t="shared" si="24"/>
        <v>-7.6771257444384151</v>
      </c>
      <c r="R24">
        <f t="shared" si="25"/>
        <v>19.899347966660635</v>
      </c>
      <c r="X24" s="12" t="s">
        <v>67</v>
      </c>
      <c r="Y24">
        <f>1-(Y21/Z21)/(Y22/Z22)</f>
        <v>0.73955396198536405</v>
      </c>
      <c r="AE24">
        <v>23</v>
      </c>
      <c r="AF24">
        <v>57</v>
      </c>
      <c r="AG24">
        <v>-1</v>
      </c>
      <c r="AH24">
        <v>1</v>
      </c>
      <c r="AI24">
        <v>1</v>
      </c>
      <c r="AJ24">
        <f t="shared" si="31"/>
        <v>230</v>
      </c>
      <c r="AK24">
        <f t="shared" si="4"/>
        <v>198.33333333333334</v>
      </c>
      <c r="AL24">
        <f t="shared" si="32"/>
        <v>225.55555555555554</v>
      </c>
      <c r="AM24">
        <f t="shared" si="6"/>
        <v>31.666666666666657</v>
      </c>
      <c r="AN24">
        <f t="shared" si="0"/>
        <v>77.083333333333329</v>
      </c>
      <c r="AO24">
        <f t="shared" si="1"/>
        <v>26.308606087044197</v>
      </c>
    </row>
    <row r="25" spans="1:41" x14ac:dyDescent="0.4">
      <c r="A25">
        <v>4</v>
      </c>
      <c r="B25">
        <v>1</v>
      </c>
      <c r="C25">
        <v>1</v>
      </c>
      <c r="D25">
        <v>-1</v>
      </c>
      <c r="E25">
        <f t="shared" si="16"/>
        <v>1</v>
      </c>
      <c r="F25">
        <f t="shared" si="17"/>
        <v>-1</v>
      </c>
      <c r="G25">
        <f t="shared" si="18"/>
        <v>-1</v>
      </c>
      <c r="H25">
        <f t="shared" si="19"/>
        <v>-1</v>
      </c>
      <c r="I25">
        <f t="shared" si="34"/>
        <v>210</v>
      </c>
      <c r="AE25">
        <v>24</v>
      </c>
      <c r="AF25">
        <v>56</v>
      </c>
      <c r="AG25">
        <v>1</v>
      </c>
      <c r="AH25">
        <v>1</v>
      </c>
      <c r="AI25">
        <v>1</v>
      </c>
      <c r="AJ25">
        <f t="shared" si="31"/>
        <v>205</v>
      </c>
      <c r="AK25">
        <f t="shared" si="4"/>
        <v>166.11111111111111</v>
      </c>
      <c r="AL25">
        <f t="shared" si="32"/>
        <v>199.44444444444446</v>
      </c>
      <c r="AM25">
        <f t="shared" si="6"/>
        <v>38.888888888888886</v>
      </c>
      <c r="AN25">
        <f t="shared" si="0"/>
        <v>85.416666666666671</v>
      </c>
      <c r="AO25">
        <f t="shared" si="1"/>
        <v>37.408202766577887</v>
      </c>
    </row>
    <row r="26" spans="1:41" x14ac:dyDescent="0.4">
      <c r="A26">
        <v>5</v>
      </c>
      <c r="B26">
        <v>-1</v>
      </c>
      <c r="C26">
        <v>-1</v>
      </c>
      <c r="D26">
        <v>1</v>
      </c>
      <c r="E26">
        <f t="shared" si="16"/>
        <v>1</v>
      </c>
      <c r="F26">
        <f t="shared" si="17"/>
        <v>-1</v>
      </c>
      <c r="G26">
        <f t="shared" si="18"/>
        <v>-1</v>
      </c>
      <c r="H26">
        <f t="shared" si="19"/>
        <v>1</v>
      </c>
      <c r="I26">
        <f t="shared" si="34"/>
        <v>290</v>
      </c>
      <c r="AE26">
        <v>25</v>
      </c>
      <c r="AF26">
        <v>11</v>
      </c>
      <c r="AG26">
        <v>-1</v>
      </c>
      <c r="AH26">
        <v>-1</v>
      </c>
      <c r="AI26">
        <v>-1</v>
      </c>
      <c r="AJ26">
        <f>H3</f>
        <v>240</v>
      </c>
      <c r="AK26">
        <f t="shared" si="4"/>
        <v>300</v>
      </c>
      <c r="AL26">
        <f>AL18</f>
        <v>292.22222222222223</v>
      </c>
      <c r="AM26">
        <f t="shared" si="6"/>
        <v>-60</v>
      </c>
      <c r="AN26">
        <f t="shared" si="0"/>
        <v>0.69444444444444442</v>
      </c>
      <c r="AO26">
        <f t="shared" si="1"/>
        <v>-87.274759900988116</v>
      </c>
    </row>
    <row r="27" spans="1:41" ht="17.5" thickBot="1" x14ac:dyDescent="0.45">
      <c r="A27">
        <v>6</v>
      </c>
      <c r="B27">
        <v>1</v>
      </c>
      <c r="C27">
        <v>-1</v>
      </c>
      <c r="D27">
        <v>1</v>
      </c>
      <c r="E27">
        <f t="shared" si="16"/>
        <v>-1</v>
      </c>
      <c r="F27">
        <f t="shared" si="17"/>
        <v>-1</v>
      </c>
      <c r="G27">
        <f t="shared" si="18"/>
        <v>1</v>
      </c>
      <c r="H27">
        <f t="shared" si="19"/>
        <v>-1</v>
      </c>
      <c r="I27">
        <f t="shared" si="34"/>
        <v>150</v>
      </c>
      <c r="AE27">
        <v>26</v>
      </c>
      <c r="AF27">
        <v>15</v>
      </c>
      <c r="AG27">
        <v>1</v>
      </c>
      <c r="AH27">
        <v>-1</v>
      </c>
      <c r="AI27">
        <v>-1</v>
      </c>
      <c r="AJ27">
        <f t="shared" ref="AJ27:AJ33" si="35">H4</f>
        <v>220</v>
      </c>
      <c r="AK27">
        <f t="shared" si="4"/>
        <v>193.33333333333334</v>
      </c>
      <c r="AL27">
        <f t="shared" ref="AL27:AL73" si="36">AL19</f>
        <v>191.66666666666666</v>
      </c>
      <c r="AM27">
        <f t="shared" si="6"/>
        <v>26.666666666666657</v>
      </c>
      <c r="AN27">
        <f t="shared" si="0"/>
        <v>75.694444444444443</v>
      </c>
      <c r="AO27">
        <f t="shared" si="1"/>
        <v>24.709124274529675</v>
      </c>
    </row>
    <row r="28" spans="1:41" x14ac:dyDescent="0.4">
      <c r="A28">
        <v>7</v>
      </c>
      <c r="B28">
        <v>-1</v>
      </c>
      <c r="C28">
        <v>1</v>
      </c>
      <c r="D28">
        <v>1</v>
      </c>
      <c r="E28">
        <f t="shared" si="16"/>
        <v>-1</v>
      </c>
      <c r="F28">
        <f t="shared" si="17"/>
        <v>1</v>
      </c>
      <c r="G28">
        <f t="shared" si="18"/>
        <v>-1</v>
      </c>
      <c r="H28">
        <f t="shared" si="19"/>
        <v>-1</v>
      </c>
      <c r="I28">
        <f t="shared" si="34"/>
        <v>210</v>
      </c>
      <c r="K28" s="59" t="s">
        <v>99</v>
      </c>
      <c r="L28" s="60"/>
      <c r="M28" s="61"/>
      <c r="AE28">
        <v>27</v>
      </c>
      <c r="AF28">
        <v>24</v>
      </c>
      <c r="AG28">
        <v>-1</v>
      </c>
      <c r="AH28">
        <v>1</v>
      </c>
      <c r="AI28">
        <v>-1</v>
      </c>
      <c r="AJ28">
        <f t="shared" si="35"/>
        <v>190</v>
      </c>
      <c r="AK28">
        <f t="shared" si="4"/>
        <v>208.88888888888889</v>
      </c>
      <c r="AL28">
        <f t="shared" si="36"/>
        <v>181.66666666666666</v>
      </c>
      <c r="AM28">
        <f t="shared" si="6"/>
        <v>-18.888888888888886</v>
      </c>
      <c r="AN28">
        <f t="shared" si="0"/>
        <v>28.472222222222221</v>
      </c>
      <c r="AO28">
        <f t="shared" si="1"/>
        <v>-20.181086698767153</v>
      </c>
    </row>
    <row r="29" spans="1:41" x14ac:dyDescent="0.4">
      <c r="A29">
        <v>8</v>
      </c>
      <c r="B29">
        <v>1</v>
      </c>
      <c r="C29">
        <v>1</v>
      </c>
      <c r="D29">
        <v>1</v>
      </c>
      <c r="E29">
        <f t="shared" si="16"/>
        <v>1</v>
      </c>
      <c r="F29">
        <f t="shared" si="17"/>
        <v>1</v>
      </c>
      <c r="G29">
        <f t="shared" si="18"/>
        <v>1</v>
      </c>
      <c r="H29">
        <f t="shared" si="19"/>
        <v>1</v>
      </c>
      <c r="I29">
        <f t="shared" si="34"/>
        <v>175</v>
      </c>
      <c r="K29" s="17" t="s">
        <v>100</v>
      </c>
      <c r="L29" s="6" t="s">
        <v>101</v>
      </c>
      <c r="M29" s="18"/>
      <c r="AE29">
        <v>28</v>
      </c>
      <c r="AF29">
        <v>3</v>
      </c>
      <c r="AG29">
        <v>1</v>
      </c>
      <c r="AH29">
        <v>1</v>
      </c>
      <c r="AI29">
        <v>-1</v>
      </c>
      <c r="AJ29">
        <f t="shared" si="35"/>
        <v>160</v>
      </c>
      <c r="AK29">
        <f t="shared" si="4"/>
        <v>206.66666666666666</v>
      </c>
      <c r="AL29">
        <f t="shared" si="36"/>
        <v>173.33333333333334</v>
      </c>
      <c r="AM29">
        <f t="shared" si="6"/>
        <v>-46.666666666666657</v>
      </c>
      <c r="AN29">
        <f t="shared" si="0"/>
        <v>10.416666666666666</v>
      </c>
      <c r="AO29">
        <f t="shared" si="1"/>
        <v>-44.634227011201219</v>
      </c>
    </row>
    <row r="30" spans="1:41" x14ac:dyDescent="0.4">
      <c r="A30">
        <v>1</v>
      </c>
      <c r="B30">
        <v>-1</v>
      </c>
      <c r="C30">
        <v>-1</v>
      </c>
      <c r="D30">
        <v>-1</v>
      </c>
      <c r="E30">
        <f t="shared" si="16"/>
        <v>1</v>
      </c>
      <c r="F30">
        <f t="shared" si="17"/>
        <v>1</v>
      </c>
      <c r="G30">
        <f t="shared" si="18"/>
        <v>1</v>
      </c>
      <c r="H30">
        <f t="shared" si="19"/>
        <v>-1</v>
      </c>
      <c r="I30">
        <f>G3</f>
        <v>285</v>
      </c>
      <c r="K30" s="17">
        <f>($P$4-1)*LN(O3)</f>
        <v>56.556914148361763</v>
      </c>
      <c r="L30" s="6">
        <f>1/($P$4-1)</f>
        <v>0.125</v>
      </c>
      <c r="M30" s="18"/>
      <c r="AE30">
        <v>29</v>
      </c>
      <c r="AF30">
        <v>13</v>
      </c>
      <c r="AG30">
        <v>-1</v>
      </c>
      <c r="AH30">
        <v>-1</v>
      </c>
      <c r="AI30">
        <v>1</v>
      </c>
      <c r="AJ30">
        <f t="shared" si="35"/>
        <v>230</v>
      </c>
      <c r="AK30">
        <f t="shared" si="4"/>
        <v>289.44444444444446</v>
      </c>
      <c r="AL30">
        <f t="shared" si="36"/>
        <v>297.22222222222223</v>
      </c>
      <c r="AM30">
        <f t="shared" si="6"/>
        <v>-59.444444444444457</v>
      </c>
      <c r="AN30">
        <f t="shared" si="0"/>
        <v>2.0833333333333335</v>
      </c>
      <c r="AO30">
        <f t="shared" si="1"/>
        <v>-72.258221703820936</v>
      </c>
    </row>
    <row r="31" spans="1:41" x14ac:dyDescent="0.4">
      <c r="A31">
        <v>2</v>
      </c>
      <c r="B31">
        <v>1</v>
      </c>
      <c r="C31">
        <v>-1</v>
      </c>
      <c r="D31">
        <v>-1</v>
      </c>
      <c r="E31">
        <f t="shared" si="16"/>
        <v>-1</v>
      </c>
      <c r="F31">
        <f t="shared" si="17"/>
        <v>1</v>
      </c>
      <c r="G31">
        <f t="shared" si="18"/>
        <v>-1</v>
      </c>
      <c r="H31">
        <f t="shared" si="19"/>
        <v>1</v>
      </c>
      <c r="I31">
        <f t="shared" ref="I31:I37" si="37">G4</f>
        <v>230</v>
      </c>
      <c r="K31" s="17">
        <f t="shared" ref="K31:K37" si="38">($P$4-1)*LN(O4)</f>
        <v>53.539150944879857</v>
      </c>
      <c r="L31" s="6">
        <f t="shared" ref="L31:L37" si="39">1/($P$4-1)</f>
        <v>0.125</v>
      </c>
      <c r="M31" s="18"/>
      <c r="AE31">
        <v>30</v>
      </c>
      <c r="AF31">
        <v>6</v>
      </c>
      <c r="AG31">
        <v>1</v>
      </c>
      <c r="AH31">
        <v>-1</v>
      </c>
      <c r="AI31">
        <v>1</v>
      </c>
      <c r="AJ31">
        <f t="shared" si="35"/>
        <v>200</v>
      </c>
      <c r="AK31">
        <f t="shared" si="4"/>
        <v>152.7777777777778</v>
      </c>
      <c r="AL31">
        <f t="shared" si="36"/>
        <v>154.44444444444446</v>
      </c>
      <c r="AM31">
        <f t="shared" si="6"/>
        <v>47.2222222222222</v>
      </c>
      <c r="AN31">
        <f t="shared" si="0"/>
        <v>92.361111111111114</v>
      </c>
      <c r="AO31">
        <f t="shared" si="1"/>
        <v>50.722815844601662</v>
      </c>
    </row>
    <row r="32" spans="1:41" x14ac:dyDescent="0.4">
      <c r="A32">
        <v>3</v>
      </c>
      <c r="B32">
        <v>-1</v>
      </c>
      <c r="C32">
        <v>1</v>
      </c>
      <c r="D32">
        <v>-1</v>
      </c>
      <c r="E32">
        <f t="shared" si="16"/>
        <v>-1</v>
      </c>
      <c r="F32">
        <f t="shared" si="17"/>
        <v>-1</v>
      </c>
      <c r="G32">
        <f t="shared" si="18"/>
        <v>1</v>
      </c>
      <c r="H32">
        <f t="shared" si="19"/>
        <v>1</v>
      </c>
      <c r="I32">
        <f t="shared" si="37"/>
        <v>160</v>
      </c>
      <c r="K32" s="17">
        <f t="shared" si="38"/>
        <v>51.258339538013544</v>
      </c>
      <c r="L32" s="6">
        <f t="shared" si="39"/>
        <v>0.125</v>
      </c>
      <c r="M32" s="18"/>
      <c r="AE32">
        <v>31</v>
      </c>
      <c r="AF32">
        <v>14</v>
      </c>
      <c r="AG32">
        <v>-1</v>
      </c>
      <c r="AH32">
        <v>1</v>
      </c>
      <c r="AI32">
        <v>1</v>
      </c>
      <c r="AJ32">
        <f t="shared" si="35"/>
        <v>230</v>
      </c>
      <c r="AK32">
        <f t="shared" si="4"/>
        <v>198.33333333333334</v>
      </c>
      <c r="AL32">
        <f t="shared" si="36"/>
        <v>225.55555555555554</v>
      </c>
      <c r="AM32">
        <f t="shared" si="6"/>
        <v>31.666666666666657</v>
      </c>
      <c r="AN32">
        <f t="shared" si="0"/>
        <v>77.083333333333329</v>
      </c>
      <c r="AO32">
        <f t="shared" si="1"/>
        <v>26.308606087044197</v>
      </c>
    </row>
    <row r="33" spans="1:41" x14ac:dyDescent="0.4">
      <c r="A33">
        <v>4</v>
      </c>
      <c r="B33">
        <v>1</v>
      </c>
      <c r="C33">
        <v>1</v>
      </c>
      <c r="D33">
        <v>-1</v>
      </c>
      <c r="E33">
        <f t="shared" si="16"/>
        <v>1</v>
      </c>
      <c r="F33">
        <f t="shared" si="17"/>
        <v>-1</v>
      </c>
      <c r="G33">
        <f t="shared" si="18"/>
        <v>-1</v>
      </c>
      <c r="H33">
        <f t="shared" si="19"/>
        <v>-1</v>
      </c>
      <c r="I33">
        <f t="shared" si="37"/>
        <v>160</v>
      </c>
      <c r="K33" s="17">
        <f t="shared" si="38"/>
        <v>48.533503746764559</v>
      </c>
      <c r="L33" s="6">
        <f t="shared" si="39"/>
        <v>0.125</v>
      </c>
      <c r="M33" s="18"/>
      <c r="AE33">
        <v>32</v>
      </c>
      <c r="AF33">
        <v>5</v>
      </c>
      <c r="AG33">
        <v>1</v>
      </c>
      <c r="AH33">
        <v>1</v>
      </c>
      <c r="AI33">
        <v>1</v>
      </c>
      <c r="AJ33">
        <f t="shared" si="35"/>
        <v>200</v>
      </c>
      <c r="AK33">
        <f t="shared" si="4"/>
        <v>166.11111111111111</v>
      </c>
      <c r="AL33">
        <f t="shared" si="36"/>
        <v>199.44444444444446</v>
      </c>
      <c r="AM33">
        <f t="shared" si="6"/>
        <v>33.888888888888886</v>
      </c>
      <c r="AN33">
        <f t="shared" si="0"/>
        <v>81.25</v>
      </c>
      <c r="AO33">
        <f t="shared" si="1"/>
        <v>31.472190959320475</v>
      </c>
    </row>
    <row r="34" spans="1:41" x14ac:dyDescent="0.4">
      <c r="A34">
        <v>5</v>
      </c>
      <c r="B34">
        <v>-1</v>
      </c>
      <c r="C34">
        <v>-1</v>
      </c>
      <c r="D34">
        <v>1</v>
      </c>
      <c r="E34">
        <f t="shared" si="16"/>
        <v>1</v>
      </c>
      <c r="F34">
        <f t="shared" si="17"/>
        <v>-1</v>
      </c>
      <c r="G34">
        <f t="shared" si="18"/>
        <v>-1</v>
      </c>
      <c r="H34">
        <f t="shared" si="19"/>
        <v>1</v>
      </c>
      <c r="I34">
        <f t="shared" si="37"/>
        <v>345</v>
      </c>
      <c r="K34" s="17">
        <f t="shared" si="38"/>
        <v>60.784966532641619</v>
      </c>
      <c r="L34" s="6">
        <f t="shared" si="39"/>
        <v>0.125</v>
      </c>
      <c r="M34" s="18"/>
      <c r="AE34">
        <v>33</v>
      </c>
      <c r="AF34">
        <v>38</v>
      </c>
      <c r="AG34">
        <v>-1</v>
      </c>
      <c r="AH34">
        <v>-1</v>
      </c>
      <c r="AI34">
        <v>-1</v>
      </c>
      <c r="AJ34">
        <f>I3</f>
        <v>310</v>
      </c>
      <c r="AK34">
        <f t="shared" si="4"/>
        <v>300</v>
      </c>
      <c r="AL34">
        <f t="shared" si="36"/>
        <v>292.22222222222223</v>
      </c>
      <c r="AM34">
        <f t="shared" si="6"/>
        <v>10</v>
      </c>
      <c r="AN34">
        <f t="shared" ref="AN34:AN65" si="40">100*(_xlfn.RANK.EQ(AM34,$AM$2:$AM$73,1)-0.5)/$P$6</f>
        <v>64.583333333333329</v>
      </c>
      <c r="AO34">
        <f t="shared" ref="AO34:AO65" si="41">_xlfn.NORM.INV(AN34/100,$AM$74,$AM$75)</f>
        <v>13.27131584635675</v>
      </c>
    </row>
    <row r="35" spans="1:41" x14ac:dyDescent="0.4">
      <c r="A35">
        <v>6</v>
      </c>
      <c r="B35">
        <v>1</v>
      </c>
      <c r="C35">
        <v>-1</v>
      </c>
      <c r="D35">
        <v>1</v>
      </c>
      <c r="E35">
        <f t="shared" si="16"/>
        <v>-1</v>
      </c>
      <c r="F35">
        <f t="shared" si="17"/>
        <v>-1</v>
      </c>
      <c r="G35">
        <f t="shared" si="18"/>
        <v>1</v>
      </c>
      <c r="H35">
        <f t="shared" si="19"/>
        <v>-1</v>
      </c>
      <c r="I35">
        <f t="shared" si="37"/>
        <v>145</v>
      </c>
      <c r="K35" s="17">
        <f t="shared" si="38"/>
        <v>49.761186230382449</v>
      </c>
      <c r="L35" s="6">
        <f t="shared" si="39"/>
        <v>0.125</v>
      </c>
      <c r="M35" s="18"/>
      <c r="AE35">
        <v>34</v>
      </c>
      <c r="AF35">
        <v>26</v>
      </c>
      <c r="AG35">
        <v>1</v>
      </c>
      <c r="AH35">
        <v>-1</v>
      </c>
      <c r="AI35">
        <v>-1</v>
      </c>
      <c r="AJ35">
        <f t="shared" ref="AJ35:AJ41" si="42">I4</f>
        <v>155</v>
      </c>
      <c r="AK35">
        <f t="shared" si="4"/>
        <v>193.33333333333334</v>
      </c>
      <c r="AL35">
        <f t="shared" si="36"/>
        <v>191.66666666666666</v>
      </c>
      <c r="AM35">
        <f t="shared" si="6"/>
        <v>-38.333333333333343</v>
      </c>
      <c r="AN35">
        <f t="shared" si="40"/>
        <v>15.972222222222221</v>
      </c>
      <c r="AO35">
        <f t="shared" si="41"/>
        <v>-35.319664884465169</v>
      </c>
    </row>
    <row r="36" spans="1:41" x14ac:dyDescent="0.4">
      <c r="A36">
        <v>7</v>
      </c>
      <c r="B36">
        <v>-1</v>
      </c>
      <c r="C36">
        <v>1</v>
      </c>
      <c r="D36">
        <v>1</v>
      </c>
      <c r="E36">
        <f t="shared" si="16"/>
        <v>-1</v>
      </c>
      <c r="F36">
        <f t="shared" si="17"/>
        <v>1</v>
      </c>
      <c r="G36">
        <f t="shared" si="18"/>
        <v>-1</v>
      </c>
      <c r="H36">
        <f t="shared" si="19"/>
        <v>-1</v>
      </c>
      <c r="I36">
        <f t="shared" si="37"/>
        <v>230</v>
      </c>
      <c r="K36" s="17">
        <f t="shared" si="38"/>
        <v>53.628231094401094</v>
      </c>
      <c r="L36" s="6">
        <f t="shared" si="39"/>
        <v>0.125</v>
      </c>
      <c r="M36" s="18"/>
      <c r="AE36">
        <v>35</v>
      </c>
      <c r="AF36">
        <v>30</v>
      </c>
      <c r="AG36">
        <v>-1</v>
      </c>
      <c r="AH36">
        <v>1</v>
      </c>
      <c r="AI36">
        <v>-1</v>
      </c>
      <c r="AJ36">
        <f t="shared" si="42"/>
        <v>150</v>
      </c>
      <c r="AK36">
        <f t="shared" si="4"/>
        <v>208.88888888888889</v>
      </c>
      <c r="AL36">
        <f t="shared" si="36"/>
        <v>181.66666666666666</v>
      </c>
      <c r="AM36">
        <f t="shared" si="6"/>
        <v>-58.888888888888886</v>
      </c>
      <c r="AN36">
        <f t="shared" si="40"/>
        <v>3.4722222222222223</v>
      </c>
      <c r="AO36">
        <f t="shared" si="41"/>
        <v>-64.406841997762029</v>
      </c>
    </row>
    <row r="37" spans="1:41" x14ac:dyDescent="0.4">
      <c r="A37">
        <v>8</v>
      </c>
      <c r="B37">
        <v>1</v>
      </c>
      <c r="C37">
        <v>1</v>
      </c>
      <c r="D37">
        <v>1</v>
      </c>
      <c r="E37">
        <f t="shared" si="16"/>
        <v>1</v>
      </c>
      <c r="F37">
        <f t="shared" si="17"/>
        <v>1</v>
      </c>
      <c r="G37">
        <f t="shared" si="18"/>
        <v>1</v>
      </c>
      <c r="H37">
        <f t="shared" si="19"/>
        <v>1</v>
      </c>
      <c r="I37">
        <f t="shared" si="37"/>
        <v>205</v>
      </c>
      <c r="K37" s="17">
        <f t="shared" si="38"/>
        <v>50.149402557539787</v>
      </c>
      <c r="L37" s="6">
        <f t="shared" si="39"/>
        <v>0.125</v>
      </c>
      <c r="M37" s="18"/>
      <c r="AE37">
        <v>36</v>
      </c>
      <c r="AF37">
        <v>36</v>
      </c>
      <c r="AG37">
        <v>1</v>
      </c>
      <c r="AH37">
        <v>1</v>
      </c>
      <c r="AI37">
        <v>-1</v>
      </c>
      <c r="AJ37">
        <f t="shared" si="42"/>
        <v>170</v>
      </c>
      <c r="AK37">
        <f t="shared" si="4"/>
        <v>206.66666666666666</v>
      </c>
      <c r="AL37">
        <f t="shared" si="36"/>
        <v>173.33333333333334</v>
      </c>
      <c r="AM37">
        <f t="shared" si="6"/>
        <v>-36.666666666666657</v>
      </c>
      <c r="AN37">
        <f t="shared" si="40"/>
        <v>17.361111111111111</v>
      </c>
      <c r="AO37">
        <f t="shared" si="41"/>
        <v>-33.346884105789833</v>
      </c>
    </row>
    <row r="38" spans="1:41" x14ac:dyDescent="0.4">
      <c r="A38">
        <v>1</v>
      </c>
      <c r="B38">
        <v>-1</v>
      </c>
      <c r="C38">
        <v>-1</v>
      </c>
      <c r="D38">
        <v>-1</v>
      </c>
      <c r="E38">
        <f t="shared" si="16"/>
        <v>1</v>
      </c>
      <c r="F38">
        <f t="shared" si="17"/>
        <v>1</v>
      </c>
      <c r="G38">
        <f t="shared" si="18"/>
        <v>1</v>
      </c>
      <c r="H38">
        <f t="shared" si="19"/>
        <v>-1</v>
      </c>
      <c r="I38">
        <f>H3</f>
        <v>240</v>
      </c>
      <c r="K38" s="17" t="s">
        <v>102</v>
      </c>
      <c r="L38" s="6" t="s">
        <v>103</v>
      </c>
      <c r="M38" s="18"/>
      <c r="AE38">
        <v>37</v>
      </c>
      <c r="AF38">
        <v>42</v>
      </c>
      <c r="AG38">
        <v>-1</v>
      </c>
      <c r="AH38">
        <v>-1</v>
      </c>
      <c r="AI38">
        <v>1</v>
      </c>
      <c r="AJ38">
        <f t="shared" si="42"/>
        <v>285</v>
      </c>
      <c r="AK38">
        <f t="shared" si="4"/>
        <v>289.44444444444446</v>
      </c>
      <c r="AL38">
        <f t="shared" si="36"/>
        <v>297.22222222222223</v>
      </c>
      <c r="AM38">
        <f t="shared" si="6"/>
        <v>-4.4444444444444571</v>
      </c>
      <c r="AN38">
        <f t="shared" si="40"/>
        <v>43.75</v>
      </c>
      <c r="AO38">
        <f t="shared" si="41"/>
        <v>-5.5807147710386298</v>
      </c>
    </row>
    <row r="39" spans="1:41" x14ac:dyDescent="0.4">
      <c r="A39">
        <v>2</v>
      </c>
      <c r="B39">
        <v>1</v>
      </c>
      <c r="C39">
        <v>-1</v>
      </c>
      <c r="D39">
        <v>-1</v>
      </c>
      <c r="E39">
        <f t="shared" si="16"/>
        <v>-1</v>
      </c>
      <c r="F39">
        <f t="shared" si="17"/>
        <v>1</v>
      </c>
      <c r="G39">
        <f t="shared" si="18"/>
        <v>-1</v>
      </c>
      <c r="H39">
        <f t="shared" si="19"/>
        <v>1</v>
      </c>
      <c r="I39">
        <f t="shared" ref="I39:I45" si="43">H4</f>
        <v>220</v>
      </c>
      <c r="K39" s="17">
        <f>(P6-P2)*LN(Q2)-SUM(K30:K37)</f>
        <v>8.0430691003160746</v>
      </c>
      <c r="L39" s="6">
        <f>1+1/(3*(P2-1))*(SUM(L30:L37)-1/(P6-P2))</f>
        <v>1.046875</v>
      </c>
      <c r="M39" s="18"/>
      <c r="AE39">
        <v>38</v>
      </c>
      <c r="AF39">
        <v>25</v>
      </c>
      <c r="AG39">
        <v>1</v>
      </c>
      <c r="AH39">
        <v>-1</v>
      </c>
      <c r="AI39">
        <v>1</v>
      </c>
      <c r="AJ39">
        <f t="shared" si="42"/>
        <v>150</v>
      </c>
      <c r="AK39">
        <f t="shared" si="4"/>
        <v>152.7777777777778</v>
      </c>
      <c r="AL39">
        <f t="shared" si="36"/>
        <v>154.44444444444446</v>
      </c>
      <c r="AM39">
        <f t="shared" si="6"/>
        <v>-2.7777777777777999</v>
      </c>
      <c r="AN39">
        <f t="shared" si="40"/>
        <v>46.527777777777779</v>
      </c>
      <c r="AO39">
        <f t="shared" si="41"/>
        <v>-3.091565661143874</v>
      </c>
    </row>
    <row r="40" spans="1:41" x14ac:dyDescent="0.4">
      <c r="A40">
        <v>3</v>
      </c>
      <c r="B40">
        <v>-1</v>
      </c>
      <c r="C40">
        <v>1</v>
      </c>
      <c r="D40">
        <v>-1</v>
      </c>
      <c r="E40">
        <f t="shared" si="16"/>
        <v>-1</v>
      </c>
      <c r="F40">
        <f t="shared" si="17"/>
        <v>-1</v>
      </c>
      <c r="G40">
        <f t="shared" si="18"/>
        <v>1</v>
      </c>
      <c r="H40">
        <f t="shared" si="19"/>
        <v>1</v>
      </c>
      <c r="I40">
        <f t="shared" si="43"/>
        <v>190</v>
      </c>
      <c r="K40" s="17" t="s">
        <v>104</v>
      </c>
      <c r="L40" s="6" t="s">
        <v>105</v>
      </c>
      <c r="M40" s="18" t="s">
        <v>106</v>
      </c>
      <c r="AE40">
        <v>39</v>
      </c>
      <c r="AF40">
        <v>37</v>
      </c>
      <c r="AG40">
        <v>-1</v>
      </c>
      <c r="AH40">
        <v>1</v>
      </c>
      <c r="AI40">
        <v>1</v>
      </c>
      <c r="AJ40">
        <f t="shared" si="42"/>
        <v>210</v>
      </c>
      <c r="AK40">
        <f t="shared" si="4"/>
        <v>198.33333333333334</v>
      </c>
      <c r="AL40">
        <f t="shared" si="36"/>
        <v>225.55555555555554</v>
      </c>
      <c r="AM40">
        <f t="shared" si="6"/>
        <v>11.666666666666657</v>
      </c>
      <c r="AN40">
        <f t="shared" si="40"/>
        <v>68.75</v>
      </c>
      <c r="AO40">
        <f t="shared" si="41"/>
        <v>17.339710547966966</v>
      </c>
    </row>
    <row r="41" spans="1:41" ht="17.5" thickBot="1" x14ac:dyDescent="0.45">
      <c r="A41">
        <v>4</v>
      </c>
      <c r="B41">
        <v>1</v>
      </c>
      <c r="C41">
        <v>1</v>
      </c>
      <c r="D41">
        <v>-1</v>
      </c>
      <c r="E41">
        <f t="shared" si="16"/>
        <v>1</v>
      </c>
      <c r="F41">
        <f t="shared" si="17"/>
        <v>-1</v>
      </c>
      <c r="G41">
        <f t="shared" si="18"/>
        <v>-1</v>
      </c>
      <c r="H41">
        <f t="shared" si="19"/>
        <v>-1</v>
      </c>
      <c r="I41">
        <f t="shared" si="43"/>
        <v>160</v>
      </c>
      <c r="K41" s="19">
        <f>K39/L39</f>
        <v>7.6829316779138619</v>
      </c>
      <c r="L41" s="20">
        <f>_xlfn.CHISQ.INV.RT(0.05,7)</f>
        <v>14.067140449340167</v>
      </c>
      <c r="M41" s="21" t="str">
        <f>IF(K41&gt;L41,"reject","accept")</f>
        <v>accept</v>
      </c>
      <c r="AE41">
        <v>40</v>
      </c>
      <c r="AF41">
        <v>39</v>
      </c>
      <c r="AG41">
        <v>1</v>
      </c>
      <c r="AH41">
        <v>1</v>
      </c>
      <c r="AI41">
        <v>1</v>
      </c>
      <c r="AJ41">
        <f t="shared" si="42"/>
        <v>250</v>
      </c>
      <c r="AK41">
        <f t="shared" si="4"/>
        <v>166.11111111111111</v>
      </c>
      <c r="AL41">
        <f t="shared" si="36"/>
        <v>199.44444444444446</v>
      </c>
      <c r="AM41">
        <f t="shared" si="6"/>
        <v>83.888888888888886</v>
      </c>
      <c r="AN41">
        <f t="shared" si="40"/>
        <v>97.916666666666671</v>
      </c>
      <c r="AO41">
        <f t="shared" si="41"/>
        <v>72.258221703820993</v>
      </c>
    </row>
    <row r="42" spans="1:41" x14ac:dyDescent="0.4">
      <c r="A42">
        <v>5</v>
      </c>
      <c r="B42">
        <v>-1</v>
      </c>
      <c r="C42">
        <v>-1</v>
      </c>
      <c r="D42">
        <v>1</v>
      </c>
      <c r="E42">
        <f t="shared" si="16"/>
        <v>1</v>
      </c>
      <c r="F42">
        <f t="shared" si="17"/>
        <v>-1</v>
      </c>
      <c r="G42">
        <f t="shared" si="18"/>
        <v>-1</v>
      </c>
      <c r="H42">
        <f t="shared" si="19"/>
        <v>1</v>
      </c>
      <c r="I42">
        <f t="shared" si="43"/>
        <v>230</v>
      </c>
      <c r="AE42">
        <v>41</v>
      </c>
      <c r="AF42">
        <v>69</v>
      </c>
      <c r="AG42">
        <v>-1</v>
      </c>
      <c r="AH42">
        <v>-1</v>
      </c>
      <c r="AI42">
        <v>-1</v>
      </c>
      <c r="AJ42">
        <f>J3</f>
        <v>300</v>
      </c>
      <c r="AK42">
        <f t="shared" si="4"/>
        <v>300</v>
      </c>
      <c r="AL42">
        <f t="shared" si="36"/>
        <v>292.22222222222223</v>
      </c>
      <c r="AM42">
        <f t="shared" si="6"/>
        <v>0</v>
      </c>
      <c r="AN42">
        <f t="shared" si="40"/>
        <v>49.305555555555557</v>
      </c>
      <c r="AO42">
        <f t="shared" si="41"/>
        <v>-0.61756259244648304</v>
      </c>
    </row>
    <row r="43" spans="1:41" x14ac:dyDescent="0.4">
      <c r="A43">
        <v>6</v>
      </c>
      <c r="B43">
        <v>1</v>
      </c>
      <c r="C43">
        <v>-1</v>
      </c>
      <c r="D43">
        <v>1</v>
      </c>
      <c r="E43">
        <f t="shared" si="16"/>
        <v>-1</v>
      </c>
      <c r="F43">
        <f t="shared" si="17"/>
        <v>-1</v>
      </c>
      <c r="G43">
        <f t="shared" si="18"/>
        <v>1</v>
      </c>
      <c r="H43">
        <f t="shared" si="19"/>
        <v>-1</v>
      </c>
      <c r="I43">
        <f t="shared" si="43"/>
        <v>200</v>
      </c>
      <c r="AE43">
        <v>42</v>
      </c>
      <c r="AF43">
        <v>64</v>
      </c>
      <c r="AG43">
        <v>1</v>
      </c>
      <c r="AH43">
        <v>-1</v>
      </c>
      <c r="AI43">
        <v>-1</v>
      </c>
      <c r="AJ43">
        <f t="shared" ref="AJ43:AJ49" si="44">J4</f>
        <v>200</v>
      </c>
      <c r="AK43">
        <f t="shared" si="4"/>
        <v>193.33333333333334</v>
      </c>
      <c r="AL43">
        <f t="shared" si="36"/>
        <v>191.66666666666666</v>
      </c>
      <c r="AM43">
        <f t="shared" si="6"/>
        <v>6.6666666666666572</v>
      </c>
      <c r="AN43">
        <f t="shared" si="40"/>
        <v>57.638888888888886</v>
      </c>
      <c r="AO43">
        <f t="shared" si="41"/>
        <v>6.8348955309915027</v>
      </c>
    </row>
    <row r="44" spans="1:41" x14ac:dyDescent="0.4">
      <c r="A44">
        <v>7</v>
      </c>
      <c r="B44">
        <v>-1</v>
      </c>
      <c r="C44">
        <v>1</v>
      </c>
      <c r="D44">
        <v>1</v>
      </c>
      <c r="E44">
        <f t="shared" si="16"/>
        <v>-1</v>
      </c>
      <c r="F44">
        <f t="shared" si="17"/>
        <v>1</v>
      </c>
      <c r="G44">
        <f t="shared" si="18"/>
        <v>-1</v>
      </c>
      <c r="H44">
        <f t="shared" si="19"/>
        <v>-1</v>
      </c>
      <c r="I44">
        <f t="shared" si="43"/>
        <v>230</v>
      </c>
      <c r="AE44">
        <v>43</v>
      </c>
      <c r="AF44">
        <v>53</v>
      </c>
      <c r="AG44">
        <v>-1</v>
      </c>
      <c r="AH44">
        <v>1</v>
      </c>
      <c r="AI44">
        <v>-1</v>
      </c>
      <c r="AJ44">
        <f t="shared" si="44"/>
        <v>190</v>
      </c>
      <c r="AK44">
        <f t="shared" si="4"/>
        <v>208.88888888888889</v>
      </c>
      <c r="AL44">
        <f t="shared" si="36"/>
        <v>181.66666666666666</v>
      </c>
      <c r="AM44">
        <f t="shared" si="6"/>
        <v>-18.888888888888886</v>
      </c>
      <c r="AN44">
        <f t="shared" si="40"/>
        <v>28.472222222222221</v>
      </c>
      <c r="AO44">
        <f t="shared" si="41"/>
        <v>-20.181086698767153</v>
      </c>
    </row>
    <row r="45" spans="1:41" x14ac:dyDescent="0.4">
      <c r="A45">
        <v>8</v>
      </c>
      <c r="B45">
        <v>1</v>
      </c>
      <c r="C45">
        <v>1</v>
      </c>
      <c r="D45">
        <v>1</v>
      </c>
      <c r="E45">
        <f t="shared" si="16"/>
        <v>1</v>
      </c>
      <c r="F45">
        <f t="shared" si="17"/>
        <v>1</v>
      </c>
      <c r="G45">
        <f t="shared" si="18"/>
        <v>1</v>
      </c>
      <c r="H45">
        <f t="shared" si="19"/>
        <v>1</v>
      </c>
      <c r="I45">
        <f t="shared" si="43"/>
        <v>200</v>
      </c>
      <c r="K45" t="s">
        <v>1</v>
      </c>
      <c r="L45" t="s">
        <v>2</v>
      </c>
      <c r="M45" t="s">
        <v>3</v>
      </c>
      <c r="N45" t="s">
        <v>108</v>
      </c>
      <c r="AE45">
        <v>44</v>
      </c>
      <c r="AF45">
        <v>51</v>
      </c>
      <c r="AG45">
        <v>1</v>
      </c>
      <c r="AH45">
        <v>1</v>
      </c>
      <c r="AI45">
        <v>-1</v>
      </c>
      <c r="AJ45">
        <f t="shared" si="44"/>
        <v>185</v>
      </c>
      <c r="AK45">
        <f t="shared" si="4"/>
        <v>206.66666666666666</v>
      </c>
      <c r="AL45">
        <f t="shared" si="36"/>
        <v>173.33333333333334</v>
      </c>
      <c r="AM45">
        <f t="shared" si="6"/>
        <v>-21.666666666666657</v>
      </c>
      <c r="AN45">
        <f t="shared" si="40"/>
        <v>24.305555555555557</v>
      </c>
      <c r="AO45">
        <f t="shared" si="41"/>
        <v>-24.709124274529689</v>
      </c>
    </row>
    <row r="46" spans="1:41" x14ac:dyDescent="0.4">
      <c r="A46">
        <v>1</v>
      </c>
      <c r="B46">
        <v>-1</v>
      </c>
      <c r="C46">
        <v>-1</v>
      </c>
      <c r="D46">
        <v>-1</v>
      </c>
      <c r="E46">
        <f t="shared" si="16"/>
        <v>1</v>
      </c>
      <c r="F46">
        <f t="shared" si="17"/>
        <v>1</v>
      </c>
      <c r="G46">
        <f t="shared" si="18"/>
        <v>1</v>
      </c>
      <c r="H46">
        <f t="shared" si="19"/>
        <v>-1</v>
      </c>
      <c r="I46">
        <f>I3</f>
        <v>310</v>
      </c>
      <c r="K46">
        <v>-1</v>
      </c>
      <c r="L46">
        <v>-1</v>
      </c>
      <c r="M46">
        <v>-1</v>
      </c>
      <c r="N46">
        <f>J16+K16*K46+L16*L46+N16*K46*L46+O16*L46*M46+P16*K46*M46</f>
        <v>300</v>
      </c>
      <c r="AE46">
        <v>45</v>
      </c>
      <c r="AF46">
        <v>55</v>
      </c>
      <c r="AG46">
        <v>-1</v>
      </c>
      <c r="AH46">
        <v>-1</v>
      </c>
      <c r="AI46">
        <v>1</v>
      </c>
      <c r="AJ46">
        <f t="shared" si="44"/>
        <v>270</v>
      </c>
      <c r="AK46">
        <f t="shared" si="4"/>
        <v>289.44444444444446</v>
      </c>
      <c r="AL46">
        <f t="shared" si="36"/>
        <v>297.22222222222223</v>
      </c>
      <c r="AM46">
        <f t="shared" si="6"/>
        <v>-19.444444444444457</v>
      </c>
      <c r="AN46">
        <f t="shared" si="40"/>
        <v>27.083333333333332</v>
      </c>
      <c r="AO46">
        <f t="shared" si="41"/>
        <v>-21.650659992944465</v>
      </c>
    </row>
    <row r="47" spans="1:41" x14ac:dyDescent="0.4">
      <c r="A47">
        <v>2</v>
      </c>
      <c r="B47">
        <v>1</v>
      </c>
      <c r="C47">
        <v>-1</v>
      </c>
      <c r="D47">
        <v>-1</v>
      </c>
      <c r="E47">
        <f t="shared" si="16"/>
        <v>-1</v>
      </c>
      <c r="F47">
        <f t="shared" si="17"/>
        <v>1</v>
      </c>
      <c r="G47">
        <f t="shared" si="18"/>
        <v>-1</v>
      </c>
      <c r="H47">
        <f t="shared" si="19"/>
        <v>1</v>
      </c>
      <c r="I47">
        <f t="shared" ref="I47:I53" si="45">I4</f>
        <v>155</v>
      </c>
      <c r="AE47">
        <v>46</v>
      </c>
      <c r="AF47">
        <v>65</v>
      </c>
      <c r="AG47">
        <v>1</v>
      </c>
      <c r="AH47">
        <v>-1</v>
      </c>
      <c r="AI47">
        <v>1</v>
      </c>
      <c r="AJ47">
        <f t="shared" si="44"/>
        <v>185</v>
      </c>
      <c r="AK47">
        <f t="shared" si="4"/>
        <v>152.7777777777778</v>
      </c>
      <c r="AL47">
        <f t="shared" si="36"/>
        <v>154.44444444444446</v>
      </c>
      <c r="AM47">
        <f t="shared" si="6"/>
        <v>32.2222222222222</v>
      </c>
      <c r="AN47">
        <f t="shared" si="40"/>
        <v>79.861111111111114</v>
      </c>
      <c r="AO47">
        <f t="shared" si="41"/>
        <v>29.681516574764455</v>
      </c>
    </row>
    <row r="48" spans="1:41" x14ac:dyDescent="0.4">
      <c r="A48">
        <v>3</v>
      </c>
      <c r="B48">
        <v>-1</v>
      </c>
      <c r="C48">
        <v>1</v>
      </c>
      <c r="D48">
        <v>-1</v>
      </c>
      <c r="E48">
        <f t="shared" si="16"/>
        <v>-1</v>
      </c>
      <c r="F48">
        <f t="shared" si="17"/>
        <v>-1</v>
      </c>
      <c r="G48">
        <f t="shared" si="18"/>
        <v>1</v>
      </c>
      <c r="H48">
        <f t="shared" si="19"/>
        <v>1</v>
      </c>
      <c r="I48">
        <f t="shared" si="45"/>
        <v>150</v>
      </c>
      <c r="AE48">
        <v>47</v>
      </c>
      <c r="AF48">
        <v>61</v>
      </c>
      <c r="AG48">
        <v>-1</v>
      </c>
      <c r="AH48">
        <v>1</v>
      </c>
      <c r="AI48">
        <v>1</v>
      </c>
      <c r="AJ48">
        <f t="shared" si="44"/>
        <v>245</v>
      </c>
      <c r="AK48">
        <f t="shared" si="4"/>
        <v>198.33333333333334</v>
      </c>
      <c r="AL48">
        <f t="shared" si="36"/>
        <v>225.55555555555554</v>
      </c>
      <c r="AM48">
        <f t="shared" si="6"/>
        <v>46.666666666666657</v>
      </c>
      <c r="AN48">
        <f t="shared" si="40"/>
        <v>89.583333333333329</v>
      </c>
      <c r="AO48">
        <f t="shared" si="41"/>
        <v>44.634227011201212</v>
      </c>
    </row>
    <row r="49" spans="1:41" x14ac:dyDescent="0.4">
      <c r="A49">
        <v>4</v>
      </c>
      <c r="B49">
        <v>1</v>
      </c>
      <c r="C49">
        <v>1</v>
      </c>
      <c r="D49">
        <v>-1</v>
      </c>
      <c r="E49">
        <f t="shared" si="16"/>
        <v>1</v>
      </c>
      <c r="F49">
        <f t="shared" si="17"/>
        <v>-1</v>
      </c>
      <c r="G49">
        <f t="shared" si="18"/>
        <v>-1</v>
      </c>
      <c r="H49">
        <f t="shared" si="19"/>
        <v>-1</v>
      </c>
      <c r="I49">
        <f t="shared" si="45"/>
        <v>170</v>
      </c>
      <c r="AE49">
        <v>48</v>
      </c>
      <c r="AF49">
        <v>62</v>
      </c>
      <c r="AG49">
        <v>1</v>
      </c>
      <c r="AH49">
        <v>1</v>
      </c>
      <c r="AI49">
        <v>1</v>
      </c>
      <c r="AJ49">
        <f t="shared" si="44"/>
        <v>205</v>
      </c>
      <c r="AK49">
        <f t="shared" si="4"/>
        <v>166.11111111111111</v>
      </c>
      <c r="AL49">
        <f t="shared" si="36"/>
        <v>199.44444444444446</v>
      </c>
      <c r="AM49">
        <f t="shared" si="6"/>
        <v>38.888888888888886</v>
      </c>
      <c r="AN49">
        <f t="shared" si="40"/>
        <v>85.416666666666671</v>
      </c>
      <c r="AO49">
        <f t="shared" si="41"/>
        <v>37.408202766577887</v>
      </c>
    </row>
    <row r="50" spans="1:41" x14ac:dyDescent="0.4">
      <c r="A50">
        <v>5</v>
      </c>
      <c r="B50">
        <v>-1</v>
      </c>
      <c r="C50">
        <v>-1</v>
      </c>
      <c r="D50">
        <v>1</v>
      </c>
      <c r="E50">
        <f t="shared" si="16"/>
        <v>1</v>
      </c>
      <c r="F50">
        <f t="shared" si="17"/>
        <v>-1</v>
      </c>
      <c r="G50">
        <f t="shared" si="18"/>
        <v>-1</v>
      </c>
      <c r="H50">
        <f t="shared" si="19"/>
        <v>1</v>
      </c>
      <c r="I50">
        <f t="shared" si="45"/>
        <v>285</v>
      </c>
      <c r="AE50">
        <v>49</v>
      </c>
      <c r="AF50">
        <v>10</v>
      </c>
      <c r="AG50">
        <v>-1</v>
      </c>
      <c r="AH50">
        <v>-1</v>
      </c>
      <c r="AI50">
        <v>-1</v>
      </c>
      <c r="AJ50">
        <f>K3</f>
        <v>280</v>
      </c>
      <c r="AK50">
        <f t="shared" si="4"/>
        <v>300</v>
      </c>
      <c r="AL50">
        <f t="shared" si="36"/>
        <v>292.22222222222223</v>
      </c>
      <c r="AM50">
        <f t="shared" si="6"/>
        <v>-20</v>
      </c>
      <c r="AN50">
        <f t="shared" si="40"/>
        <v>25.694444444444443</v>
      </c>
      <c r="AO50">
        <f t="shared" si="41"/>
        <v>-23.158368977613446</v>
      </c>
    </row>
    <row r="51" spans="1:41" x14ac:dyDescent="0.4">
      <c r="A51">
        <v>6</v>
      </c>
      <c r="B51">
        <v>1</v>
      </c>
      <c r="C51">
        <v>-1</v>
      </c>
      <c r="D51">
        <v>1</v>
      </c>
      <c r="E51">
        <f t="shared" si="16"/>
        <v>-1</v>
      </c>
      <c r="F51">
        <f t="shared" si="17"/>
        <v>-1</v>
      </c>
      <c r="G51">
        <f t="shared" si="18"/>
        <v>1</v>
      </c>
      <c r="H51">
        <f t="shared" si="19"/>
        <v>-1</v>
      </c>
      <c r="I51">
        <f t="shared" si="45"/>
        <v>150</v>
      </c>
      <c r="AE51">
        <v>50</v>
      </c>
      <c r="AF51">
        <v>12</v>
      </c>
      <c r="AG51">
        <v>1</v>
      </c>
      <c r="AH51">
        <v>-1</v>
      </c>
      <c r="AI51">
        <v>-1</v>
      </c>
      <c r="AJ51">
        <f t="shared" ref="AJ51:AJ57" si="46">K4</f>
        <v>150</v>
      </c>
      <c r="AK51">
        <f t="shared" si="4"/>
        <v>193.33333333333334</v>
      </c>
      <c r="AL51">
        <f t="shared" si="36"/>
        <v>191.66666666666666</v>
      </c>
      <c r="AM51">
        <f t="shared" si="6"/>
        <v>-43.333333333333343</v>
      </c>
      <c r="AN51">
        <f t="shared" si="40"/>
        <v>14.583333333333334</v>
      </c>
      <c r="AO51">
        <f t="shared" si="41"/>
        <v>-37.408202766577887</v>
      </c>
    </row>
    <row r="52" spans="1:41" x14ac:dyDescent="0.4">
      <c r="A52">
        <v>7</v>
      </c>
      <c r="B52">
        <v>-1</v>
      </c>
      <c r="C52">
        <v>1</v>
      </c>
      <c r="D52">
        <v>1</v>
      </c>
      <c r="E52">
        <f t="shared" si="16"/>
        <v>-1</v>
      </c>
      <c r="F52">
        <f t="shared" si="17"/>
        <v>1</v>
      </c>
      <c r="G52">
        <f t="shared" si="18"/>
        <v>-1</v>
      </c>
      <c r="H52">
        <f t="shared" si="19"/>
        <v>-1</v>
      </c>
      <c r="I52">
        <f t="shared" si="45"/>
        <v>210</v>
      </c>
      <c r="AE52">
        <v>51</v>
      </c>
      <c r="AF52">
        <v>7</v>
      </c>
      <c r="AG52">
        <v>-1</v>
      </c>
      <c r="AH52">
        <v>1</v>
      </c>
      <c r="AI52">
        <v>-1</v>
      </c>
      <c r="AJ52">
        <f t="shared" si="46"/>
        <v>220</v>
      </c>
      <c r="AK52">
        <f t="shared" si="4"/>
        <v>208.88888888888889</v>
      </c>
      <c r="AL52">
        <f t="shared" si="36"/>
        <v>181.66666666666666</v>
      </c>
      <c r="AM52">
        <f t="shared" si="6"/>
        <v>11.111111111111114</v>
      </c>
      <c r="AN52">
        <f t="shared" si="40"/>
        <v>67.361111111111114</v>
      </c>
      <c r="AO52">
        <f t="shared" si="41"/>
        <v>15.960775308127305</v>
      </c>
    </row>
    <row r="53" spans="1:41" x14ac:dyDescent="0.4">
      <c r="A53">
        <v>8</v>
      </c>
      <c r="B53">
        <v>1</v>
      </c>
      <c r="C53">
        <v>1</v>
      </c>
      <c r="D53">
        <v>1</v>
      </c>
      <c r="E53">
        <f t="shared" si="16"/>
        <v>1</v>
      </c>
      <c r="F53">
        <f t="shared" si="17"/>
        <v>1</v>
      </c>
      <c r="G53">
        <f t="shared" si="18"/>
        <v>1</v>
      </c>
      <c r="H53">
        <f t="shared" si="19"/>
        <v>1</v>
      </c>
      <c r="I53">
        <f t="shared" si="45"/>
        <v>250</v>
      </c>
      <c r="AE53">
        <v>52</v>
      </c>
      <c r="AF53">
        <v>9</v>
      </c>
      <c r="AG53">
        <v>1</v>
      </c>
      <c r="AH53">
        <v>1</v>
      </c>
      <c r="AI53">
        <v>-1</v>
      </c>
      <c r="AJ53">
        <f t="shared" si="46"/>
        <v>150</v>
      </c>
      <c r="AK53">
        <f t="shared" si="4"/>
        <v>206.66666666666666</v>
      </c>
      <c r="AL53">
        <f t="shared" si="36"/>
        <v>173.33333333333334</v>
      </c>
      <c r="AM53">
        <f t="shared" si="6"/>
        <v>-56.666666666666657</v>
      </c>
      <c r="AN53">
        <f t="shared" si="40"/>
        <v>6.25</v>
      </c>
      <c r="AO53">
        <f t="shared" si="41"/>
        <v>-54.424079353784322</v>
      </c>
    </row>
    <row r="54" spans="1:41" x14ac:dyDescent="0.4">
      <c r="A54">
        <v>1</v>
      </c>
      <c r="B54">
        <v>-1</v>
      </c>
      <c r="C54">
        <v>-1</v>
      </c>
      <c r="D54">
        <v>-1</v>
      </c>
      <c r="E54">
        <f t="shared" si="16"/>
        <v>1</v>
      </c>
      <c r="F54">
        <f t="shared" si="17"/>
        <v>1</v>
      </c>
      <c r="G54">
        <f t="shared" si="18"/>
        <v>1</v>
      </c>
      <c r="H54">
        <f t="shared" si="19"/>
        <v>-1</v>
      </c>
      <c r="I54">
        <f>J3</f>
        <v>300</v>
      </c>
      <c r="AE54">
        <v>53</v>
      </c>
      <c r="AF54">
        <v>2</v>
      </c>
      <c r="AG54">
        <v>-1</v>
      </c>
      <c r="AH54">
        <v>-1</v>
      </c>
      <c r="AI54">
        <v>1</v>
      </c>
      <c r="AJ54">
        <f t="shared" si="46"/>
        <v>275</v>
      </c>
      <c r="AK54">
        <f t="shared" si="4"/>
        <v>289.44444444444446</v>
      </c>
      <c r="AL54">
        <f t="shared" si="36"/>
        <v>297.22222222222223</v>
      </c>
      <c r="AM54">
        <f t="shared" si="6"/>
        <v>-14.444444444444457</v>
      </c>
      <c r="AN54">
        <f t="shared" si="40"/>
        <v>34.027777777777779</v>
      </c>
      <c r="AO54">
        <f t="shared" si="41"/>
        <v>-14.60554935385758</v>
      </c>
    </row>
    <row r="55" spans="1:41" x14ac:dyDescent="0.4">
      <c r="A55">
        <v>2</v>
      </c>
      <c r="B55">
        <v>1</v>
      </c>
      <c r="C55">
        <v>-1</v>
      </c>
      <c r="D55">
        <v>-1</v>
      </c>
      <c r="E55">
        <f t="shared" si="16"/>
        <v>-1</v>
      </c>
      <c r="F55">
        <f t="shared" si="17"/>
        <v>1</v>
      </c>
      <c r="G55">
        <f t="shared" si="18"/>
        <v>-1</v>
      </c>
      <c r="H55">
        <f t="shared" si="19"/>
        <v>1</v>
      </c>
      <c r="I55">
        <f t="shared" ref="I55:I61" si="47">J4</f>
        <v>200</v>
      </c>
      <c r="AE55">
        <v>54</v>
      </c>
      <c r="AF55">
        <v>20</v>
      </c>
      <c r="AG55">
        <v>1</v>
      </c>
      <c r="AH55">
        <v>-1</v>
      </c>
      <c r="AI55">
        <v>1</v>
      </c>
      <c r="AJ55">
        <f t="shared" si="46"/>
        <v>145</v>
      </c>
      <c r="AK55">
        <f t="shared" si="4"/>
        <v>152.7777777777778</v>
      </c>
      <c r="AL55">
        <f t="shared" si="36"/>
        <v>154.44444444444446</v>
      </c>
      <c r="AM55">
        <f t="shared" si="6"/>
        <v>-7.7777777777777999</v>
      </c>
      <c r="AN55">
        <f t="shared" si="40"/>
        <v>39.583333333333336</v>
      </c>
      <c r="AO55">
        <f t="shared" si="41"/>
        <v>-9.3708125354018179</v>
      </c>
    </row>
    <row r="56" spans="1:41" x14ac:dyDescent="0.4">
      <c r="A56">
        <v>3</v>
      </c>
      <c r="B56">
        <v>-1</v>
      </c>
      <c r="C56">
        <v>1</v>
      </c>
      <c r="D56">
        <v>-1</v>
      </c>
      <c r="E56">
        <f t="shared" si="16"/>
        <v>-1</v>
      </c>
      <c r="F56">
        <f t="shared" si="17"/>
        <v>-1</v>
      </c>
      <c r="G56">
        <f t="shared" si="18"/>
        <v>1</v>
      </c>
      <c r="H56">
        <f t="shared" si="19"/>
        <v>1</v>
      </c>
      <c r="I56">
        <f t="shared" si="47"/>
        <v>190</v>
      </c>
      <c r="AE56">
        <v>55</v>
      </c>
      <c r="AF56">
        <v>19</v>
      </c>
      <c r="AG56">
        <v>-1</v>
      </c>
      <c r="AH56">
        <v>1</v>
      </c>
      <c r="AI56">
        <v>1</v>
      </c>
      <c r="AJ56">
        <f t="shared" si="46"/>
        <v>245</v>
      </c>
      <c r="AK56">
        <f t="shared" si="4"/>
        <v>198.33333333333334</v>
      </c>
      <c r="AL56">
        <f t="shared" si="36"/>
        <v>225.55555555555554</v>
      </c>
      <c r="AM56">
        <f t="shared" si="6"/>
        <v>46.666666666666657</v>
      </c>
      <c r="AN56">
        <f t="shared" si="40"/>
        <v>89.583333333333329</v>
      </c>
      <c r="AO56">
        <f t="shared" si="41"/>
        <v>44.634227011201212</v>
      </c>
    </row>
    <row r="57" spans="1:41" x14ac:dyDescent="0.4">
      <c r="A57">
        <v>4</v>
      </c>
      <c r="B57">
        <v>1</v>
      </c>
      <c r="C57">
        <v>1</v>
      </c>
      <c r="D57">
        <v>-1</v>
      </c>
      <c r="E57">
        <f t="shared" si="16"/>
        <v>1</v>
      </c>
      <c r="F57">
        <f t="shared" si="17"/>
        <v>-1</v>
      </c>
      <c r="G57">
        <f t="shared" si="18"/>
        <v>-1</v>
      </c>
      <c r="H57">
        <f t="shared" si="19"/>
        <v>-1</v>
      </c>
      <c r="I57">
        <f t="shared" si="47"/>
        <v>185</v>
      </c>
      <c r="AE57">
        <v>56</v>
      </c>
      <c r="AF57">
        <v>8</v>
      </c>
      <c r="AG57">
        <v>1</v>
      </c>
      <c r="AH57">
        <v>1</v>
      </c>
      <c r="AI57">
        <v>1</v>
      </c>
      <c r="AJ57">
        <f t="shared" si="46"/>
        <v>200</v>
      </c>
      <c r="AK57">
        <f t="shared" si="4"/>
        <v>166.11111111111111</v>
      </c>
      <c r="AL57">
        <f t="shared" si="36"/>
        <v>199.44444444444446</v>
      </c>
      <c r="AM57">
        <f t="shared" si="6"/>
        <v>33.888888888888886</v>
      </c>
      <c r="AN57">
        <f t="shared" si="40"/>
        <v>81.25</v>
      </c>
      <c r="AO57">
        <f t="shared" si="41"/>
        <v>31.472190959320475</v>
      </c>
    </row>
    <row r="58" spans="1:41" x14ac:dyDescent="0.4">
      <c r="A58">
        <v>5</v>
      </c>
      <c r="B58">
        <v>-1</v>
      </c>
      <c r="C58">
        <v>-1</v>
      </c>
      <c r="D58">
        <v>1</v>
      </c>
      <c r="E58">
        <f t="shared" si="16"/>
        <v>1</v>
      </c>
      <c r="F58">
        <f t="shared" si="17"/>
        <v>-1</v>
      </c>
      <c r="G58">
        <f t="shared" si="18"/>
        <v>-1</v>
      </c>
      <c r="H58">
        <f t="shared" si="19"/>
        <v>1</v>
      </c>
      <c r="I58">
        <f t="shared" si="47"/>
        <v>270</v>
      </c>
      <c r="AE58">
        <v>57</v>
      </c>
      <c r="AF58">
        <v>43</v>
      </c>
      <c r="AG58">
        <v>-1</v>
      </c>
      <c r="AH58">
        <v>-1</v>
      </c>
      <c r="AI58">
        <v>-1</v>
      </c>
      <c r="AJ58">
        <f>L3</f>
        <v>300</v>
      </c>
      <c r="AK58">
        <f t="shared" si="4"/>
        <v>300</v>
      </c>
      <c r="AL58">
        <f t="shared" si="36"/>
        <v>292.22222222222223</v>
      </c>
      <c r="AM58">
        <f t="shared" si="6"/>
        <v>0</v>
      </c>
      <c r="AN58">
        <f t="shared" si="40"/>
        <v>49.305555555555557</v>
      </c>
      <c r="AO58">
        <f t="shared" si="41"/>
        <v>-0.61756259244648304</v>
      </c>
    </row>
    <row r="59" spans="1:41" x14ac:dyDescent="0.4">
      <c r="A59">
        <v>6</v>
      </c>
      <c r="B59">
        <v>1</v>
      </c>
      <c r="C59">
        <v>-1</v>
      </c>
      <c r="D59">
        <v>1</v>
      </c>
      <c r="E59">
        <f t="shared" si="16"/>
        <v>-1</v>
      </c>
      <c r="F59">
        <f t="shared" si="17"/>
        <v>-1</v>
      </c>
      <c r="G59">
        <f t="shared" si="18"/>
        <v>1</v>
      </c>
      <c r="H59">
        <f t="shared" si="19"/>
        <v>-1</v>
      </c>
      <c r="I59">
        <f t="shared" si="47"/>
        <v>185</v>
      </c>
      <c r="AE59">
        <v>58</v>
      </c>
      <c r="AF59">
        <v>35</v>
      </c>
      <c r="AG59">
        <v>1</v>
      </c>
      <c r="AH59">
        <v>-1</v>
      </c>
      <c r="AI59">
        <v>-1</v>
      </c>
      <c r="AJ59">
        <f t="shared" ref="AJ59:AJ65" si="48">L4</f>
        <v>165</v>
      </c>
      <c r="AK59">
        <f t="shared" si="4"/>
        <v>193.33333333333334</v>
      </c>
      <c r="AL59">
        <f t="shared" si="36"/>
        <v>191.66666666666666</v>
      </c>
      <c r="AM59">
        <f t="shared" si="6"/>
        <v>-28.333333333333343</v>
      </c>
      <c r="AN59">
        <f t="shared" si="40"/>
        <v>21.527777777777779</v>
      </c>
      <c r="AO59">
        <f t="shared" si="41"/>
        <v>-27.96345378239424</v>
      </c>
    </row>
    <row r="60" spans="1:41" x14ac:dyDescent="0.4">
      <c r="A60">
        <v>7</v>
      </c>
      <c r="B60">
        <v>-1</v>
      </c>
      <c r="C60">
        <v>1</v>
      </c>
      <c r="D60">
        <v>1</v>
      </c>
      <c r="E60">
        <f t="shared" si="16"/>
        <v>-1</v>
      </c>
      <c r="F60">
        <f t="shared" si="17"/>
        <v>1</v>
      </c>
      <c r="G60">
        <f t="shared" si="18"/>
        <v>-1</v>
      </c>
      <c r="H60">
        <f t="shared" si="19"/>
        <v>-1</v>
      </c>
      <c r="I60">
        <f t="shared" si="47"/>
        <v>245</v>
      </c>
      <c r="AE60">
        <v>59</v>
      </c>
      <c r="AF60">
        <v>41</v>
      </c>
      <c r="AG60">
        <v>-1</v>
      </c>
      <c r="AH60">
        <v>1</v>
      </c>
      <c r="AI60">
        <v>-1</v>
      </c>
      <c r="AJ60">
        <f t="shared" si="48"/>
        <v>195</v>
      </c>
      <c r="AK60">
        <f t="shared" si="4"/>
        <v>208.88888888888889</v>
      </c>
      <c r="AL60">
        <f t="shared" si="36"/>
        <v>181.66666666666666</v>
      </c>
      <c r="AM60">
        <f t="shared" si="6"/>
        <v>-13.888888888888886</v>
      </c>
      <c r="AN60">
        <f t="shared" si="40"/>
        <v>35.416666666666664</v>
      </c>
      <c r="AO60">
        <f t="shared" si="41"/>
        <v>-13.271315846356767</v>
      </c>
    </row>
    <row r="61" spans="1:41" x14ac:dyDescent="0.4">
      <c r="A61">
        <v>8</v>
      </c>
      <c r="B61">
        <v>1</v>
      </c>
      <c r="C61">
        <v>1</v>
      </c>
      <c r="D61">
        <v>1</v>
      </c>
      <c r="E61">
        <f t="shared" si="16"/>
        <v>1</v>
      </c>
      <c r="F61">
        <f t="shared" si="17"/>
        <v>1</v>
      </c>
      <c r="G61">
        <f t="shared" si="18"/>
        <v>1</v>
      </c>
      <c r="H61">
        <f t="shared" si="19"/>
        <v>1</v>
      </c>
      <c r="I61">
        <f t="shared" si="47"/>
        <v>205</v>
      </c>
      <c r="AE61">
        <v>60</v>
      </c>
      <c r="AF61">
        <v>33</v>
      </c>
      <c r="AG61">
        <v>1</v>
      </c>
      <c r="AH61">
        <v>1</v>
      </c>
      <c r="AI61">
        <v>-1</v>
      </c>
      <c r="AJ61">
        <f t="shared" si="48"/>
        <v>155</v>
      </c>
      <c r="AK61">
        <f t="shared" si="4"/>
        <v>206.66666666666666</v>
      </c>
      <c r="AL61">
        <f t="shared" si="36"/>
        <v>173.33333333333334</v>
      </c>
      <c r="AM61">
        <f t="shared" si="6"/>
        <v>-51.666666666666657</v>
      </c>
      <c r="AN61">
        <f t="shared" si="40"/>
        <v>7.6388888888888893</v>
      </c>
      <c r="AO61">
        <f t="shared" si="41"/>
        <v>-50.72281584460162</v>
      </c>
    </row>
    <row r="62" spans="1:41" x14ac:dyDescent="0.4">
      <c r="A62">
        <v>1</v>
      </c>
      <c r="B62">
        <v>-1</v>
      </c>
      <c r="C62">
        <v>-1</v>
      </c>
      <c r="D62">
        <v>-1</v>
      </c>
      <c r="E62">
        <f t="shared" si="16"/>
        <v>1</v>
      </c>
      <c r="F62">
        <f t="shared" si="17"/>
        <v>1</v>
      </c>
      <c r="G62">
        <f t="shared" si="18"/>
        <v>1</v>
      </c>
      <c r="H62">
        <f t="shared" si="19"/>
        <v>-1</v>
      </c>
      <c r="I62">
        <f>K3</f>
        <v>280</v>
      </c>
      <c r="AE62">
        <v>61</v>
      </c>
      <c r="AF62">
        <v>40</v>
      </c>
      <c r="AG62">
        <v>-1</v>
      </c>
      <c r="AH62">
        <v>-1</v>
      </c>
      <c r="AI62">
        <v>1</v>
      </c>
      <c r="AJ62">
        <f t="shared" si="48"/>
        <v>295</v>
      </c>
      <c r="AK62">
        <f t="shared" si="4"/>
        <v>289.44444444444446</v>
      </c>
      <c r="AL62">
        <f t="shared" si="36"/>
        <v>297.22222222222223</v>
      </c>
      <c r="AM62">
        <f t="shared" si="6"/>
        <v>5.5555555555555429</v>
      </c>
      <c r="AN62">
        <f t="shared" si="40"/>
        <v>56.25</v>
      </c>
      <c r="AO62">
        <f t="shared" si="41"/>
        <v>5.5807147710386174</v>
      </c>
    </row>
    <row r="63" spans="1:41" x14ac:dyDescent="0.4">
      <c r="A63">
        <v>2</v>
      </c>
      <c r="B63">
        <v>1</v>
      </c>
      <c r="C63">
        <v>-1</v>
      </c>
      <c r="D63">
        <v>-1</v>
      </c>
      <c r="E63">
        <f t="shared" si="16"/>
        <v>-1</v>
      </c>
      <c r="F63">
        <f t="shared" si="17"/>
        <v>1</v>
      </c>
      <c r="G63">
        <f t="shared" si="18"/>
        <v>-1</v>
      </c>
      <c r="H63">
        <f t="shared" si="19"/>
        <v>1</v>
      </c>
      <c r="I63">
        <f t="shared" ref="I63:I69" si="49">K4</f>
        <v>150</v>
      </c>
      <c r="AE63">
        <v>62</v>
      </c>
      <c r="AF63">
        <v>27</v>
      </c>
      <c r="AG63">
        <v>1</v>
      </c>
      <c r="AH63">
        <v>-1</v>
      </c>
      <c r="AI63">
        <v>1</v>
      </c>
      <c r="AJ63">
        <f t="shared" si="48"/>
        <v>140</v>
      </c>
      <c r="AK63">
        <f t="shared" si="4"/>
        <v>152.7777777777778</v>
      </c>
      <c r="AL63">
        <f t="shared" si="36"/>
        <v>154.44444444444446</v>
      </c>
      <c r="AM63">
        <f t="shared" si="6"/>
        <v>-12.7777777777778</v>
      </c>
      <c r="AN63">
        <f t="shared" si="40"/>
        <v>36.805555555555557</v>
      </c>
      <c r="AO63">
        <f t="shared" si="41"/>
        <v>-11.955600719560206</v>
      </c>
    </row>
    <row r="64" spans="1:41" x14ac:dyDescent="0.4">
      <c r="A64">
        <v>3</v>
      </c>
      <c r="B64">
        <v>-1</v>
      </c>
      <c r="C64">
        <v>1</v>
      </c>
      <c r="D64">
        <v>-1</v>
      </c>
      <c r="E64">
        <f t="shared" si="16"/>
        <v>-1</v>
      </c>
      <c r="F64">
        <f t="shared" si="17"/>
        <v>-1</v>
      </c>
      <c r="G64">
        <f t="shared" si="18"/>
        <v>1</v>
      </c>
      <c r="H64">
        <f t="shared" si="19"/>
        <v>1</v>
      </c>
      <c r="I64">
        <f t="shared" si="49"/>
        <v>220</v>
      </c>
      <c r="AE64">
        <v>63</v>
      </c>
      <c r="AF64">
        <v>29</v>
      </c>
      <c r="AG64">
        <v>-1</v>
      </c>
      <c r="AH64">
        <v>1</v>
      </c>
      <c r="AI64">
        <v>1</v>
      </c>
      <c r="AJ64">
        <f t="shared" si="48"/>
        <v>210</v>
      </c>
      <c r="AK64">
        <f t="shared" si="4"/>
        <v>198.33333333333334</v>
      </c>
      <c r="AL64">
        <f t="shared" si="36"/>
        <v>225.55555555555554</v>
      </c>
      <c r="AM64">
        <f t="shared" si="6"/>
        <v>11.666666666666657</v>
      </c>
      <c r="AN64">
        <f t="shared" si="40"/>
        <v>68.75</v>
      </c>
      <c r="AO64">
        <f t="shared" si="41"/>
        <v>17.339710547966966</v>
      </c>
    </row>
    <row r="65" spans="1:41" x14ac:dyDescent="0.4">
      <c r="A65">
        <v>4</v>
      </c>
      <c r="B65">
        <v>1</v>
      </c>
      <c r="C65">
        <v>1</v>
      </c>
      <c r="D65">
        <v>-1</v>
      </c>
      <c r="E65">
        <f t="shared" si="16"/>
        <v>1</v>
      </c>
      <c r="F65">
        <f t="shared" si="17"/>
        <v>-1</v>
      </c>
      <c r="G65">
        <f t="shared" si="18"/>
        <v>-1</v>
      </c>
      <c r="H65">
        <f t="shared" si="19"/>
        <v>-1</v>
      </c>
      <c r="I65">
        <f t="shared" si="49"/>
        <v>150</v>
      </c>
      <c r="AE65">
        <v>64</v>
      </c>
      <c r="AF65">
        <v>46</v>
      </c>
      <c r="AG65">
        <v>1</v>
      </c>
      <c r="AH65">
        <v>1</v>
      </c>
      <c r="AI65">
        <v>1</v>
      </c>
      <c r="AJ65">
        <f t="shared" si="48"/>
        <v>175</v>
      </c>
      <c r="AK65">
        <f t="shared" si="4"/>
        <v>166.11111111111111</v>
      </c>
      <c r="AL65">
        <f t="shared" si="36"/>
        <v>199.44444444444446</v>
      </c>
      <c r="AM65">
        <f t="shared" si="6"/>
        <v>8.8888888888888857</v>
      </c>
      <c r="AN65">
        <f t="shared" si="40"/>
        <v>61.805555555555557</v>
      </c>
      <c r="AO65">
        <f t="shared" si="41"/>
        <v>10.656133169355956</v>
      </c>
    </row>
    <row r="66" spans="1:41" x14ac:dyDescent="0.4">
      <c r="A66">
        <v>5</v>
      </c>
      <c r="B66">
        <v>-1</v>
      </c>
      <c r="C66">
        <v>-1</v>
      </c>
      <c r="D66">
        <v>1</v>
      </c>
      <c r="E66">
        <f t="shared" si="16"/>
        <v>1</v>
      </c>
      <c r="F66">
        <f t="shared" si="17"/>
        <v>-1</v>
      </c>
      <c r="G66">
        <f t="shared" si="18"/>
        <v>-1</v>
      </c>
      <c r="H66">
        <f t="shared" si="19"/>
        <v>1</v>
      </c>
      <c r="I66">
        <f t="shared" si="49"/>
        <v>275</v>
      </c>
      <c r="AE66">
        <v>65</v>
      </c>
      <c r="AF66">
        <v>52</v>
      </c>
      <c r="AG66">
        <v>-1</v>
      </c>
      <c r="AH66">
        <v>-1</v>
      </c>
      <c r="AI66">
        <v>-1</v>
      </c>
      <c r="AJ66">
        <f>M3</f>
        <v>360</v>
      </c>
      <c r="AK66">
        <f t="shared" si="4"/>
        <v>300</v>
      </c>
      <c r="AL66">
        <f t="shared" si="36"/>
        <v>292.22222222222223</v>
      </c>
      <c r="AM66">
        <f t="shared" si="6"/>
        <v>60</v>
      </c>
      <c r="AN66">
        <f t="shared" ref="AN66:AN73" si="50">100*(_xlfn.RANK.EQ(AM66,$AM$2:$AM$73,1)-0.5)/$P$6</f>
        <v>95.138888888888886</v>
      </c>
      <c r="AO66">
        <f t="shared" ref="AO66:AO73" si="51">_xlfn.NORM.INV(AN66/100,$AM$74,$AM$75)</f>
        <v>58.835542870544423</v>
      </c>
    </row>
    <row r="67" spans="1:41" x14ac:dyDescent="0.4">
      <c r="A67">
        <v>6</v>
      </c>
      <c r="B67">
        <v>1</v>
      </c>
      <c r="C67">
        <v>-1</v>
      </c>
      <c r="D67">
        <v>1</v>
      </c>
      <c r="E67">
        <f t="shared" si="16"/>
        <v>-1</v>
      </c>
      <c r="F67">
        <f t="shared" si="17"/>
        <v>-1</v>
      </c>
      <c r="G67">
        <f t="shared" si="18"/>
        <v>1</v>
      </c>
      <c r="H67">
        <f t="shared" si="19"/>
        <v>-1</v>
      </c>
      <c r="I67">
        <f t="shared" si="49"/>
        <v>145</v>
      </c>
      <c r="AE67">
        <v>66</v>
      </c>
      <c r="AF67">
        <v>71</v>
      </c>
      <c r="AG67">
        <v>1</v>
      </c>
      <c r="AH67">
        <v>-1</v>
      </c>
      <c r="AI67">
        <v>-1</v>
      </c>
      <c r="AJ67">
        <f t="shared" ref="AJ67:AJ73" si="52">M4</f>
        <v>200</v>
      </c>
      <c r="AK67">
        <f t="shared" ref="AK67:AK73" si="53">$J$16+$K$16*AG67+$L$16*AH67+$N$16*AG67*AH67+$O$16*AH$2*AI67+$P$16*AG67*AI67</f>
        <v>193.33333333333334</v>
      </c>
      <c r="AL67">
        <f t="shared" si="36"/>
        <v>191.66666666666666</v>
      </c>
      <c r="AM67">
        <f t="shared" ref="AM67:AM73" si="54">AJ67-AK67</f>
        <v>6.6666666666666572</v>
      </c>
      <c r="AN67">
        <f t="shared" si="50"/>
        <v>57.638888888888886</v>
      </c>
      <c r="AO67">
        <f t="shared" si="51"/>
        <v>6.8348955309915027</v>
      </c>
    </row>
    <row r="68" spans="1:41" x14ac:dyDescent="0.4">
      <c r="A68">
        <v>7</v>
      </c>
      <c r="B68">
        <v>-1</v>
      </c>
      <c r="C68">
        <v>1</v>
      </c>
      <c r="D68">
        <v>1</v>
      </c>
      <c r="E68">
        <f t="shared" si="16"/>
        <v>-1</v>
      </c>
      <c r="F68">
        <f t="shared" si="17"/>
        <v>1</v>
      </c>
      <c r="G68">
        <f t="shared" si="18"/>
        <v>-1</v>
      </c>
      <c r="H68">
        <f t="shared" si="19"/>
        <v>-1</v>
      </c>
      <c r="I68">
        <f t="shared" si="49"/>
        <v>245</v>
      </c>
      <c r="AE68">
        <v>67</v>
      </c>
      <c r="AF68">
        <v>68</v>
      </c>
      <c r="AG68">
        <v>-1</v>
      </c>
      <c r="AH68">
        <v>1</v>
      </c>
      <c r="AI68">
        <v>-1</v>
      </c>
      <c r="AJ68">
        <f t="shared" si="52"/>
        <v>205</v>
      </c>
      <c r="AK68">
        <f t="shared" si="53"/>
        <v>208.88888888888889</v>
      </c>
      <c r="AL68">
        <f t="shared" si="36"/>
        <v>181.66666666666666</v>
      </c>
      <c r="AM68">
        <f t="shared" si="54"/>
        <v>-3.8888888888888857</v>
      </c>
      <c r="AN68">
        <f t="shared" si="50"/>
        <v>45.138888888888886</v>
      </c>
      <c r="AO68">
        <f t="shared" si="51"/>
        <v>-4.3334726389105933</v>
      </c>
    </row>
    <row r="69" spans="1:41" x14ac:dyDescent="0.4">
      <c r="A69">
        <v>8</v>
      </c>
      <c r="B69">
        <v>1</v>
      </c>
      <c r="C69">
        <v>1</v>
      </c>
      <c r="D69">
        <v>1</v>
      </c>
      <c r="E69">
        <f t="shared" si="16"/>
        <v>1</v>
      </c>
      <c r="F69">
        <f t="shared" si="17"/>
        <v>1</v>
      </c>
      <c r="G69">
        <f t="shared" si="18"/>
        <v>1</v>
      </c>
      <c r="H69">
        <f t="shared" si="19"/>
        <v>1</v>
      </c>
      <c r="I69">
        <f t="shared" si="49"/>
        <v>200</v>
      </c>
      <c r="AE69">
        <v>68</v>
      </c>
      <c r="AF69">
        <v>50</v>
      </c>
      <c r="AG69">
        <v>1</v>
      </c>
      <c r="AH69">
        <v>1</v>
      </c>
      <c r="AI69">
        <v>-1</v>
      </c>
      <c r="AJ69">
        <f t="shared" si="52"/>
        <v>200</v>
      </c>
      <c r="AK69">
        <f t="shared" si="53"/>
        <v>206.66666666666666</v>
      </c>
      <c r="AL69">
        <f t="shared" si="36"/>
        <v>173.33333333333334</v>
      </c>
      <c r="AM69">
        <f t="shared" si="54"/>
        <v>-6.6666666666666572</v>
      </c>
      <c r="AN69">
        <f t="shared" si="50"/>
        <v>42.361111111111114</v>
      </c>
      <c r="AO69">
        <f t="shared" si="51"/>
        <v>-6.8348955309915151</v>
      </c>
    </row>
    <row r="70" spans="1:41" x14ac:dyDescent="0.4">
      <c r="A70">
        <v>1</v>
      </c>
      <c r="B70">
        <v>-1</v>
      </c>
      <c r="C70">
        <v>-1</v>
      </c>
      <c r="D70">
        <v>-1</v>
      </c>
      <c r="E70">
        <f t="shared" si="16"/>
        <v>1</v>
      </c>
      <c r="F70">
        <f t="shared" si="17"/>
        <v>1</v>
      </c>
      <c r="G70">
        <f t="shared" si="18"/>
        <v>1</v>
      </c>
      <c r="H70">
        <f t="shared" si="19"/>
        <v>-1</v>
      </c>
      <c r="I70">
        <f>L3</f>
        <v>300</v>
      </c>
      <c r="AE70">
        <v>69</v>
      </c>
      <c r="AF70">
        <v>60</v>
      </c>
      <c r="AG70">
        <v>-1</v>
      </c>
      <c r="AH70">
        <v>-1</v>
      </c>
      <c r="AI70">
        <v>1</v>
      </c>
      <c r="AJ70">
        <f t="shared" si="52"/>
        <v>385</v>
      </c>
      <c r="AK70">
        <f t="shared" si="53"/>
        <v>289.44444444444446</v>
      </c>
      <c r="AL70">
        <f t="shared" si="36"/>
        <v>297.22222222222223</v>
      </c>
      <c r="AM70">
        <f t="shared" si="54"/>
        <v>95.555555555555543</v>
      </c>
      <c r="AN70">
        <f t="shared" si="50"/>
        <v>99.305555555555557</v>
      </c>
      <c r="AO70">
        <f t="shared" si="51"/>
        <v>87.274759900988158</v>
      </c>
    </row>
    <row r="71" spans="1:41" x14ac:dyDescent="0.4">
      <c r="A71">
        <v>2</v>
      </c>
      <c r="B71">
        <v>1</v>
      </c>
      <c r="C71">
        <v>-1</v>
      </c>
      <c r="D71">
        <v>-1</v>
      </c>
      <c r="E71">
        <f t="shared" si="16"/>
        <v>-1</v>
      </c>
      <c r="F71">
        <f t="shared" si="17"/>
        <v>1</v>
      </c>
      <c r="G71">
        <f t="shared" si="18"/>
        <v>-1</v>
      </c>
      <c r="H71">
        <f t="shared" si="19"/>
        <v>1</v>
      </c>
      <c r="I71">
        <f t="shared" ref="I71:I77" si="55">L4</f>
        <v>165</v>
      </c>
      <c r="AE71">
        <v>70</v>
      </c>
      <c r="AF71">
        <v>58</v>
      </c>
      <c r="AG71">
        <v>1</v>
      </c>
      <c r="AH71">
        <v>-1</v>
      </c>
      <c r="AI71">
        <v>1</v>
      </c>
      <c r="AJ71">
        <f t="shared" si="52"/>
        <v>135</v>
      </c>
      <c r="AK71">
        <f t="shared" si="53"/>
        <v>152.7777777777778</v>
      </c>
      <c r="AL71">
        <f t="shared" si="36"/>
        <v>154.44444444444446</v>
      </c>
      <c r="AM71">
        <f t="shared" si="54"/>
        <v>-17.7777777777778</v>
      </c>
      <c r="AN71">
        <f t="shared" si="50"/>
        <v>31.25</v>
      </c>
      <c r="AO71">
        <f t="shared" si="51"/>
        <v>-17.33971054796698</v>
      </c>
    </row>
    <row r="72" spans="1:41" x14ac:dyDescent="0.4">
      <c r="A72">
        <v>3</v>
      </c>
      <c r="B72">
        <v>-1</v>
      </c>
      <c r="C72">
        <v>1</v>
      </c>
      <c r="D72">
        <v>-1</v>
      </c>
      <c r="E72">
        <f t="shared" si="16"/>
        <v>-1</v>
      </c>
      <c r="F72">
        <f t="shared" si="17"/>
        <v>-1</v>
      </c>
      <c r="G72">
        <f t="shared" si="18"/>
        <v>1</v>
      </c>
      <c r="H72">
        <f t="shared" si="19"/>
        <v>1</v>
      </c>
      <c r="I72">
        <f t="shared" si="55"/>
        <v>195</v>
      </c>
      <c r="AE72">
        <v>71</v>
      </c>
      <c r="AF72">
        <v>67</v>
      </c>
      <c r="AG72">
        <v>-1</v>
      </c>
      <c r="AH72">
        <v>1</v>
      </c>
      <c r="AI72">
        <v>1</v>
      </c>
      <c r="AJ72">
        <f t="shared" si="52"/>
        <v>275</v>
      </c>
      <c r="AK72">
        <f t="shared" si="53"/>
        <v>198.33333333333334</v>
      </c>
      <c r="AL72">
        <f t="shared" si="36"/>
        <v>225.55555555555554</v>
      </c>
      <c r="AM72">
        <f t="shared" si="54"/>
        <v>76.666666666666657</v>
      </c>
      <c r="AN72">
        <f t="shared" si="50"/>
        <v>96.527777777777771</v>
      </c>
      <c r="AO72">
        <f t="shared" si="51"/>
        <v>64.406841997761987</v>
      </c>
    </row>
    <row r="73" spans="1:41" x14ac:dyDescent="0.4">
      <c r="A73">
        <v>4</v>
      </c>
      <c r="B73">
        <v>1</v>
      </c>
      <c r="C73">
        <v>1</v>
      </c>
      <c r="D73">
        <v>-1</v>
      </c>
      <c r="E73">
        <f t="shared" si="16"/>
        <v>1</v>
      </c>
      <c r="F73">
        <f t="shared" si="17"/>
        <v>-1</v>
      </c>
      <c r="G73">
        <f t="shared" si="18"/>
        <v>-1</v>
      </c>
      <c r="H73">
        <f t="shared" si="19"/>
        <v>-1</v>
      </c>
      <c r="I73">
        <f t="shared" si="55"/>
        <v>155</v>
      </c>
      <c r="AE73">
        <v>72</v>
      </c>
      <c r="AF73">
        <v>49</v>
      </c>
      <c r="AG73">
        <v>1</v>
      </c>
      <c r="AH73">
        <v>1</v>
      </c>
      <c r="AI73">
        <v>1</v>
      </c>
      <c r="AJ73">
        <f t="shared" si="52"/>
        <v>205</v>
      </c>
      <c r="AK73">
        <f t="shared" si="53"/>
        <v>166.11111111111111</v>
      </c>
      <c r="AL73">
        <f t="shared" si="36"/>
        <v>199.44444444444446</v>
      </c>
      <c r="AM73">
        <f t="shared" si="54"/>
        <v>38.888888888888886</v>
      </c>
      <c r="AN73">
        <f t="shared" si="50"/>
        <v>85.416666666666671</v>
      </c>
      <c r="AO73">
        <f t="shared" si="51"/>
        <v>37.408202766577887</v>
      </c>
    </row>
    <row r="74" spans="1:41" x14ac:dyDescent="0.4">
      <c r="A74">
        <v>5</v>
      </c>
      <c r="B74">
        <v>-1</v>
      </c>
      <c r="C74">
        <v>-1</v>
      </c>
      <c r="D74">
        <v>1</v>
      </c>
      <c r="E74">
        <f t="shared" si="16"/>
        <v>1</v>
      </c>
      <c r="F74">
        <f t="shared" si="17"/>
        <v>-1</v>
      </c>
      <c r="G74">
        <f t="shared" si="18"/>
        <v>-1</v>
      </c>
      <c r="H74">
        <f t="shared" si="19"/>
        <v>1</v>
      </c>
      <c r="I74">
        <f t="shared" si="55"/>
        <v>295</v>
      </c>
      <c r="AL74" t="s">
        <v>110</v>
      </c>
      <c r="AM74">
        <f>AVERAGE(AM2:AM73)</f>
        <v>-5.9211894646675018E-15</v>
      </c>
    </row>
    <row r="75" spans="1:41" x14ac:dyDescent="0.4">
      <c r="A75">
        <v>6</v>
      </c>
      <c r="B75">
        <v>1</v>
      </c>
      <c r="C75">
        <v>-1</v>
      </c>
      <c r="D75">
        <v>1</v>
      </c>
      <c r="E75">
        <f t="shared" si="16"/>
        <v>-1</v>
      </c>
      <c r="F75">
        <f t="shared" si="17"/>
        <v>-1</v>
      </c>
      <c r="G75">
        <f t="shared" si="18"/>
        <v>1</v>
      </c>
      <c r="H75">
        <f t="shared" si="19"/>
        <v>-1</v>
      </c>
      <c r="I75">
        <f t="shared" si="55"/>
        <v>140</v>
      </c>
      <c r="AL75" t="s">
        <v>111</v>
      </c>
      <c r="AM75">
        <f>_xlfn.STDEV.S(AM2:AM73)</f>
        <v>35.475751598615894</v>
      </c>
    </row>
    <row r="76" spans="1:41" x14ac:dyDescent="0.4">
      <c r="A76">
        <v>7</v>
      </c>
      <c r="B76">
        <v>-1</v>
      </c>
      <c r="C76">
        <v>1</v>
      </c>
      <c r="D76">
        <v>1</v>
      </c>
      <c r="E76">
        <f t="shared" si="16"/>
        <v>-1</v>
      </c>
      <c r="F76">
        <f t="shared" si="17"/>
        <v>1</v>
      </c>
      <c r="G76">
        <f t="shared" si="18"/>
        <v>-1</v>
      </c>
      <c r="H76">
        <f t="shared" si="19"/>
        <v>-1</v>
      </c>
      <c r="I76">
        <f t="shared" si="55"/>
        <v>210</v>
      </c>
    </row>
    <row r="77" spans="1:41" x14ac:dyDescent="0.4">
      <c r="A77">
        <v>8</v>
      </c>
      <c r="B77">
        <v>1</v>
      </c>
      <c r="C77">
        <v>1</v>
      </c>
      <c r="D77">
        <v>1</v>
      </c>
      <c r="E77">
        <f t="shared" si="16"/>
        <v>1</v>
      </c>
      <c r="F77">
        <f t="shared" si="17"/>
        <v>1</v>
      </c>
      <c r="G77">
        <f t="shared" si="18"/>
        <v>1</v>
      </c>
      <c r="H77">
        <f t="shared" si="19"/>
        <v>1</v>
      </c>
      <c r="I77">
        <f t="shared" si="55"/>
        <v>175</v>
      </c>
    </row>
    <row r="78" spans="1:41" x14ac:dyDescent="0.4">
      <c r="A78">
        <v>1</v>
      </c>
      <c r="B78">
        <v>-1</v>
      </c>
      <c r="C78">
        <v>-1</v>
      </c>
      <c r="D78">
        <v>-1</v>
      </c>
      <c r="E78">
        <f t="shared" si="16"/>
        <v>1</v>
      </c>
      <c r="F78">
        <f t="shared" si="17"/>
        <v>1</v>
      </c>
      <c r="G78">
        <f t="shared" si="18"/>
        <v>1</v>
      </c>
      <c r="H78">
        <f t="shared" si="19"/>
        <v>-1</v>
      </c>
      <c r="I78">
        <f>M3</f>
        <v>360</v>
      </c>
    </row>
    <row r="79" spans="1:41" x14ac:dyDescent="0.4">
      <c r="A79">
        <v>2</v>
      </c>
      <c r="B79">
        <v>1</v>
      </c>
      <c r="C79">
        <v>-1</v>
      </c>
      <c r="D79">
        <v>-1</v>
      </c>
      <c r="E79">
        <f t="shared" ref="E79:E85" si="56">B79*C79</f>
        <v>-1</v>
      </c>
      <c r="F79">
        <f t="shared" ref="F79:F85" si="57">C79*D79</f>
        <v>1</v>
      </c>
      <c r="G79">
        <f t="shared" ref="G79:G85" si="58">B79*D79</f>
        <v>-1</v>
      </c>
      <c r="H79">
        <f t="shared" ref="H79:H85" si="59">B79*C79*D79</f>
        <v>1</v>
      </c>
      <c r="I79">
        <f t="shared" ref="I79:I85" si="60">M4</f>
        <v>200</v>
      </c>
    </row>
    <row r="80" spans="1:41" x14ac:dyDescent="0.4">
      <c r="A80">
        <v>3</v>
      </c>
      <c r="B80">
        <v>-1</v>
      </c>
      <c r="C80">
        <v>1</v>
      </c>
      <c r="D80">
        <v>-1</v>
      </c>
      <c r="E80">
        <f t="shared" si="56"/>
        <v>-1</v>
      </c>
      <c r="F80">
        <f t="shared" si="57"/>
        <v>-1</v>
      </c>
      <c r="G80">
        <f t="shared" si="58"/>
        <v>1</v>
      </c>
      <c r="H80">
        <f t="shared" si="59"/>
        <v>1</v>
      </c>
      <c r="I80">
        <f t="shared" si="60"/>
        <v>205</v>
      </c>
    </row>
    <row r="81" spans="1:9" x14ac:dyDescent="0.4">
      <c r="A81">
        <v>4</v>
      </c>
      <c r="B81">
        <v>1</v>
      </c>
      <c r="C81">
        <v>1</v>
      </c>
      <c r="D81">
        <v>-1</v>
      </c>
      <c r="E81">
        <f t="shared" si="56"/>
        <v>1</v>
      </c>
      <c r="F81">
        <f t="shared" si="57"/>
        <v>-1</v>
      </c>
      <c r="G81">
        <f t="shared" si="58"/>
        <v>-1</v>
      </c>
      <c r="H81">
        <f t="shared" si="59"/>
        <v>-1</v>
      </c>
      <c r="I81">
        <f t="shared" si="60"/>
        <v>200</v>
      </c>
    </row>
    <row r="82" spans="1:9" x14ac:dyDescent="0.4">
      <c r="A82">
        <v>5</v>
      </c>
      <c r="B82">
        <v>-1</v>
      </c>
      <c r="C82">
        <v>-1</v>
      </c>
      <c r="D82">
        <v>1</v>
      </c>
      <c r="E82">
        <f t="shared" si="56"/>
        <v>1</v>
      </c>
      <c r="F82">
        <f t="shared" si="57"/>
        <v>-1</v>
      </c>
      <c r="G82">
        <f t="shared" si="58"/>
        <v>-1</v>
      </c>
      <c r="H82">
        <f t="shared" si="59"/>
        <v>1</v>
      </c>
      <c r="I82">
        <f t="shared" si="60"/>
        <v>385</v>
      </c>
    </row>
    <row r="83" spans="1:9" x14ac:dyDescent="0.4">
      <c r="A83">
        <v>6</v>
      </c>
      <c r="B83">
        <v>1</v>
      </c>
      <c r="C83">
        <v>-1</v>
      </c>
      <c r="D83">
        <v>1</v>
      </c>
      <c r="E83">
        <f t="shared" si="56"/>
        <v>-1</v>
      </c>
      <c r="F83">
        <f t="shared" si="57"/>
        <v>-1</v>
      </c>
      <c r="G83">
        <f t="shared" si="58"/>
        <v>1</v>
      </c>
      <c r="H83">
        <f t="shared" si="59"/>
        <v>-1</v>
      </c>
      <c r="I83">
        <f t="shared" si="60"/>
        <v>135</v>
      </c>
    </row>
    <row r="84" spans="1:9" x14ac:dyDescent="0.4">
      <c r="A84">
        <v>7</v>
      </c>
      <c r="B84">
        <v>-1</v>
      </c>
      <c r="C84">
        <v>1</v>
      </c>
      <c r="D84">
        <v>1</v>
      </c>
      <c r="E84">
        <f t="shared" si="56"/>
        <v>-1</v>
      </c>
      <c r="F84">
        <f t="shared" si="57"/>
        <v>1</v>
      </c>
      <c r="G84">
        <f t="shared" si="58"/>
        <v>-1</v>
      </c>
      <c r="H84">
        <f t="shared" si="59"/>
        <v>-1</v>
      </c>
      <c r="I84">
        <f t="shared" si="60"/>
        <v>275</v>
      </c>
    </row>
    <row r="85" spans="1:9" x14ac:dyDescent="0.4">
      <c r="A85">
        <v>8</v>
      </c>
      <c r="B85">
        <v>1</v>
      </c>
      <c r="C85">
        <v>1</v>
      </c>
      <c r="D85">
        <v>1</v>
      </c>
      <c r="E85">
        <f t="shared" si="56"/>
        <v>1</v>
      </c>
      <c r="F85">
        <f t="shared" si="57"/>
        <v>1</v>
      </c>
      <c r="G85">
        <f t="shared" si="58"/>
        <v>1</v>
      </c>
      <c r="H85">
        <f t="shared" si="59"/>
        <v>1</v>
      </c>
      <c r="I85">
        <f t="shared" si="60"/>
        <v>205</v>
      </c>
    </row>
  </sheetData>
  <mergeCells count="4">
    <mergeCell ref="E1:G1"/>
    <mergeCell ref="H1:J1"/>
    <mergeCell ref="K1:M1"/>
    <mergeCell ref="K28:M28"/>
  </mergeCells>
  <phoneticPr fontId="1" type="noConversion"/>
  <conditionalFormatting sqref="M18:M24">
    <cfRule type="cellIs" dxfId="4" priority="2" operator="lessThan">
      <formula>$O$18</formula>
    </cfRule>
    <cfRule type="cellIs" dxfId="3" priority="3" operator="greaterThan">
      <formula>$P$18</formula>
    </cfRule>
  </conditionalFormatting>
  <conditionalFormatting sqref="AB3:AB9">
    <cfRule type="cellIs" dxfId="2" priority="1" operator="greaterThan">
      <formula>$AC$3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4D3E-4681-4E55-8949-E4054E158CF2}">
  <dimension ref="B1:S30"/>
  <sheetViews>
    <sheetView tabSelected="1" topLeftCell="H1" zoomScale="85" zoomScaleNormal="85" workbookViewId="0">
      <selection activeCell="O3" sqref="O3"/>
    </sheetView>
  </sheetViews>
  <sheetFormatPr defaultRowHeight="17" x14ac:dyDescent="0.4"/>
  <cols>
    <col min="2" max="2" width="13.36328125" bestFit="1" customWidth="1"/>
    <col min="3" max="4" width="13.453125" bestFit="1" customWidth="1"/>
    <col min="5" max="10" width="12.7265625" bestFit="1" customWidth="1"/>
    <col min="11" max="11" width="5.08984375" bestFit="1" customWidth="1"/>
    <col min="12" max="12" width="6" bestFit="1" customWidth="1"/>
    <col min="13" max="14" width="14.08984375" bestFit="1" customWidth="1"/>
  </cols>
  <sheetData>
    <row r="1" spans="2:19" x14ac:dyDescent="0.4">
      <c r="B1" s="14"/>
      <c r="C1" s="15"/>
      <c r="D1" s="15"/>
      <c r="E1" s="15"/>
      <c r="F1" s="57" t="s">
        <v>96</v>
      </c>
      <c r="G1" s="58"/>
      <c r="H1" s="58"/>
      <c r="I1" s="57" t="s">
        <v>97</v>
      </c>
      <c r="J1" s="58"/>
      <c r="K1" s="58"/>
      <c r="L1" s="57" t="s">
        <v>98</v>
      </c>
      <c r="M1" s="58"/>
      <c r="N1" s="62"/>
      <c r="O1" s="16"/>
      <c r="P1" s="14" t="s">
        <v>23</v>
      </c>
      <c r="Q1" s="16" t="s">
        <v>38</v>
      </c>
    </row>
    <row r="2" spans="2:19" x14ac:dyDescent="0.4">
      <c r="B2" s="17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7" t="s">
        <v>4</v>
      </c>
      <c r="J2" s="6" t="s">
        <v>5</v>
      </c>
      <c r="K2" s="6" t="s">
        <v>6</v>
      </c>
      <c r="L2" s="7" t="s">
        <v>4</v>
      </c>
      <c r="M2" s="6" t="s">
        <v>5</v>
      </c>
      <c r="N2" s="33" t="s">
        <v>6</v>
      </c>
      <c r="O2" s="36" t="s">
        <v>116</v>
      </c>
      <c r="P2" s="17">
        <v>8</v>
      </c>
      <c r="Q2" s="18">
        <f>((G24)^2+(H24)^2+(I24)^2)/3</f>
        <v>0.65775789782988103</v>
      </c>
    </row>
    <row r="3" spans="2:19" x14ac:dyDescent="0.4">
      <c r="B3" s="17">
        <v>1</v>
      </c>
      <c r="C3" s="6">
        <v>-1</v>
      </c>
      <c r="D3" s="6">
        <v>-1</v>
      </c>
      <c r="E3" s="6">
        <v>-1</v>
      </c>
      <c r="F3" s="7">
        <v>255</v>
      </c>
      <c r="G3" s="6">
        <v>300</v>
      </c>
      <c r="H3" s="6">
        <v>285</v>
      </c>
      <c r="I3" s="7">
        <v>240</v>
      </c>
      <c r="J3" s="6">
        <v>310</v>
      </c>
      <c r="K3" s="6">
        <v>300</v>
      </c>
      <c r="L3" s="7">
        <v>280</v>
      </c>
      <c r="M3" s="6">
        <v>300</v>
      </c>
      <c r="N3" s="33">
        <v>360</v>
      </c>
      <c r="O3" s="18" cm="1">
        <f t="array" ref="O3">-10*LOG10(1/9*SUM((1/(F3:N3))^2))</f>
        <v>49.157749372692273</v>
      </c>
      <c r="P3" s="17" t="s">
        <v>24</v>
      </c>
      <c r="Q3" s="18" t="s">
        <v>40</v>
      </c>
    </row>
    <row r="4" spans="2:19" x14ac:dyDescent="0.4">
      <c r="B4" s="17">
        <v>2</v>
      </c>
      <c r="C4" s="6">
        <v>1</v>
      </c>
      <c r="D4" s="6">
        <v>-1</v>
      </c>
      <c r="E4" s="6">
        <v>-1</v>
      </c>
      <c r="F4" s="13">
        <v>200</v>
      </c>
      <c r="G4" s="12">
        <v>205</v>
      </c>
      <c r="H4" s="12">
        <v>230</v>
      </c>
      <c r="I4" s="13">
        <v>220</v>
      </c>
      <c r="J4" s="12">
        <v>155</v>
      </c>
      <c r="K4" s="12">
        <v>200</v>
      </c>
      <c r="L4" s="13">
        <v>150</v>
      </c>
      <c r="M4" s="12">
        <v>165</v>
      </c>
      <c r="N4" s="34">
        <v>200</v>
      </c>
      <c r="O4" s="18" cm="1">
        <f t="array" ref="O4">-10*LOG10(1/9*SUM((1/(F4:N4))^2))</f>
        <v>45.37337831854871</v>
      </c>
      <c r="P4" s="17">
        <v>1</v>
      </c>
      <c r="Q4" s="18">
        <f>Q2^0.5</f>
        <v>0.81102274803477681</v>
      </c>
    </row>
    <row r="5" spans="2:19" x14ac:dyDescent="0.4">
      <c r="B5" s="17">
        <v>3</v>
      </c>
      <c r="C5" s="6">
        <v>-1</v>
      </c>
      <c r="D5" s="6">
        <v>1</v>
      </c>
      <c r="E5" s="6">
        <v>-1</v>
      </c>
      <c r="F5" s="13">
        <v>150</v>
      </c>
      <c r="G5" s="12">
        <v>175</v>
      </c>
      <c r="H5" s="12">
        <v>160</v>
      </c>
      <c r="I5" s="13">
        <v>190</v>
      </c>
      <c r="J5" s="12">
        <v>150</v>
      </c>
      <c r="K5" s="12">
        <v>190</v>
      </c>
      <c r="L5" s="13">
        <v>220</v>
      </c>
      <c r="M5" s="12">
        <v>195</v>
      </c>
      <c r="N5" s="34">
        <v>205</v>
      </c>
      <c r="O5" s="18" cm="1">
        <f t="array" ref="O5">-10*LOG10(1/9*SUM((1/(F5:N5))^2))</f>
        <v>44.967222461522169</v>
      </c>
      <c r="P5" s="17" t="s">
        <v>25</v>
      </c>
      <c r="Q5" s="18"/>
    </row>
    <row r="6" spans="2:19" x14ac:dyDescent="0.4">
      <c r="B6" s="17">
        <v>4</v>
      </c>
      <c r="C6" s="6">
        <v>1</v>
      </c>
      <c r="D6" s="6">
        <v>1</v>
      </c>
      <c r="E6" s="6">
        <v>-1</v>
      </c>
      <c r="F6" s="13">
        <v>170</v>
      </c>
      <c r="G6" s="12">
        <v>210</v>
      </c>
      <c r="H6" s="12">
        <v>160</v>
      </c>
      <c r="I6" s="13">
        <v>160</v>
      </c>
      <c r="J6" s="12">
        <v>170</v>
      </c>
      <c r="K6" s="12">
        <v>185</v>
      </c>
      <c r="L6" s="13">
        <v>150</v>
      </c>
      <c r="M6" s="12">
        <v>155</v>
      </c>
      <c r="N6" s="34">
        <v>200</v>
      </c>
      <c r="O6" s="18" cm="1">
        <f t="array" ref="O6">-10*LOG10(1/9*SUM((1/(F6:N6))^2))</f>
        <v>44.624732599887565</v>
      </c>
      <c r="P6" s="17">
        <f>P2*P4</f>
        <v>8</v>
      </c>
      <c r="Q6" s="18"/>
    </row>
    <row r="7" spans="2:19" x14ac:dyDescent="0.4">
      <c r="B7" s="17">
        <v>5</v>
      </c>
      <c r="C7" s="6">
        <v>-1</v>
      </c>
      <c r="D7" s="6">
        <v>-1</v>
      </c>
      <c r="E7" s="6">
        <v>1</v>
      </c>
      <c r="F7" s="13">
        <v>300</v>
      </c>
      <c r="G7" s="12">
        <v>290</v>
      </c>
      <c r="H7" s="12">
        <v>345</v>
      </c>
      <c r="I7" s="13">
        <v>230</v>
      </c>
      <c r="J7" s="12">
        <v>285</v>
      </c>
      <c r="K7" s="12">
        <v>270</v>
      </c>
      <c r="L7" s="13">
        <v>275</v>
      </c>
      <c r="M7" s="12">
        <v>295</v>
      </c>
      <c r="N7" s="34">
        <v>385</v>
      </c>
      <c r="O7" s="18" cm="1">
        <f t="array" ref="O7">-10*LOG10(1/9*SUM((1/(F7:N7))^2))</f>
        <v>49.216382573157517</v>
      </c>
      <c r="P7" s="17" t="s">
        <v>117</v>
      </c>
      <c r="Q7" s="18"/>
    </row>
    <row r="8" spans="2:19" ht="17.5" thickBot="1" x14ac:dyDescent="0.45">
      <c r="B8" s="17">
        <v>6</v>
      </c>
      <c r="C8" s="6">
        <v>1</v>
      </c>
      <c r="D8" s="6">
        <v>-1</v>
      </c>
      <c r="E8" s="6">
        <v>1</v>
      </c>
      <c r="F8" s="13">
        <v>140</v>
      </c>
      <c r="G8" s="12">
        <v>150</v>
      </c>
      <c r="H8" s="12">
        <v>145</v>
      </c>
      <c r="I8" s="13">
        <v>200</v>
      </c>
      <c r="J8" s="12">
        <v>150</v>
      </c>
      <c r="K8" s="12">
        <v>185</v>
      </c>
      <c r="L8" s="13">
        <v>145</v>
      </c>
      <c r="M8" s="12">
        <v>140</v>
      </c>
      <c r="N8" s="34">
        <v>135</v>
      </c>
      <c r="O8" s="18" cm="1">
        <f t="array" ref="O8">-10*LOG10(1/9*SUM((1/(F8:N8))^2))</f>
        <v>43.574886027993323</v>
      </c>
      <c r="P8" s="19">
        <f>AVERAGE(O3:O10)</f>
        <v>46.20535765634903</v>
      </c>
      <c r="Q8" s="21"/>
    </row>
    <row r="9" spans="2:19" x14ac:dyDescent="0.4">
      <c r="B9" s="17">
        <v>7</v>
      </c>
      <c r="C9" s="6">
        <v>-1</v>
      </c>
      <c r="D9" s="6">
        <v>1</v>
      </c>
      <c r="E9" s="6">
        <v>1</v>
      </c>
      <c r="F9" s="13">
        <v>175</v>
      </c>
      <c r="G9" s="12">
        <v>210</v>
      </c>
      <c r="H9" s="12">
        <v>230</v>
      </c>
      <c r="I9" s="13">
        <v>230</v>
      </c>
      <c r="J9" s="12">
        <v>210</v>
      </c>
      <c r="K9" s="12">
        <v>245</v>
      </c>
      <c r="L9" s="13">
        <v>245</v>
      </c>
      <c r="M9" s="12">
        <v>210</v>
      </c>
      <c r="N9" s="34">
        <v>275</v>
      </c>
      <c r="O9" s="18" cm="1">
        <f t="array" ref="O9">-10*LOG10(1/9*SUM((1/(F9:N9))^2))</f>
        <v>46.870002521783093</v>
      </c>
    </row>
    <row r="10" spans="2:19" ht="17.5" thickBot="1" x14ac:dyDescent="0.45">
      <c r="B10" s="19">
        <v>8</v>
      </c>
      <c r="C10" s="20">
        <v>1</v>
      </c>
      <c r="D10" s="20">
        <v>1</v>
      </c>
      <c r="E10" s="20">
        <v>1</v>
      </c>
      <c r="F10" s="24">
        <v>180</v>
      </c>
      <c r="G10" s="25">
        <v>175</v>
      </c>
      <c r="H10" s="25">
        <v>205</v>
      </c>
      <c r="I10" s="24">
        <v>200</v>
      </c>
      <c r="J10" s="25">
        <v>250</v>
      </c>
      <c r="K10" s="25">
        <v>205</v>
      </c>
      <c r="L10" s="24">
        <v>200</v>
      </c>
      <c r="M10" s="25">
        <v>175</v>
      </c>
      <c r="N10" s="35">
        <v>205</v>
      </c>
      <c r="O10" s="21" cm="1">
        <f t="array" ref="O10">-10*LOG10(1/9*SUM((1/(F10:N10))^2))</f>
        <v>45.858507375207637</v>
      </c>
    </row>
    <row r="12" spans="2:19" x14ac:dyDescent="0.4">
      <c r="M12" t="s">
        <v>118</v>
      </c>
      <c r="N12" t="s">
        <v>39</v>
      </c>
      <c r="O12" t="s">
        <v>46</v>
      </c>
      <c r="P12" t="s">
        <v>119</v>
      </c>
      <c r="Q12" t="s">
        <v>120</v>
      </c>
      <c r="R12" t="s">
        <v>44</v>
      </c>
      <c r="S12" t="s">
        <v>45</v>
      </c>
    </row>
    <row r="13" spans="2:19" x14ac:dyDescent="0.4">
      <c r="B13" t="s">
        <v>0</v>
      </c>
      <c r="C13" t="s">
        <v>1</v>
      </c>
      <c r="D13" t="s">
        <v>2</v>
      </c>
      <c r="E13" t="s">
        <v>3</v>
      </c>
      <c r="F13" t="s">
        <v>11</v>
      </c>
      <c r="G13" t="s">
        <v>12</v>
      </c>
      <c r="H13" t="s">
        <v>13</v>
      </c>
      <c r="I13" t="s">
        <v>14</v>
      </c>
      <c r="J13" t="s">
        <v>116</v>
      </c>
      <c r="K13">
        <v>7</v>
      </c>
      <c r="L13" t="s">
        <v>17</v>
      </c>
      <c r="M13">
        <f>C24</f>
        <v>-2.6949631518794543</v>
      </c>
      <c r="N13">
        <f>M13/$Q$4</f>
        <v>-3.3229193119548528</v>
      </c>
      <c r="O13">
        <f>IF(_xlfn.T.DIST(N13,3,1)&gt;0.5,(1-_xlfn.T.DIST(N13,3,1))*2,_xlfn.T.DIST(N13,3,1)*2)</f>
        <v>4.4955997504892625E-2</v>
      </c>
      <c r="P13">
        <f>_xlfn.T.INV(0.025,3)</f>
        <v>-3.1824463052837091</v>
      </c>
      <c r="Q13">
        <f>_xlfn.T.INV(0.975,3)</f>
        <v>3.1824463052837078</v>
      </c>
      <c r="R13">
        <f>M13-Q13*$Q$4</f>
        <v>-5.2759994998637687</v>
      </c>
      <c r="S13">
        <f>M13+Q13*$Q$4</f>
        <v>-0.11392680389513954</v>
      </c>
    </row>
    <row r="14" spans="2:19" x14ac:dyDescent="0.4">
      <c r="B14">
        <v>1</v>
      </c>
      <c r="C14">
        <f>C3</f>
        <v>-1</v>
      </c>
      <c r="D14">
        <f>D3</f>
        <v>-1</v>
      </c>
      <c r="E14">
        <f>E3</f>
        <v>-1</v>
      </c>
      <c r="F14">
        <f>C14*D14</f>
        <v>1</v>
      </c>
      <c r="G14">
        <f>D14*E14</f>
        <v>1</v>
      </c>
      <c r="H14">
        <f>C14*E14</f>
        <v>1</v>
      </c>
      <c r="I14">
        <f>C14*D14*E14</f>
        <v>-1</v>
      </c>
      <c r="J14">
        <f>O3</f>
        <v>49.157749372692273</v>
      </c>
      <c r="K14">
        <v>6</v>
      </c>
      <c r="L14" t="s">
        <v>18</v>
      </c>
      <c r="M14">
        <f>D24</f>
        <v>-1.2504828334978377</v>
      </c>
      <c r="N14">
        <f t="shared" ref="N14:N19" si="0">M14/$Q$4</f>
        <v>-1.5418591359218161</v>
      </c>
      <c r="O14">
        <f t="shared" ref="O14:O19" si="1">IF(_xlfn.T.DIST(N14,3,1)&gt;0.5,(1-_xlfn.T.DIST(N14,3,1))*2,_xlfn.T.DIST(N14,3,1)*2)</f>
        <v>0.22077307389215192</v>
      </c>
      <c r="P14">
        <f t="shared" ref="P14:P19" si="2">_xlfn.T.INV(0.025,3)</f>
        <v>-3.1824463052837091</v>
      </c>
      <c r="Q14">
        <f t="shared" ref="Q14:Q19" si="3">_xlfn.T.INV(0.975,3)</f>
        <v>3.1824463052837078</v>
      </c>
      <c r="R14">
        <f>M14-Q14*$Q$4</f>
        <v>-3.8315191814821525</v>
      </c>
      <c r="S14">
        <f>M14+Q14*$Q$4</f>
        <v>1.3305535144864771</v>
      </c>
    </row>
    <row r="15" spans="2:19" x14ac:dyDescent="0.4">
      <c r="B15">
        <v>2</v>
      </c>
      <c r="C15">
        <f t="shared" ref="C15:E21" si="4">C4</f>
        <v>1</v>
      </c>
      <c r="D15">
        <f t="shared" si="4"/>
        <v>-1</v>
      </c>
      <c r="E15">
        <f t="shared" si="4"/>
        <v>-1</v>
      </c>
      <c r="F15">
        <f t="shared" ref="F15:F21" si="5">C15*D15</f>
        <v>-1</v>
      </c>
      <c r="G15">
        <f t="shared" ref="G15:G21" si="6">D15*E15</f>
        <v>1</v>
      </c>
      <c r="H15">
        <f t="shared" ref="H15:H21" si="7">C15*E15</f>
        <v>-1</v>
      </c>
      <c r="I15">
        <f t="shared" ref="I15:I21" si="8">C15*D15*E15</f>
        <v>1</v>
      </c>
      <c r="J15">
        <f t="shared" ref="J15:J21" si="9">O4</f>
        <v>45.37337831854871</v>
      </c>
      <c r="K15">
        <v>5</v>
      </c>
      <c r="L15" t="s">
        <v>19</v>
      </c>
      <c r="M15">
        <f>E24</f>
        <v>0.34917393637271843</v>
      </c>
      <c r="N15">
        <f t="shared" si="0"/>
        <v>0.43053531755899133</v>
      </c>
      <c r="O15">
        <f t="shared" si="1"/>
        <v>0.6958631241757256</v>
      </c>
      <c r="P15">
        <f t="shared" si="2"/>
        <v>-3.1824463052837091</v>
      </c>
      <c r="Q15">
        <f t="shared" si="3"/>
        <v>3.1824463052837078</v>
      </c>
      <c r="R15">
        <f>M15-Q15*$Q$4</f>
        <v>-2.2318624116115964</v>
      </c>
      <c r="S15">
        <f>M15+Q15*$Q$4</f>
        <v>2.9302102843570332</v>
      </c>
    </row>
    <row r="16" spans="2:19" x14ac:dyDescent="0.4">
      <c r="B16">
        <v>3</v>
      </c>
      <c r="C16">
        <f t="shared" si="4"/>
        <v>-1</v>
      </c>
      <c r="D16">
        <f t="shared" si="4"/>
        <v>1</v>
      </c>
      <c r="E16">
        <f t="shared" si="4"/>
        <v>-1</v>
      </c>
      <c r="F16">
        <f t="shared" si="5"/>
        <v>-1</v>
      </c>
      <c r="G16">
        <f t="shared" si="6"/>
        <v>-1</v>
      </c>
      <c r="H16">
        <f t="shared" si="7"/>
        <v>1</v>
      </c>
      <c r="I16">
        <f t="shared" si="8"/>
        <v>1</v>
      </c>
      <c r="J16">
        <f t="shared" si="9"/>
        <v>44.967222461522169</v>
      </c>
      <c r="K16">
        <v>4</v>
      </c>
      <c r="L16" t="s">
        <v>33</v>
      </c>
      <c r="M16">
        <f>F24</f>
        <v>2.0179706477744244</v>
      </c>
      <c r="N16">
        <f t="shared" si="0"/>
        <v>2.4881800820806244</v>
      </c>
      <c r="O16">
        <f t="shared" si="1"/>
        <v>8.8626465762511097E-2</v>
      </c>
      <c r="P16">
        <f t="shared" si="2"/>
        <v>-3.1824463052837091</v>
      </c>
      <c r="Q16">
        <f t="shared" si="3"/>
        <v>3.1824463052837078</v>
      </c>
      <c r="R16">
        <f>M16-Q16*$Q$4</f>
        <v>-0.56306570020989044</v>
      </c>
      <c r="S16">
        <f>M16+Q16*$Q$4</f>
        <v>4.5990069957587387</v>
      </c>
    </row>
    <row r="17" spans="2:19" x14ac:dyDescent="0.4">
      <c r="B17">
        <v>4</v>
      </c>
      <c r="C17">
        <f t="shared" si="4"/>
        <v>1</v>
      </c>
      <c r="D17">
        <f t="shared" si="4"/>
        <v>1</v>
      </c>
      <c r="E17">
        <f t="shared" si="4"/>
        <v>-1</v>
      </c>
      <c r="F17">
        <f t="shared" si="5"/>
        <v>1</v>
      </c>
      <c r="G17">
        <f t="shared" si="6"/>
        <v>-1</v>
      </c>
      <c r="H17">
        <f t="shared" si="7"/>
        <v>-1</v>
      </c>
      <c r="I17">
        <f t="shared" si="8"/>
        <v>-1</v>
      </c>
      <c r="J17">
        <f t="shared" si="9"/>
        <v>44.624732599887565</v>
      </c>
      <c r="K17">
        <v>3</v>
      </c>
      <c r="L17" t="s">
        <v>21</v>
      </c>
      <c r="M17">
        <f>G24</f>
        <v>1.2191034814177861</v>
      </c>
      <c r="N17">
        <f t="shared" si="0"/>
        <v>1.5031680484571448</v>
      </c>
      <c r="O17">
        <f t="shared" si="1"/>
        <v>0.22982479990885385</v>
      </c>
      <c r="P17">
        <f t="shared" si="2"/>
        <v>-3.1824463052837091</v>
      </c>
      <c r="Q17">
        <f t="shared" si="3"/>
        <v>3.1824463052837078</v>
      </c>
      <c r="R17">
        <f>M17-Q17*$Q$4</f>
        <v>-1.3619328665665287</v>
      </c>
      <c r="S17">
        <f>M17+Q17*$Q$4</f>
        <v>3.8001398294021009</v>
      </c>
    </row>
    <row r="18" spans="2:19" x14ac:dyDescent="0.4">
      <c r="B18">
        <v>5</v>
      </c>
      <c r="C18">
        <f t="shared" si="4"/>
        <v>-1</v>
      </c>
      <c r="D18">
        <f t="shared" si="4"/>
        <v>-1</v>
      </c>
      <c r="E18">
        <f t="shared" si="4"/>
        <v>1</v>
      </c>
      <c r="F18">
        <f t="shared" si="5"/>
        <v>1</v>
      </c>
      <c r="G18">
        <f t="shared" si="6"/>
        <v>-1</v>
      </c>
      <c r="H18">
        <f t="shared" si="7"/>
        <v>-1</v>
      </c>
      <c r="I18">
        <f t="shared" si="8"/>
        <v>1</v>
      </c>
      <c r="J18">
        <f t="shared" si="9"/>
        <v>49.216382573157517</v>
      </c>
      <c r="K18">
        <v>2</v>
      </c>
      <c r="L18" t="s">
        <v>20</v>
      </c>
      <c r="M18">
        <f>H24</f>
        <v>-0.63153269399037093</v>
      </c>
      <c r="N18">
        <f t="shared" si="0"/>
        <v>-0.77868678223966503</v>
      </c>
      <c r="O18">
        <f t="shared" si="1"/>
        <v>0.49294106044322028</v>
      </c>
      <c r="P18">
        <f t="shared" si="2"/>
        <v>-3.1824463052837091</v>
      </c>
      <c r="Q18">
        <f t="shared" si="3"/>
        <v>3.1824463052837078</v>
      </c>
      <c r="R18">
        <f>M18-Q18*$Q$4</f>
        <v>-3.2125690419746857</v>
      </c>
      <c r="S18">
        <f>M18+Q18*$Q$4</f>
        <v>1.9495036539939439</v>
      </c>
    </row>
    <row r="19" spans="2:19" x14ac:dyDescent="0.4">
      <c r="B19">
        <v>6</v>
      </c>
      <c r="C19">
        <f t="shared" si="4"/>
        <v>1</v>
      </c>
      <c r="D19">
        <f t="shared" si="4"/>
        <v>-1</v>
      </c>
      <c r="E19">
        <f t="shared" si="4"/>
        <v>1</v>
      </c>
      <c r="F19">
        <f t="shared" si="5"/>
        <v>-1</v>
      </c>
      <c r="G19">
        <f t="shared" si="6"/>
        <v>-1</v>
      </c>
      <c r="H19">
        <f t="shared" si="7"/>
        <v>1</v>
      </c>
      <c r="I19">
        <f t="shared" si="8"/>
        <v>-1</v>
      </c>
      <c r="J19">
        <f t="shared" si="9"/>
        <v>43.574886027993323</v>
      </c>
      <c r="K19">
        <v>1</v>
      </c>
      <c r="L19" t="s">
        <v>22</v>
      </c>
      <c r="M19">
        <f>I24</f>
        <v>0.2970300515199451</v>
      </c>
      <c r="N19">
        <f t="shared" si="0"/>
        <v>0.36624133199677944</v>
      </c>
      <c r="O19">
        <f t="shared" si="1"/>
        <v>0.73848924166224617</v>
      </c>
      <c r="P19">
        <f t="shared" si="2"/>
        <v>-3.1824463052837091</v>
      </c>
      <c r="Q19">
        <f t="shared" si="3"/>
        <v>3.1824463052837078</v>
      </c>
      <c r="R19">
        <f>M19-Q19*$Q$4</f>
        <v>-2.2840062964643697</v>
      </c>
      <c r="S19">
        <f>M19+Q19*$Q$4</f>
        <v>2.8780663995042599</v>
      </c>
    </row>
    <row r="20" spans="2:19" x14ac:dyDescent="0.4">
      <c r="B20">
        <v>7</v>
      </c>
      <c r="C20">
        <f t="shared" si="4"/>
        <v>-1</v>
      </c>
      <c r="D20">
        <f t="shared" si="4"/>
        <v>1</v>
      </c>
      <c r="E20">
        <f t="shared" si="4"/>
        <v>1</v>
      </c>
      <c r="F20">
        <f t="shared" si="5"/>
        <v>-1</v>
      </c>
      <c r="G20">
        <f t="shared" si="6"/>
        <v>1</v>
      </c>
      <c r="H20">
        <f t="shared" si="7"/>
        <v>-1</v>
      </c>
      <c r="I20">
        <f t="shared" si="8"/>
        <v>-1</v>
      </c>
      <c r="J20">
        <f t="shared" si="9"/>
        <v>46.870002521783093</v>
      </c>
    </row>
    <row r="21" spans="2:19" x14ac:dyDescent="0.4">
      <c r="B21">
        <v>8</v>
      </c>
      <c r="C21">
        <f t="shared" si="4"/>
        <v>1</v>
      </c>
      <c r="D21">
        <f t="shared" si="4"/>
        <v>1</v>
      </c>
      <c r="E21">
        <f t="shared" si="4"/>
        <v>1</v>
      </c>
      <c r="F21">
        <f t="shared" si="5"/>
        <v>1</v>
      </c>
      <c r="G21">
        <f t="shared" si="6"/>
        <v>1</v>
      </c>
      <c r="H21">
        <f t="shared" si="7"/>
        <v>1</v>
      </c>
      <c r="I21">
        <f t="shared" si="8"/>
        <v>1</v>
      </c>
      <c r="J21">
        <f t="shared" si="9"/>
        <v>45.858507375207637</v>
      </c>
    </row>
    <row r="23" spans="2:19" x14ac:dyDescent="0.4">
      <c r="C23" t="s">
        <v>17</v>
      </c>
      <c r="D23" t="s">
        <v>18</v>
      </c>
      <c r="E23" t="s">
        <v>19</v>
      </c>
      <c r="F23" t="s">
        <v>33</v>
      </c>
      <c r="G23" t="s">
        <v>21</v>
      </c>
      <c r="H23" t="s">
        <v>20</v>
      </c>
      <c r="I23" t="s">
        <v>22</v>
      </c>
    </row>
    <row r="24" spans="2:19" x14ac:dyDescent="0.4">
      <c r="C24">
        <f>SUMPRODUCT(C14:C21,$J$14:$J$21)/($P$2/2*$P$4)</f>
        <v>-2.6949631518794543</v>
      </c>
      <c r="D24">
        <f t="shared" ref="D24:I24" si="10">SUMPRODUCT(D14:D21,$J$14:$J$21)/($P$2/2*$P$4)</f>
        <v>-1.2504828334978377</v>
      </c>
      <c r="E24">
        <f t="shared" si="10"/>
        <v>0.34917393637271843</v>
      </c>
      <c r="F24">
        <f t="shared" si="10"/>
        <v>2.0179706477744244</v>
      </c>
      <c r="G24">
        <f t="shared" si="10"/>
        <v>1.2191034814177861</v>
      </c>
      <c r="H24">
        <f t="shared" si="10"/>
        <v>-0.63153269399037093</v>
      </c>
      <c r="I24">
        <f t="shared" si="10"/>
        <v>0.2970300515199451</v>
      </c>
    </row>
    <row r="25" spans="2:19" x14ac:dyDescent="0.4">
      <c r="B25" t="s">
        <v>27</v>
      </c>
      <c r="C25" t="s">
        <v>28</v>
      </c>
      <c r="D25" t="s">
        <v>29</v>
      </c>
      <c r="E25" t="s">
        <v>32</v>
      </c>
      <c r="F25" t="s">
        <v>31</v>
      </c>
      <c r="G25" t="s">
        <v>34</v>
      </c>
      <c r="H25" t="s">
        <v>30</v>
      </c>
      <c r="I25" t="s">
        <v>35</v>
      </c>
    </row>
    <row r="26" spans="2:19" x14ac:dyDescent="0.4">
      <c r="B26">
        <f>AVERAGE(O3:O10)</f>
        <v>46.20535765634903</v>
      </c>
      <c r="C26">
        <f>C24/2</f>
        <v>-1.3474815759397272</v>
      </c>
      <c r="D26">
        <f t="shared" ref="D26:I26" si="11">D24/2</f>
        <v>-0.62524141674891887</v>
      </c>
      <c r="E26">
        <f t="shared" si="11"/>
        <v>0.17458696818635921</v>
      </c>
      <c r="F26">
        <f t="shared" si="11"/>
        <v>1.0089853238872122</v>
      </c>
      <c r="G26">
        <f t="shared" si="11"/>
        <v>0.60955174070889306</v>
      </c>
      <c r="H26">
        <f t="shared" si="11"/>
        <v>-0.31576634699518547</v>
      </c>
      <c r="I26">
        <f t="shared" si="11"/>
        <v>0.14851502575997255</v>
      </c>
    </row>
    <row r="29" spans="2:19" x14ac:dyDescent="0.4">
      <c r="C29" t="s">
        <v>1</v>
      </c>
      <c r="D29" t="s">
        <v>2</v>
      </c>
      <c r="E29" t="s">
        <v>121</v>
      </c>
    </row>
    <row r="30" spans="2:19" x14ac:dyDescent="0.4">
      <c r="C30">
        <v>-1</v>
      </c>
      <c r="D30">
        <v>-1</v>
      </c>
      <c r="E30">
        <f>B26+D26*D30+F26*C30*D30</f>
        <v>47.83958439698516</v>
      </c>
    </row>
  </sheetData>
  <mergeCells count="3">
    <mergeCell ref="F1:H1"/>
    <mergeCell ref="I1:K1"/>
    <mergeCell ref="L1:N1"/>
  </mergeCells>
  <phoneticPr fontId="1" type="noConversion"/>
  <conditionalFormatting sqref="N13:O19">
    <cfRule type="cellIs" dxfId="1" priority="1" operator="greaterThan">
      <formula>$Q$13</formula>
    </cfRule>
    <cfRule type="cellIs" dxfId="0" priority="2" operator="lessThan">
      <formula>$P$13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AI73"/>
  <sheetViews>
    <sheetView topLeftCell="M1" workbookViewId="0">
      <selection activeCell="AI10" sqref="AI10"/>
    </sheetView>
  </sheetViews>
  <sheetFormatPr defaultRowHeight="17" x14ac:dyDescent="0.4"/>
  <cols>
    <col min="3" max="3" width="16.26953125" bestFit="1" customWidth="1"/>
    <col min="6" max="7" width="8.7265625" customWidth="1"/>
    <col min="11" max="11" width="4.08984375" bestFit="1" customWidth="1"/>
    <col min="12" max="12" width="16.08984375" bestFit="1" customWidth="1"/>
    <col min="13" max="13" width="16" bestFit="1" customWidth="1"/>
    <col min="14" max="14" width="13.90625" bestFit="1" customWidth="1"/>
    <col min="15" max="15" width="11" bestFit="1" customWidth="1"/>
    <col min="16" max="16" width="5.6328125" bestFit="1" customWidth="1"/>
    <col min="17" max="17" width="12.453125" bestFit="1" customWidth="1"/>
    <col min="18" max="18" width="5.6328125" bestFit="1" customWidth="1"/>
    <col min="19" max="19" width="11" bestFit="1" customWidth="1"/>
    <col min="20" max="20" width="5.6328125" bestFit="1" customWidth="1"/>
    <col min="21" max="21" width="11" bestFit="1" customWidth="1"/>
    <col min="22" max="22" width="5.6328125" bestFit="1" customWidth="1"/>
    <col min="23" max="23" width="11" bestFit="1" customWidth="1"/>
    <col min="24" max="24" width="5.6328125" bestFit="1" customWidth="1"/>
    <col min="25" max="25" width="11" bestFit="1" customWidth="1"/>
    <col min="26" max="26" width="5.6328125" bestFit="1" customWidth="1"/>
    <col min="27" max="27" width="11" bestFit="1" customWidth="1"/>
    <col min="28" max="28" width="5.6328125" bestFit="1" customWidth="1"/>
    <col min="29" max="29" width="11" bestFit="1" customWidth="1"/>
    <col min="30" max="30" width="5.6328125" bestFit="1" customWidth="1"/>
    <col min="31" max="31" width="11" bestFit="1" customWidth="1"/>
    <col min="32" max="32" width="6.1796875" bestFit="1" customWidth="1"/>
    <col min="33" max="33" width="12.453125" bestFit="1" customWidth="1"/>
  </cols>
  <sheetData>
    <row r="1" spans="1:35" x14ac:dyDescent="0.4">
      <c r="C1" s="2" t="s">
        <v>10</v>
      </c>
      <c r="D1" s="5">
        <v>-1</v>
      </c>
      <c r="E1" s="1">
        <v>1</v>
      </c>
      <c r="O1" s="63" t="s">
        <v>4</v>
      </c>
      <c r="P1" s="63"/>
      <c r="Q1" s="63"/>
      <c r="R1" s="63"/>
      <c r="S1" s="63"/>
      <c r="T1" s="43"/>
      <c r="U1" s="63" t="s">
        <v>160</v>
      </c>
      <c r="V1" s="63"/>
      <c r="W1" s="63"/>
      <c r="X1" s="63"/>
      <c r="Y1" s="63"/>
      <c r="Z1" s="43"/>
      <c r="AA1" s="63" t="s">
        <v>161</v>
      </c>
      <c r="AB1" s="63"/>
      <c r="AC1" s="63"/>
      <c r="AD1" s="63"/>
      <c r="AE1" s="63"/>
      <c r="AF1" s="43"/>
      <c r="AH1" t="s">
        <v>0</v>
      </c>
      <c r="AI1" t="s">
        <v>115</v>
      </c>
    </row>
    <row r="2" spans="1:35" x14ac:dyDescent="0.4">
      <c r="C2" s="3" t="s">
        <v>8</v>
      </c>
      <c r="D2" s="7">
        <f>297/2</f>
        <v>148.5</v>
      </c>
      <c r="E2" s="9">
        <v>210</v>
      </c>
      <c r="K2" s="6" t="s">
        <v>0</v>
      </c>
      <c r="L2" s="6" t="s">
        <v>8</v>
      </c>
      <c r="M2" s="6" t="s">
        <v>7</v>
      </c>
      <c r="N2" s="6" t="s">
        <v>9</v>
      </c>
      <c r="O2" s="7" t="s">
        <v>162</v>
      </c>
      <c r="P2" s="33" t="s">
        <v>115</v>
      </c>
      <c r="Q2" s="7" t="s">
        <v>163</v>
      </c>
      <c r="R2" s="33" t="s">
        <v>115</v>
      </c>
      <c r="S2" s="7" t="s">
        <v>164</v>
      </c>
      <c r="T2" s="33" t="s">
        <v>115</v>
      </c>
      <c r="U2" s="7" t="s">
        <v>162</v>
      </c>
      <c r="V2" s="33" t="s">
        <v>115</v>
      </c>
      <c r="W2" s="7" t="s">
        <v>165</v>
      </c>
      <c r="X2" s="33" t="s">
        <v>115</v>
      </c>
      <c r="Y2" s="7" t="s">
        <v>166</v>
      </c>
      <c r="Z2" s="33" t="s">
        <v>115</v>
      </c>
      <c r="AA2" s="7" t="s">
        <v>162</v>
      </c>
      <c r="AB2" s="33" t="s">
        <v>115</v>
      </c>
      <c r="AC2" s="7" t="s">
        <v>163</v>
      </c>
      <c r="AD2" s="33" t="s">
        <v>115</v>
      </c>
      <c r="AE2" s="7" t="s">
        <v>164</v>
      </c>
      <c r="AF2" s="33" t="s">
        <v>167</v>
      </c>
      <c r="AH2">
        <v>1</v>
      </c>
      <c r="AI2">
        <f>L25</f>
        <v>17</v>
      </c>
    </row>
    <row r="3" spans="1:35" x14ac:dyDescent="0.4">
      <c r="C3" s="3" t="s">
        <v>7</v>
      </c>
      <c r="D3" s="6">
        <f>2/5</f>
        <v>0.4</v>
      </c>
      <c r="E3" s="10">
        <v>0.5</v>
      </c>
      <c r="F3">
        <f>$D$2*D3</f>
        <v>59.400000000000006</v>
      </c>
      <c r="G3">
        <f>$D$2*E3</f>
        <v>74.25</v>
      </c>
      <c r="H3">
        <f>$E$2*D3</f>
        <v>84</v>
      </c>
      <c r="I3">
        <f>$E$2*E3</f>
        <v>105</v>
      </c>
      <c r="K3" s="6">
        <v>1</v>
      </c>
      <c r="L3" s="6">
        <f>297/2</f>
        <v>148.5</v>
      </c>
      <c r="M3" s="6">
        <f>2/5</f>
        <v>0.4</v>
      </c>
      <c r="N3" s="6">
        <v>8</v>
      </c>
      <c r="O3" s="13">
        <v>255</v>
      </c>
      <c r="P3" s="33">
        <v>17</v>
      </c>
      <c r="Q3" s="38">
        <v>205</v>
      </c>
      <c r="R3">
        <v>22</v>
      </c>
      <c r="S3" s="13">
        <v>235</v>
      </c>
      <c r="T3">
        <v>16</v>
      </c>
      <c r="U3" s="7">
        <v>275</v>
      </c>
      <c r="V3" s="33">
        <v>19</v>
      </c>
      <c r="W3" s="7">
        <v>240</v>
      </c>
      <c r="X3" s="33">
        <v>24</v>
      </c>
      <c r="Y3" s="7">
        <v>290</v>
      </c>
      <c r="Z3" s="33">
        <v>16</v>
      </c>
      <c r="AA3" s="7">
        <v>210</v>
      </c>
      <c r="AB3" s="33">
        <v>13</v>
      </c>
      <c r="AC3" s="7">
        <v>280</v>
      </c>
      <c r="AD3" s="33">
        <v>12</v>
      </c>
      <c r="AE3" s="7">
        <v>270</v>
      </c>
      <c r="AF3" s="33">
        <v>20</v>
      </c>
      <c r="AH3">
        <v>2</v>
      </c>
      <c r="AI3">
        <f t="shared" ref="AI3:AI9" si="0">L26</f>
        <v>4</v>
      </c>
    </row>
    <row r="4" spans="1:35" ht="17.5" thickBot="1" x14ac:dyDescent="0.45">
      <c r="C4" s="4" t="s">
        <v>9</v>
      </c>
      <c r="D4" s="8">
        <v>0.8</v>
      </c>
      <c r="E4" s="11">
        <v>1</v>
      </c>
      <c r="K4" s="6">
        <v>2</v>
      </c>
      <c r="L4" s="6">
        <v>210</v>
      </c>
      <c r="M4" s="6">
        <f>2/5</f>
        <v>0.4</v>
      </c>
      <c r="N4" s="6">
        <v>8</v>
      </c>
      <c r="O4" s="13">
        <v>130</v>
      </c>
      <c r="P4" s="34">
        <v>4</v>
      </c>
      <c r="Q4" s="38">
        <v>125</v>
      </c>
      <c r="R4" s="12">
        <v>5</v>
      </c>
      <c r="S4" s="13">
        <v>100</v>
      </c>
      <c r="T4" s="12">
        <v>10</v>
      </c>
      <c r="U4" s="13">
        <v>130</v>
      </c>
      <c r="V4" s="34">
        <v>2</v>
      </c>
      <c r="W4" s="13">
        <v>110</v>
      </c>
      <c r="X4" s="34">
        <v>8</v>
      </c>
      <c r="Y4" s="13">
        <v>125</v>
      </c>
      <c r="Z4" s="34">
        <v>4</v>
      </c>
      <c r="AA4" s="13">
        <v>165</v>
      </c>
      <c r="AB4" s="34">
        <v>19</v>
      </c>
      <c r="AC4" s="13">
        <v>100</v>
      </c>
      <c r="AD4" s="34">
        <v>22</v>
      </c>
      <c r="AE4" s="13">
        <v>170</v>
      </c>
      <c r="AF4" s="34">
        <v>7</v>
      </c>
      <c r="AH4">
        <v>3</v>
      </c>
      <c r="AI4">
        <f t="shared" si="0"/>
        <v>12</v>
      </c>
    </row>
    <row r="5" spans="1:35" x14ac:dyDescent="0.4">
      <c r="K5" s="6">
        <v>3</v>
      </c>
      <c r="L5" s="6">
        <f>297/2</f>
        <v>148.5</v>
      </c>
      <c r="M5" s="6">
        <v>0.5</v>
      </c>
      <c r="N5" s="6">
        <v>8</v>
      </c>
      <c r="O5" s="13">
        <v>95</v>
      </c>
      <c r="P5" s="34">
        <v>12</v>
      </c>
      <c r="Q5" s="12">
        <v>150</v>
      </c>
      <c r="R5" s="12">
        <v>21</v>
      </c>
      <c r="S5" s="13">
        <v>110</v>
      </c>
      <c r="T5" s="12">
        <v>11</v>
      </c>
      <c r="U5" s="13">
        <v>85</v>
      </c>
      <c r="V5" s="34">
        <v>15</v>
      </c>
      <c r="W5" s="13">
        <v>130</v>
      </c>
      <c r="X5" s="34">
        <v>5</v>
      </c>
      <c r="Y5" s="13">
        <v>160</v>
      </c>
      <c r="Z5" s="34">
        <v>11</v>
      </c>
      <c r="AA5" s="13">
        <v>75</v>
      </c>
      <c r="AB5" s="34">
        <v>2</v>
      </c>
      <c r="AC5" s="13">
        <v>175</v>
      </c>
      <c r="AD5" s="34">
        <v>3</v>
      </c>
      <c r="AE5" s="13">
        <v>130</v>
      </c>
      <c r="AF5" s="34">
        <v>9</v>
      </c>
      <c r="AH5">
        <v>4</v>
      </c>
      <c r="AI5">
        <f t="shared" si="0"/>
        <v>9</v>
      </c>
    </row>
    <row r="6" spans="1:35" ht="17.5" thickBot="1" x14ac:dyDescent="0.45">
      <c r="F6" t="s">
        <v>4</v>
      </c>
      <c r="G6" t="s">
        <v>5</v>
      </c>
      <c r="H6" t="s">
        <v>6</v>
      </c>
      <c r="K6" s="6">
        <v>4</v>
      </c>
      <c r="L6" s="6">
        <v>210</v>
      </c>
      <c r="M6" s="6">
        <v>0.5</v>
      </c>
      <c r="N6" s="6">
        <v>8</v>
      </c>
      <c r="O6" s="13">
        <v>165</v>
      </c>
      <c r="P6" s="34">
        <v>9</v>
      </c>
      <c r="Q6" s="12">
        <v>130</v>
      </c>
      <c r="R6" s="12">
        <v>8</v>
      </c>
      <c r="S6" s="13">
        <v>90</v>
      </c>
      <c r="T6" s="12">
        <v>24</v>
      </c>
      <c r="U6" s="13">
        <v>145</v>
      </c>
      <c r="V6" s="34">
        <v>14</v>
      </c>
      <c r="W6" s="13">
        <v>130</v>
      </c>
      <c r="X6" s="34">
        <v>1</v>
      </c>
      <c r="Y6" s="13">
        <v>110</v>
      </c>
      <c r="Z6" s="34">
        <v>12</v>
      </c>
      <c r="AA6" s="13">
        <v>170</v>
      </c>
      <c r="AB6" s="34">
        <v>16</v>
      </c>
      <c r="AC6" s="13">
        <v>145</v>
      </c>
      <c r="AD6" s="34">
        <v>17</v>
      </c>
      <c r="AE6" s="13">
        <v>100</v>
      </c>
      <c r="AF6" s="34">
        <v>1</v>
      </c>
      <c r="AH6">
        <v>5</v>
      </c>
      <c r="AI6">
        <f t="shared" si="0"/>
        <v>23</v>
      </c>
    </row>
    <row r="7" spans="1:35" x14ac:dyDescent="0.4">
      <c r="A7" s="2" t="s">
        <v>125</v>
      </c>
      <c r="B7" s="26" t="s">
        <v>122</v>
      </c>
      <c r="C7" s="26" t="s">
        <v>123</v>
      </c>
      <c r="D7" s="1" t="s">
        <v>124</v>
      </c>
      <c r="E7" s="31">
        <v>1</v>
      </c>
      <c r="F7" s="32" t="s">
        <v>71</v>
      </c>
      <c r="G7" t="s">
        <v>77</v>
      </c>
      <c r="H7" t="s">
        <v>93</v>
      </c>
      <c r="K7" s="6">
        <v>5</v>
      </c>
      <c r="L7" s="6">
        <f>297/2</f>
        <v>148.5</v>
      </c>
      <c r="M7" s="6">
        <f>2/5</f>
        <v>0.4</v>
      </c>
      <c r="N7" s="6">
        <v>10</v>
      </c>
      <c r="O7" s="13">
        <v>245</v>
      </c>
      <c r="P7" s="34">
        <v>23</v>
      </c>
      <c r="Q7" s="12">
        <v>295</v>
      </c>
      <c r="R7" s="12">
        <v>19</v>
      </c>
      <c r="S7" s="13">
        <v>290</v>
      </c>
      <c r="T7" s="12">
        <v>18</v>
      </c>
      <c r="U7" s="13">
        <v>225</v>
      </c>
      <c r="V7" s="34">
        <v>6</v>
      </c>
      <c r="W7" s="13">
        <v>280</v>
      </c>
      <c r="X7" s="34">
        <v>20</v>
      </c>
      <c r="Y7" s="13">
        <v>250</v>
      </c>
      <c r="Z7" s="34">
        <v>9</v>
      </c>
      <c r="AA7" s="13">
        <v>335</v>
      </c>
      <c r="AB7" s="34">
        <v>15</v>
      </c>
      <c r="AC7" s="13">
        <v>220</v>
      </c>
      <c r="AD7" s="34">
        <v>24</v>
      </c>
      <c r="AE7" s="13">
        <v>280</v>
      </c>
      <c r="AF7" s="34">
        <v>4</v>
      </c>
      <c r="AH7">
        <v>6</v>
      </c>
      <c r="AI7">
        <f t="shared" si="0"/>
        <v>1</v>
      </c>
    </row>
    <row r="8" spans="1:35" x14ac:dyDescent="0.4">
      <c r="A8" s="3">
        <v>1</v>
      </c>
      <c r="B8" s="6">
        <v>-1</v>
      </c>
      <c r="C8" s="6">
        <v>-1</v>
      </c>
      <c r="D8" s="18">
        <v>-1</v>
      </c>
      <c r="E8" s="31">
        <v>2</v>
      </c>
      <c r="F8" t="s">
        <v>73</v>
      </c>
      <c r="G8" t="s">
        <v>72</v>
      </c>
      <c r="H8" t="s">
        <v>81</v>
      </c>
      <c r="K8" s="6">
        <v>6</v>
      </c>
      <c r="L8" s="6">
        <v>210</v>
      </c>
      <c r="M8" s="6">
        <f>2/5</f>
        <v>0.4</v>
      </c>
      <c r="N8" s="6">
        <v>10</v>
      </c>
      <c r="O8" s="13">
        <v>125</v>
      </c>
      <c r="P8" s="34">
        <v>1</v>
      </c>
      <c r="Q8" s="12">
        <v>170</v>
      </c>
      <c r="R8" s="12">
        <v>20</v>
      </c>
      <c r="S8" s="13">
        <v>130</v>
      </c>
      <c r="T8" s="12">
        <v>13</v>
      </c>
      <c r="U8" s="13">
        <v>140</v>
      </c>
      <c r="V8" s="34">
        <v>7</v>
      </c>
      <c r="W8" s="13">
        <v>140</v>
      </c>
      <c r="X8" s="34">
        <v>13</v>
      </c>
      <c r="Y8" s="13">
        <v>110</v>
      </c>
      <c r="Z8" s="34">
        <v>22</v>
      </c>
      <c r="AA8" s="13">
        <v>120</v>
      </c>
      <c r="AB8" s="34">
        <v>14</v>
      </c>
      <c r="AC8" s="13">
        <v>135</v>
      </c>
      <c r="AD8" s="34">
        <v>23</v>
      </c>
      <c r="AE8" s="13">
        <v>220</v>
      </c>
      <c r="AF8" s="34">
        <v>18</v>
      </c>
      <c r="AH8">
        <v>7</v>
      </c>
      <c r="AI8">
        <f t="shared" si="0"/>
        <v>3</v>
      </c>
    </row>
    <row r="9" spans="1:35" x14ac:dyDescent="0.4">
      <c r="A9" s="3">
        <v>2</v>
      </c>
      <c r="B9" s="6">
        <v>1</v>
      </c>
      <c r="C9" s="6">
        <v>-1</v>
      </c>
      <c r="D9" s="18">
        <v>-1</v>
      </c>
      <c r="E9" s="31">
        <v>3</v>
      </c>
      <c r="F9" t="s">
        <v>94</v>
      </c>
      <c r="G9" t="s">
        <v>84</v>
      </c>
      <c r="H9" t="s">
        <v>90</v>
      </c>
      <c r="K9" s="6">
        <v>7</v>
      </c>
      <c r="L9" s="6">
        <f>297/2</f>
        <v>148.5</v>
      </c>
      <c r="M9" s="6">
        <v>0.5</v>
      </c>
      <c r="N9" s="6">
        <v>10</v>
      </c>
      <c r="O9" s="13">
        <v>225</v>
      </c>
      <c r="P9" s="34">
        <v>3</v>
      </c>
      <c r="Q9" s="12">
        <v>135</v>
      </c>
      <c r="R9" s="12">
        <v>7</v>
      </c>
      <c r="S9" s="13">
        <v>150</v>
      </c>
      <c r="T9" s="12">
        <v>15</v>
      </c>
      <c r="U9" s="13">
        <v>215</v>
      </c>
      <c r="V9" s="34">
        <v>21</v>
      </c>
      <c r="W9" s="13">
        <v>155</v>
      </c>
      <c r="X9" s="34">
        <v>17</v>
      </c>
      <c r="Y9" s="13">
        <v>185</v>
      </c>
      <c r="Z9" s="34">
        <v>3</v>
      </c>
      <c r="AA9" s="13">
        <v>170</v>
      </c>
      <c r="AB9" s="34">
        <v>11</v>
      </c>
      <c r="AC9" s="13">
        <v>210</v>
      </c>
      <c r="AD9" s="34">
        <v>5</v>
      </c>
      <c r="AE9" s="13">
        <v>210</v>
      </c>
      <c r="AF9" s="34">
        <v>8</v>
      </c>
      <c r="AH9">
        <v>8</v>
      </c>
      <c r="AI9">
        <f t="shared" si="0"/>
        <v>14</v>
      </c>
    </row>
    <row r="10" spans="1:35" x14ac:dyDescent="0.4">
      <c r="A10" s="3">
        <v>3</v>
      </c>
      <c r="B10" s="6">
        <v>-1</v>
      </c>
      <c r="C10" s="6">
        <v>1</v>
      </c>
      <c r="D10" s="18">
        <v>-1</v>
      </c>
      <c r="E10" s="31">
        <v>4</v>
      </c>
      <c r="F10" s="32" t="s">
        <v>72</v>
      </c>
      <c r="G10" t="s">
        <v>79</v>
      </c>
      <c r="H10" t="s">
        <v>87</v>
      </c>
      <c r="K10" s="6">
        <v>8</v>
      </c>
      <c r="L10" s="6">
        <v>210</v>
      </c>
      <c r="M10" s="6">
        <v>0.5</v>
      </c>
      <c r="N10" s="6">
        <v>10</v>
      </c>
      <c r="O10" s="13">
        <v>150</v>
      </c>
      <c r="P10" s="34">
        <v>14</v>
      </c>
      <c r="Q10" s="12">
        <v>110</v>
      </c>
      <c r="R10" s="12">
        <v>2</v>
      </c>
      <c r="S10" s="13">
        <v>115</v>
      </c>
      <c r="T10" s="12">
        <v>6</v>
      </c>
      <c r="U10" s="13">
        <v>110</v>
      </c>
      <c r="V10" s="34">
        <v>10</v>
      </c>
      <c r="W10" s="13">
        <v>175</v>
      </c>
      <c r="X10" s="34">
        <v>18</v>
      </c>
      <c r="Y10" s="13">
        <v>180</v>
      </c>
      <c r="Z10" s="34">
        <v>23</v>
      </c>
      <c r="AA10" s="13">
        <v>160</v>
      </c>
      <c r="AB10" s="34">
        <v>6</v>
      </c>
      <c r="AC10" s="13">
        <v>150</v>
      </c>
      <c r="AD10" s="34">
        <v>10</v>
      </c>
      <c r="AE10" s="13">
        <v>180</v>
      </c>
      <c r="AF10" s="34">
        <v>21</v>
      </c>
      <c r="AH10">
        <v>9</v>
      </c>
      <c r="AI10">
        <f>M25+24</f>
        <v>43</v>
      </c>
    </row>
    <row r="11" spans="1:35" x14ac:dyDescent="0.4">
      <c r="A11" s="3">
        <v>4</v>
      </c>
      <c r="B11" s="6">
        <v>1</v>
      </c>
      <c r="C11" s="6">
        <v>1</v>
      </c>
      <c r="D11" s="18">
        <v>-1</v>
      </c>
      <c r="E11" s="31">
        <v>5</v>
      </c>
      <c r="F11" t="s">
        <v>74</v>
      </c>
      <c r="G11" t="s">
        <v>90</v>
      </c>
      <c r="H11" t="s">
        <v>76</v>
      </c>
      <c r="AH11">
        <v>10</v>
      </c>
      <c r="AI11">
        <f t="shared" ref="AI11:AI17" si="1">M26+24</f>
        <v>26</v>
      </c>
    </row>
    <row r="12" spans="1:35" x14ac:dyDescent="0.4">
      <c r="A12" s="3">
        <v>5</v>
      </c>
      <c r="B12" s="6">
        <v>-1</v>
      </c>
      <c r="C12" s="6">
        <v>-1</v>
      </c>
      <c r="D12" s="18">
        <v>1</v>
      </c>
      <c r="E12" s="31">
        <v>6</v>
      </c>
      <c r="F12" t="s">
        <v>75</v>
      </c>
      <c r="G12" t="s">
        <v>92</v>
      </c>
      <c r="H12" t="s">
        <v>83</v>
      </c>
      <c r="O12" s="63" t="s">
        <v>68</v>
      </c>
      <c r="P12" s="63"/>
      <c r="Q12" s="63"/>
      <c r="R12" s="63"/>
      <c r="S12" s="63"/>
      <c r="T12" s="43"/>
      <c r="U12" s="63" t="s">
        <v>69</v>
      </c>
      <c r="V12" s="63"/>
      <c r="W12" s="63"/>
      <c r="X12" s="63"/>
      <c r="Y12" s="63"/>
      <c r="Z12" s="43"/>
      <c r="AA12" s="63" t="s">
        <v>70</v>
      </c>
      <c r="AB12" s="63"/>
      <c r="AC12" s="63"/>
      <c r="AD12" s="63"/>
      <c r="AE12" s="63"/>
      <c r="AF12" s="43"/>
      <c r="AH12">
        <v>11</v>
      </c>
      <c r="AI12">
        <f t="shared" si="1"/>
        <v>39</v>
      </c>
    </row>
    <row r="13" spans="1:35" x14ac:dyDescent="0.4">
      <c r="A13" s="3">
        <v>6</v>
      </c>
      <c r="B13" s="6">
        <v>1</v>
      </c>
      <c r="C13" s="6">
        <v>-1</v>
      </c>
      <c r="D13" s="18">
        <v>1</v>
      </c>
      <c r="E13" s="31">
        <v>7</v>
      </c>
      <c r="F13" t="s">
        <v>76</v>
      </c>
      <c r="G13" t="s">
        <v>71</v>
      </c>
      <c r="H13" t="s">
        <v>79</v>
      </c>
      <c r="K13" s="6" t="s">
        <v>0</v>
      </c>
      <c r="L13" s="6" t="s">
        <v>8</v>
      </c>
      <c r="M13" s="6" t="s">
        <v>7</v>
      </c>
      <c r="N13" s="6" t="s">
        <v>9</v>
      </c>
      <c r="O13" t="s">
        <v>4</v>
      </c>
      <c r="Q13" t="s">
        <v>5</v>
      </c>
      <c r="S13" t="s">
        <v>6</v>
      </c>
      <c r="U13" t="s">
        <v>4</v>
      </c>
      <c r="W13" t="s">
        <v>5</v>
      </c>
      <c r="Y13" t="s">
        <v>6</v>
      </c>
      <c r="AA13" t="s">
        <v>4</v>
      </c>
      <c r="AC13" t="s">
        <v>5</v>
      </c>
      <c r="AE13" t="s">
        <v>6</v>
      </c>
      <c r="AG13" t="s">
        <v>95</v>
      </c>
      <c r="AH13">
        <v>12</v>
      </c>
      <c r="AI13">
        <f t="shared" si="1"/>
        <v>38</v>
      </c>
    </row>
    <row r="14" spans="1:35" x14ac:dyDescent="0.4">
      <c r="A14" s="3">
        <v>7</v>
      </c>
      <c r="B14" s="6">
        <v>-1</v>
      </c>
      <c r="C14" s="6">
        <v>1</v>
      </c>
      <c r="D14" s="18">
        <v>1</v>
      </c>
      <c r="E14" s="31">
        <v>8</v>
      </c>
      <c r="F14" t="s">
        <v>77</v>
      </c>
      <c r="G14" t="s">
        <v>74</v>
      </c>
      <c r="H14" t="s">
        <v>84</v>
      </c>
      <c r="K14" s="6">
        <v>1</v>
      </c>
      <c r="L14" s="6">
        <f>297/2</f>
        <v>148.5</v>
      </c>
      <c r="M14" s="6">
        <f>2/5</f>
        <v>0.4</v>
      </c>
      <c r="N14" s="6">
        <v>8</v>
      </c>
      <c r="O14" s="38">
        <v>255</v>
      </c>
      <c r="P14" s="38"/>
      <c r="Q14" s="38">
        <v>275</v>
      </c>
      <c r="R14" s="38"/>
      <c r="S14" s="38">
        <v>210</v>
      </c>
      <c r="T14" s="38"/>
      <c r="U14" s="38">
        <v>205</v>
      </c>
      <c r="V14" s="38"/>
      <c r="W14" s="38">
        <v>240</v>
      </c>
      <c r="X14" s="38"/>
      <c r="Y14" s="38">
        <v>280</v>
      </c>
      <c r="Z14" s="38"/>
      <c r="AA14" s="38">
        <v>235</v>
      </c>
      <c r="AB14" s="38"/>
      <c r="AC14" s="38">
        <v>290</v>
      </c>
      <c r="AD14" s="38"/>
      <c r="AE14" s="38">
        <v>270</v>
      </c>
      <c r="AF14" s="38"/>
      <c r="AG14">
        <f>AVERAGE(O14:AE14)</f>
        <v>251.11111111111111</v>
      </c>
      <c r="AH14">
        <v>13</v>
      </c>
      <c r="AI14">
        <f t="shared" si="1"/>
        <v>30</v>
      </c>
    </row>
    <row r="15" spans="1:35" ht="17.5" thickBot="1" x14ac:dyDescent="0.45">
      <c r="A15" s="4">
        <v>8</v>
      </c>
      <c r="B15" s="20">
        <v>1</v>
      </c>
      <c r="C15" s="20">
        <v>1</v>
      </c>
      <c r="D15" s="21">
        <v>1</v>
      </c>
      <c r="E15" s="31">
        <v>9</v>
      </c>
      <c r="F15" t="s">
        <v>78</v>
      </c>
      <c r="G15" t="s">
        <v>87</v>
      </c>
      <c r="H15" t="s">
        <v>80</v>
      </c>
      <c r="K15" s="6">
        <v>2</v>
      </c>
      <c r="L15" s="6">
        <v>210</v>
      </c>
      <c r="M15" s="6">
        <f>2/5</f>
        <v>0.4</v>
      </c>
      <c r="N15" s="6">
        <v>8</v>
      </c>
      <c r="O15" s="38">
        <v>130</v>
      </c>
      <c r="P15" s="38"/>
      <c r="Q15" s="38">
        <v>130</v>
      </c>
      <c r="R15" s="38"/>
      <c r="S15" s="38">
        <v>165</v>
      </c>
      <c r="T15" s="38"/>
      <c r="U15" s="38">
        <v>125</v>
      </c>
      <c r="V15" s="38"/>
      <c r="W15" s="38">
        <v>110</v>
      </c>
      <c r="X15" s="38"/>
      <c r="Y15" s="38">
        <v>100</v>
      </c>
      <c r="Z15" s="38"/>
      <c r="AA15" s="12">
        <v>100</v>
      </c>
      <c r="AB15" s="12"/>
      <c r="AC15" s="12">
        <v>125</v>
      </c>
      <c r="AD15" s="12"/>
      <c r="AE15" s="12">
        <v>170</v>
      </c>
      <c r="AF15" s="12"/>
      <c r="AG15">
        <f>AVERAGE(O15:AE15)</f>
        <v>128.33333333333334</v>
      </c>
      <c r="AH15">
        <v>14</v>
      </c>
      <c r="AI15">
        <f t="shared" si="1"/>
        <v>31</v>
      </c>
    </row>
    <row r="16" spans="1:35" x14ac:dyDescent="0.4">
      <c r="E16" s="31">
        <v>10</v>
      </c>
      <c r="F16" t="s">
        <v>79</v>
      </c>
      <c r="G16" t="s">
        <v>83</v>
      </c>
      <c r="H16" t="s">
        <v>73</v>
      </c>
      <c r="K16" s="6">
        <v>3</v>
      </c>
      <c r="L16" s="6">
        <f>297/2</f>
        <v>148.5</v>
      </c>
      <c r="M16" s="6">
        <v>0.5</v>
      </c>
      <c r="N16" s="6">
        <v>8</v>
      </c>
      <c r="O16" s="12">
        <v>95</v>
      </c>
      <c r="P16" s="12"/>
      <c r="Q16" s="12">
        <v>85</v>
      </c>
      <c r="R16" s="12"/>
      <c r="S16" s="12">
        <v>75</v>
      </c>
      <c r="T16" s="12"/>
      <c r="U16" s="12">
        <v>150</v>
      </c>
      <c r="V16" s="12"/>
      <c r="W16" s="12">
        <v>130</v>
      </c>
      <c r="X16" s="12"/>
      <c r="Y16" s="12">
        <v>175</v>
      </c>
      <c r="Z16" s="12"/>
      <c r="AA16" s="12">
        <v>110</v>
      </c>
      <c r="AB16" s="12"/>
      <c r="AC16" s="12">
        <v>160</v>
      </c>
      <c r="AD16" s="12"/>
      <c r="AE16" s="12">
        <v>130</v>
      </c>
      <c r="AF16" s="12"/>
      <c r="AG16">
        <f t="shared" ref="AG16:AG21" si="2">AVERAGE(O16:AE16)</f>
        <v>123.33333333333333</v>
      </c>
      <c r="AH16">
        <v>15</v>
      </c>
      <c r="AI16">
        <f t="shared" si="1"/>
        <v>45</v>
      </c>
    </row>
    <row r="17" spans="5:35" x14ac:dyDescent="0.4">
      <c r="E17" s="31">
        <v>11</v>
      </c>
      <c r="F17" t="s">
        <v>80</v>
      </c>
      <c r="G17" t="s">
        <v>80</v>
      </c>
      <c r="H17" t="s">
        <v>94</v>
      </c>
      <c r="K17" s="6">
        <v>4</v>
      </c>
      <c r="L17" s="6">
        <v>210</v>
      </c>
      <c r="M17" s="6">
        <v>0.5</v>
      </c>
      <c r="N17" s="6">
        <v>8</v>
      </c>
      <c r="O17" s="38">
        <v>165</v>
      </c>
      <c r="P17" s="38"/>
      <c r="Q17" s="38">
        <v>145</v>
      </c>
      <c r="R17" s="38"/>
      <c r="S17" s="38">
        <v>170</v>
      </c>
      <c r="T17" s="38"/>
      <c r="U17" s="12">
        <v>130</v>
      </c>
      <c r="V17" s="12"/>
      <c r="W17" s="12">
        <v>130</v>
      </c>
      <c r="X17" s="12"/>
      <c r="Y17" s="12">
        <v>145</v>
      </c>
      <c r="Z17" s="12"/>
      <c r="AA17" s="12">
        <v>90</v>
      </c>
      <c r="AB17" s="12"/>
      <c r="AC17" s="12">
        <v>110</v>
      </c>
      <c r="AD17" s="12"/>
      <c r="AE17" s="12">
        <v>100</v>
      </c>
      <c r="AF17" s="12"/>
      <c r="AG17">
        <f>AVERAGE(O17:AE17)</f>
        <v>131.66666666666666</v>
      </c>
      <c r="AH17">
        <v>16</v>
      </c>
      <c r="AI17">
        <f t="shared" si="1"/>
        <v>34</v>
      </c>
    </row>
    <row r="18" spans="5:35" x14ac:dyDescent="0.4">
      <c r="E18" s="31">
        <v>12</v>
      </c>
      <c r="F18" t="s">
        <v>81</v>
      </c>
      <c r="G18" t="s">
        <v>93</v>
      </c>
      <c r="H18" t="s">
        <v>91</v>
      </c>
      <c r="K18" s="6">
        <v>5</v>
      </c>
      <c r="L18" s="6">
        <f>297/2</f>
        <v>148.5</v>
      </c>
      <c r="M18" s="6">
        <f>2/5</f>
        <v>0.4</v>
      </c>
      <c r="N18" s="6">
        <v>10</v>
      </c>
      <c r="O18" s="12">
        <v>245</v>
      </c>
      <c r="P18" s="12"/>
      <c r="Q18" s="12">
        <v>225</v>
      </c>
      <c r="R18" s="12"/>
      <c r="S18" s="12">
        <v>335</v>
      </c>
      <c r="T18" s="12"/>
      <c r="U18" s="12">
        <v>295</v>
      </c>
      <c r="V18" s="12"/>
      <c r="W18" s="12">
        <v>280</v>
      </c>
      <c r="X18" s="12"/>
      <c r="Y18" s="12">
        <v>220</v>
      </c>
      <c r="Z18" s="12"/>
      <c r="AA18" s="12">
        <v>290</v>
      </c>
      <c r="AB18" s="12"/>
      <c r="AC18" s="12">
        <v>250</v>
      </c>
      <c r="AD18" s="12"/>
      <c r="AE18" s="12">
        <v>280</v>
      </c>
      <c r="AF18" s="12"/>
      <c r="AG18">
        <f t="shared" si="2"/>
        <v>268.88888888888891</v>
      </c>
      <c r="AH18">
        <v>17</v>
      </c>
      <c r="AI18">
        <f>N25+24*2</f>
        <v>61</v>
      </c>
    </row>
    <row r="19" spans="5:35" x14ac:dyDescent="0.4">
      <c r="E19" s="31">
        <v>13</v>
      </c>
      <c r="F19" t="s">
        <v>82</v>
      </c>
      <c r="G19" t="s">
        <v>89</v>
      </c>
      <c r="H19" t="s">
        <v>86</v>
      </c>
      <c r="K19" s="6">
        <v>6</v>
      </c>
      <c r="L19" s="6">
        <v>210</v>
      </c>
      <c r="M19" s="6">
        <f>2/5</f>
        <v>0.4</v>
      </c>
      <c r="N19" s="6">
        <v>10</v>
      </c>
      <c r="O19" s="12">
        <v>125</v>
      </c>
      <c r="P19" s="12"/>
      <c r="Q19" s="12">
        <v>140</v>
      </c>
      <c r="R19" s="12"/>
      <c r="S19" s="12">
        <v>120</v>
      </c>
      <c r="T19" s="12"/>
      <c r="U19" s="12">
        <v>170</v>
      </c>
      <c r="V19" s="12"/>
      <c r="W19" s="12">
        <v>140</v>
      </c>
      <c r="X19" s="12"/>
      <c r="Y19" s="12">
        <v>135</v>
      </c>
      <c r="Z19" s="12"/>
      <c r="AA19" s="12">
        <v>130</v>
      </c>
      <c r="AB19" s="12"/>
      <c r="AC19" s="12">
        <v>110</v>
      </c>
      <c r="AD19" s="12"/>
      <c r="AE19" s="12">
        <v>220</v>
      </c>
      <c r="AF19" s="12"/>
      <c r="AG19">
        <f t="shared" si="2"/>
        <v>143.33333333333334</v>
      </c>
      <c r="AH19">
        <v>18</v>
      </c>
      <c r="AI19">
        <f t="shared" ref="AI19:AI25" si="3">N26+24*2</f>
        <v>67</v>
      </c>
    </row>
    <row r="20" spans="5:35" x14ac:dyDescent="0.4">
      <c r="E20" s="31">
        <v>14</v>
      </c>
      <c r="F20" t="s">
        <v>83</v>
      </c>
      <c r="G20" t="s">
        <v>78</v>
      </c>
      <c r="H20" t="s">
        <v>71</v>
      </c>
      <c r="K20" s="6">
        <v>7</v>
      </c>
      <c r="L20" s="6">
        <f>297/2</f>
        <v>148.5</v>
      </c>
      <c r="M20" s="6">
        <v>0.5</v>
      </c>
      <c r="N20" s="6">
        <v>10</v>
      </c>
      <c r="O20" s="12">
        <v>225</v>
      </c>
      <c r="P20" s="12"/>
      <c r="Q20" s="12">
        <v>215</v>
      </c>
      <c r="R20" s="12"/>
      <c r="S20" s="12">
        <v>170</v>
      </c>
      <c r="T20" s="12"/>
      <c r="U20" s="12">
        <v>135</v>
      </c>
      <c r="V20" s="12"/>
      <c r="W20" s="12">
        <v>155</v>
      </c>
      <c r="X20" s="12"/>
      <c r="Y20" s="12">
        <v>210</v>
      </c>
      <c r="Z20" s="12"/>
      <c r="AA20" s="12">
        <v>150</v>
      </c>
      <c r="AB20" s="12"/>
      <c r="AC20" s="12">
        <v>185</v>
      </c>
      <c r="AD20" s="12"/>
      <c r="AE20" s="12">
        <v>210</v>
      </c>
      <c r="AF20" s="12"/>
      <c r="AG20">
        <f t="shared" si="2"/>
        <v>183.88888888888889</v>
      </c>
      <c r="AH20">
        <v>19</v>
      </c>
      <c r="AI20">
        <f t="shared" si="3"/>
        <v>50</v>
      </c>
    </row>
    <row r="21" spans="5:35" x14ac:dyDescent="0.4">
      <c r="E21" s="31">
        <v>15</v>
      </c>
      <c r="F21" t="s">
        <v>84</v>
      </c>
      <c r="G21" t="s">
        <v>81</v>
      </c>
      <c r="H21" t="s">
        <v>92</v>
      </c>
      <c r="K21" s="6">
        <v>8</v>
      </c>
      <c r="L21" s="6">
        <v>210</v>
      </c>
      <c r="M21" s="6">
        <v>0.5</v>
      </c>
      <c r="N21" s="6">
        <v>10</v>
      </c>
      <c r="O21" s="12">
        <v>150</v>
      </c>
      <c r="P21" s="12"/>
      <c r="Q21" s="12">
        <v>110</v>
      </c>
      <c r="R21" s="12"/>
      <c r="S21" s="12">
        <v>160</v>
      </c>
      <c r="T21" s="12"/>
      <c r="U21" s="12">
        <v>110</v>
      </c>
      <c r="V21" s="12"/>
      <c r="W21" s="12">
        <v>175</v>
      </c>
      <c r="X21" s="12"/>
      <c r="Y21" s="12">
        <v>150</v>
      </c>
      <c r="Z21" s="12"/>
      <c r="AA21" s="12">
        <v>115</v>
      </c>
      <c r="AB21" s="12"/>
      <c r="AC21" s="12">
        <v>180</v>
      </c>
      <c r="AD21" s="12"/>
      <c r="AE21" s="12">
        <v>180</v>
      </c>
      <c r="AF21" s="12"/>
      <c r="AG21">
        <f t="shared" si="2"/>
        <v>147.77777777777777</v>
      </c>
      <c r="AH21">
        <v>20</v>
      </c>
      <c r="AI21">
        <f t="shared" si="3"/>
        <v>64</v>
      </c>
    </row>
    <row r="22" spans="5:35" x14ac:dyDescent="0.4">
      <c r="E22" s="31">
        <v>16</v>
      </c>
      <c r="F22" t="s">
        <v>85</v>
      </c>
      <c r="G22" t="s">
        <v>85</v>
      </c>
      <c r="H22" t="s">
        <v>78</v>
      </c>
      <c r="AH22">
        <v>21</v>
      </c>
      <c r="AI22">
        <f t="shared" si="3"/>
        <v>63</v>
      </c>
    </row>
    <row r="23" spans="5:35" x14ac:dyDescent="0.4">
      <c r="E23" s="31">
        <v>17</v>
      </c>
      <c r="F23" t="s">
        <v>86</v>
      </c>
      <c r="G23" t="s">
        <v>76</v>
      </c>
      <c r="H23" t="s">
        <v>77</v>
      </c>
      <c r="L23" s="63" t="s">
        <v>68</v>
      </c>
      <c r="M23" s="63"/>
      <c r="N23" s="63"/>
      <c r="O23" s="63" t="s">
        <v>69</v>
      </c>
      <c r="P23" s="63"/>
      <c r="Q23" s="63"/>
      <c r="R23" s="63"/>
      <c r="S23" s="63"/>
      <c r="T23" s="43"/>
      <c r="U23" s="63" t="s">
        <v>70</v>
      </c>
      <c r="V23" s="63"/>
      <c r="W23" s="63"/>
      <c r="X23" s="63"/>
      <c r="Y23" s="63"/>
      <c r="Z23" s="43"/>
      <c r="AH23">
        <v>22</v>
      </c>
      <c r="AI23">
        <f t="shared" si="3"/>
        <v>62</v>
      </c>
    </row>
    <row r="24" spans="5:35" x14ac:dyDescent="0.4">
      <c r="E24" s="31">
        <v>18</v>
      </c>
      <c r="F24" t="s">
        <v>87</v>
      </c>
      <c r="G24" t="s">
        <v>73</v>
      </c>
      <c r="H24" t="s">
        <v>82</v>
      </c>
      <c r="K24" s="6" t="s">
        <v>0</v>
      </c>
      <c r="L24" t="s">
        <v>4</v>
      </c>
      <c r="M24" t="s">
        <v>5</v>
      </c>
      <c r="N24" t="s">
        <v>6</v>
      </c>
      <c r="O24" t="s">
        <v>4</v>
      </c>
      <c r="Q24" t="s">
        <v>5</v>
      </c>
      <c r="S24" t="s">
        <v>6</v>
      </c>
      <c r="U24" t="s">
        <v>4</v>
      </c>
      <c r="W24" t="s">
        <v>5</v>
      </c>
      <c r="Y24" t="s">
        <v>6</v>
      </c>
      <c r="AH24">
        <v>23</v>
      </c>
      <c r="AI24">
        <f t="shared" si="3"/>
        <v>59</v>
      </c>
    </row>
    <row r="25" spans="5:35" x14ac:dyDescent="0.4">
      <c r="E25" s="31">
        <v>19</v>
      </c>
      <c r="F25" t="s">
        <v>88</v>
      </c>
      <c r="G25" s="32" t="s">
        <v>86</v>
      </c>
      <c r="H25" t="s">
        <v>72</v>
      </c>
      <c r="K25" s="6">
        <v>1</v>
      </c>
      <c r="L25">
        <v>17</v>
      </c>
      <c r="M25">
        <v>19</v>
      </c>
      <c r="N25">
        <v>13</v>
      </c>
      <c r="O25">
        <v>22</v>
      </c>
      <c r="Q25">
        <v>24</v>
      </c>
      <c r="S25">
        <v>12</v>
      </c>
      <c r="U25">
        <v>16</v>
      </c>
      <c r="W25">
        <v>16</v>
      </c>
      <c r="Y25">
        <v>20</v>
      </c>
      <c r="AH25">
        <v>24</v>
      </c>
      <c r="AI25">
        <f t="shared" si="3"/>
        <v>54</v>
      </c>
    </row>
    <row r="26" spans="5:35" x14ac:dyDescent="0.4">
      <c r="E26" s="31">
        <v>20</v>
      </c>
      <c r="F26" t="s">
        <v>89</v>
      </c>
      <c r="G26" t="s">
        <v>88</v>
      </c>
      <c r="H26" t="s">
        <v>85</v>
      </c>
      <c r="K26" s="6">
        <v>2</v>
      </c>
      <c r="L26" s="12">
        <v>4</v>
      </c>
      <c r="M26" s="12">
        <v>2</v>
      </c>
      <c r="N26" s="12">
        <v>19</v>
      </c>
      <c r="O26" s="12">
        <v>5</v>
      </c>
      <c r="P26" s="12"/>
      <c r="Q26" s="12">
        <v>8</v>
      </c>
      <c r="R26" s="12"/>
      <c r="S26" s="12">
        <v>22</v>
      </c>
      <c r="T26" s="12"/>
      <c r="U26" s="12">
        <v>10</v>
      </c>
      <c r="V26" s="12"/>
      <c r="W26" s="12">
        <v>4</v>
      </c>
      <c r="X26" s="12"/>
      <c r="Y26" s="12">
        <v>7</v>
      </c>
      <c r="Z26" s="12"/>
      <c r="AH26">
        <v>25</v>
      </c>
      <c r="AI26">
        <f>O25</f>
        <v>22</v>
      </c>
    </row>
    <row r="27" spans="5:35" x14ac:dyDescent="0.4">
      <c r="E27" s="31">
        <v>21</v>
      </c>
      <c r="F27" t="s">
        <v>90</v>
      </c>
      <c r="G27" t="s">
        <v>94</v>
      </c>
      <c r="H27" t="s">
        <v>75</v>
      </c>
      <c r="K27" s="6">
        <v>3</v>
      </c>
      <c r="L27" s="12">
        <v>12</v>
      </c>
      <c r="M27" s="12">
        <v>15</v>
      </c>
      <c r="N27" s="12">
        <v>2</v>
      </c>
      <c r="O27" s="12">
        <v>21</v>
      </c>
      <c r="P27" s="12"/>
      <c r="Q27" s="12">
        <v>5</v>
      </c>
      <c r="R27" s="12"/>
      <c r="S27" s="12">
        <v>3</v>
      </c>
      <c r="T27" s="12"/>
      <c r="U27" s="12">
        <v>11</v>
      </c>
      <c r="V27" s="12"/>
      <c r="W27" s="12">
        <v>11</v>
      </c>
      <c r="X27" s="12"/>
      <c r="Y27" s="12">
        <v>9</v>
      </c>
      <c r="Z27" s="12"/>
      <c r="AH27">
        <v>26</v>
      </c>
      <c r="AI27">
        <f t="shared" ref="AI27:AI33" si="4">O26</f>
        <v>5</v>
      </c>
    </row>
    <row r="28" spans="5:35" x14ac:dyDescent="0.4">
      <c r="E28" s="31">
        <v>22</v>
      </c>
      <c r="F28" t="s">
        <v>91</v>
      </c>
      <c r="G28" t="s">
        <v>82</v>
      </c>
      <c r="H28" t="s">
        <v>74</v>
      </c>
      <c r="K28" s="6">
        <v>4</v>
      </c>
      <c r="L28" s="12">
        <v>9</v>
      </c>
      <c r="M28" s="12">
        <v>14</v>
      </c>
      <c r="N28" s="12">
        <v>16</v>
      </c>
      <c r="O28" s="12">
        <v>8</v>
      </c>
      <c r="P28" s="12"/>
      <c r="Q28" s="12">
        <v>1</v>
      </c>
      <c r="R28" s="12"/>
      <c r="S28" s="12">
        <v>17</v>
      </c>
      <c r="T28" s="12"/>
      <c r="U28" s="12">
        <v>24</v>
      </c>
      <c r="V28" s="12"/>
      <c r="W28" s="12">
        <v>12</v>
      </c>
      <c r="X28" s="12"/>
      <c r="Y28" s="12">
        <v>1</v>
      </c>
      <c r="Z28" s="12"/>
      <c r="AH28">
        <v>27</v>
      </c>
      <c r="AI28">
        <f t="shared" si="4"/>
        <v>21</v>
      </c>
    </row>
    <row r="29" spans="5:35" x14ac:dyDescent="0.4">
      <c r="E29" s="31">
        <v>23</v>
      </c>
      <c r="F29" t="s">
        <v>92</v>
      </c>
      <c r="G29" t="s">
        <v>75</v>
      </c>
      <c r="H29" t="s">
        <v>89</v>
      </c>
      <c r="K29" s="6">
        <v>5</v>
      </c>
      <c r="L29" s="12">
        <v>23</v>
      </c>
      <c r="M29" s="12">
        <v>6</v>
      </c>
      <c r="N29" s="12">
        <v>15</v>
      </c>
      <c r="O29" s="12">
        <v>19</v>
      </c>
      <c r="P29" s="12"/>
      <c r="Q29" s="12">
        <v>20</v>
      </c>
      <c r="R29" s="12"/>
      <c r="S29" s="12">
        <v>24</v>
      </c>
      <c r="T29" s="12"/>
      <c r="U29" s="12">
        <v>18</v>
      </c>
      <c r="V29" s="12"/>
      <c r="W29" s="12">
        <v>9</v>
      </c>
      <c r="X29" s="12"/>
      <c r="Y29" s="12">
        <v>4</v>
      </c>
      <c r="Z29" s="12"/>
      <c r="AH29">
        <v>28</v>
      </c>
      <c r="AI29">
        <f t="shared" si="4"/>
        <v>8</v>
      </c>
    </row>
    <row r="30" spans="5:35" x14ac:dyDescent="0.4">
      <c r="E30" s="31">
        <v>24</v>
      </c>
      <c r="F30" t="s">
        <v>93</v>
      </c>
      <c r="G30" t="s">
        <v>91</v>
      </c>
      <c r="H30" t="s">
        <v>88</v>
      </c>
      <c r="K30" s="6">
        <v>6</v>
      </c>
      <c r="L30" s="12">
        <v>1</v>
      </c>
      <c r="M30" s="12">
        <v>7</v>
      </c>
      <c r="N30" s="12">
        <v>14</v>
      </c>
      <c r="O30" s="12">
        <v>20</v>
      </c>
      <c r="P30" s="12"/>
      <c r="Q30" s="12">
        <v>13</v>
      </c>
      <c r="R30" s="12"/>
      <c r="S30" s="12">
        <v>23</v>
      </c>
      <c r="T30" s="12"/>
      <c r="U30" s="12">
        <v>13</v>
      </c>
      <c r="V30" s="12"/>
      <c r="W30" s="12">
        <v>22</v>
      </c>
      <c r="X30" s="12"/>
      <c r="Y30" s="12">
        <v>18</v>
      </c>
      <c r="Z30" s="12"/>
      <c r="AH30">
        <v>29</v>
      </c>
      <c r="AI30">
        <f t="shared" si="4"/>
        <v>19</v>
      </c>
    </row>
    <row r="31" spans="5:35" x14ac:dyDescent="0.4">
      <c r="K31" s="6">
        <v>7</v>
      </c>
      <c r="L31" s="12">
        <v>3</v>
      </c>
      <c r="M31" s="12">
        <v>21</v>
      </c>
      <c r="N31" s="12">
        <v>11</v>
      </c>
      <c r="O31" s="12">
        <v>7</v>
      </c>
      <c r="P31" s="12"/>
      <c r="Q31" s="12">
        <v>17</v>
      </c>
      <c r="R31" s="12"/>
      <c r="S31" s="12">
        <v>5</v>
      </c>
      <c r="T31" s="12"/>
      <c r="U31" s="12">
        <v>15</v>
      </c>
      <c r="V31" s="12"/>
      <c r="W31" s="12">
        <v>3</v>
      </c>
      <c r="X31" s="12"/>
      <c r="Y31" s="12">
        <v>8</v>
      </c>
      <c r="Z31" s="12"/>
      <c r="AH31">
        <v>30</v>
      </c>
      <c r="AI31">
        <f t="shared" si="4"/>
        <v>20</v>
      </c>
    </row>
    <row r="32" spans="5:35" x14ac:dyDescent="0.4">
      <c r="K32" s="6">
        <v>8</v>
      </c>
      <c r="L32" s="12">
        <v>14</v>
      </c>
      <c r="M32" s="12">
        <v>10</v>
      </c>
      <c r="N32" s="12">
        <v>6</v>
      </c>
      <c r="O32" s="12">
        <v>2</v>
      </c>
      <c r="P32" s="12"/>
      <c r="Q32" s="12">
        <v>18</v>
      </c>
      <c r="R32" s="12"/>
      <c r="S32" s="12">
        <v>10</v>
      </c>
      <c r="T32" s="12"/>
      <c r="U32" s="12">
        <v>6</v>
      </c>
      <c r="V32" s="12"/>
      <c r="W32" s="12">
        <v>23</v>
      </c>
      <c r="X32" s="12"/>
      <c r="Y32" s="12">
        <v>21</v>
      </c>
      <c r="Z32" s="12"/>
      <c r="AH32">
        <v>31</v>
      </c>
      <c r="AI32">
        <f t="shared" si="4"/>
        <v>7</v>
      </c>
    </row>
    <row r="33" spans="12:35" x14ac:dyDescent="0.4">
      <c r="AH33">
        <v>32</v>
      </c>
      <c r="AI33">
        <f t="shared" si="4"/>
        <v>2</v>
      </c>
    </row>
    <row r="34" spans="12:35" x14ac:dyDescent="0.4">
      <c r="AH34">
        <v>33</v>
      </c>
      <c r="AI34">
        <f>Q25+24</f>
        <v>48</v>
      </c>
    </row>
    <row r="35" spans="12:35" x14ac:dyDescent="0.4">
      <c r="L35">
        <v>230</v>
      </c>
      <c r="M35">
        <v>190</v>
      </c>
      <c r="N35">
        <v>295</v>
      </c>
      <c r="AH35">
        <v>34</v>
      </c>
      <c r="AI35">
        <f t="shared" ref="AI35:AI41" si="5">Q26+24</f>
        <v>32</v>
      </c>
    </row>
    <row r="36" spans="12:35" x14ac:dyDescent="0.4">
      <c r="L36">
        <v>225</v>
      </c>
      <c r="M36">
        <v>220</v>
      </c>
      <c r="N36">
        <v>290</v>
      </c>
      <c r="Q36">
        <f>AVERAGE(L35:N37)</f>
        <v>238.33333333333334</v>
      </c>
      <c r="AH36">
        <v>35</v>
      </c>
      <c r="AI36">
        <f t="shared" si="5"/>
        <v>29</v>
      </c>
    </row>
    <row r="37" spans="12:35" x14ac:dyDescent="0.4">
      <c r="L37">
        <v>170</v>
      </c>
      <c r="M37">
        <v>235</v>
      </c>
      <c r="N37">
        <v>290</v>
      </c>
      <c r="AH37">
        <v>36</v>
      </c>
      <c r="AI37">
        <f t="shared" si="5"/>
        <v>25</v>
      </c>
    </row>
    <row r="38" spans="12:35" x14ac:dyDescent="0.4">
      <c r="AH38">
        <v>37</v>
      </c>
      <c r="AI38">
        <f t="shared" si="5"/>
        <v>44</v>
      </c>
    </row>
    <row r="39" spans="12:35" x14ac:dyDescent="0.4">
      <c r="O39">
        <v>200</v>
      </c>
      <c r="U39">
        <v>290</v>
      </c>
      <c r="AA39">
        <v>225</v>
      </c>
      <c r="AH39">
        <v>38</v>
      </c>
      <c r="AI39">
        <f t="shared" si="5"/>
        <v>37</v>
      </c>
    </row>
    <row r="40" spans="12:35" x14ac:dyDescent="0.4">
      <c r="O40">
        <v>145</v>
      </c>
      <c r="U40">
        <v>200</v>
      </c>
      <c r="AA40">
        <v>170</v>
      </c>
      <c r="AH40">
        <v>39</v>
      </c>
      <c r="AI40">
        <f t="shared" si="5"/>
        <v>41</v>
      </c>
    </row>
    <row r="41" spans="12:35" x14ac:dyDescent="0.4">
      <c r="O41">
        <v>100</v>
      </c>
      <c r="U41">
        <v>145</v>
      </c>
      <c r="AA41">
        <v>150</v>
      </c>
      <c r="AH41">
        <v>40</v>
      </c>
      <c r="AI41">
        <f t="shared" si="5"/>
        <v>42</v>
      </c>
    </row>
    <row r="42" spans="12:35" x14ac:dyDescent="0.4">
      <c r="O42">
        <v>140</v>
      </c>
      <c r="U42">
        <v>160</v>
      </c>
      <c r="AA42">
        <v>140</v>
      </c>
      <c r="AH42">
        <v>41</v>
      </c>
      <c r="AI42">
        <f>S25+24*2</f>
        <v>60</v>
      </c>
    </row>
    <row r="43" spans="12:35" x14ac:dyDescent="0.4">
      <c r="O43">
        <v>245</v>
      </c>
      <c r="U43">
        <v>330</v>
      </c>
      <c r="AA43">
        <v>235</v>
      </c>
      <c r="AH43">
        <v>42</v>
      </c>
      <c r="AI43">
        <f t="shared" ref="AI43:AI49" si="6">S26+24*2</f>
        <v>70</v>
      </c>
    </row>
    <row r="44" spans="12:35" x14ac:dyDescent="0.4">
      <c r="O44">
        <v>100</v>
      </c>
      <c r="U44">
        <v>130</v>
      </c>
      <c r="AA44">
        <v>150</v>
      </c>
      <c r="AH44">
        <v>43</v>
      </c>
      <c r="AI44">
        <f t="shared" si="6"/>
        <v>51</v>
      </c>
    </row>
    <row r="45" spans="12:35" x14ac:dyDescent="0.4">
      <c r="O45">
        <v>170</v>
      </c>
      <c r="U45">
        <v>170</v>
      </c>
      <c r="AA45">
        <v>220</v>
      </c>
      <c r="AH45">
        <v>44</v>
      </c>
      <c r="AI45">
        <f t="shared" si="6"/>
        <v>65</v>
      </c>
    </row>
    <row r="46" spans="12:35" x14ac:dyDescent="0.4">
      <c r="O46">
        <v>120</v>
      </c>
      <c r="U46">
        <v>210</v>
      </c>
      <c r="AA46">
        <v>190</v>
      </c>
      <c r="AH46">
        <v>45</v>
      </c>
      <c r="AI46">
        <f t="shared" si="6"/>
        <v>72</v>
      </c>
    </row>
    <row r="47" spans="12:35" x14ac:dyDescent="0.4">
      <c r="AH47">
        <v>46</v>
      </c>
      <c r="AI47">
        <f t="shared" si="6"/>
        <v>71</v>
      </c>
    </row>
    <row r="48" spans="12:35" x14ac:dyDescent="0.4">
      <c r="O48">
        <f>O14-O39</f>
        <v>55</v>
      </c>
      <c r="U48">
        <f>U14-U39</f>
        <v>-85</v>
      </c>
      <c r="AA48">
        <f>AA14-AA39</f>
        <v>10</v>
      </c>
      <c r="AH48">
        <v>47</v>
      </c>
      <c r="AI48">
        <f t="shared" si="6"/>
        <v>53</v>
      </c>
    </row>
    <row r="49" spans="15:35" x14ac:dyDescent="0.4">
      <c r="O49">
        <f t="shared" ref="O49:O55" si="7">O15-O40</f>
        <v>-15</v>
      </c>
      <c r="U49">
        <f t="shared" ref="U49:U55" si="8">U15-U40</f>
        <v>-75</v>
      </c>
      <c r="AA49">
        <f t="shared" ref="AA49:AA55" si="9">AA15-AA40</f>
        <v>-70</v>
      </c>
      <c r="AH49">
        <v>48</v>
      </c>
      <c r="AI49">
        <f t="shared" si="6"/>
        <v>58</v>
      </c>
    </row>
    <row r="50" spans="15:35" x14ac:dyDescent="0.4">
      <c r="O50">
        <f t="shared" si="7"/>
        <v>-5</v>
      </c>
      <c r="U50">
        <f t="shared" si="8"/>
        <v>5</v>
      </c>
      <c r="AA50">
        <f t="shared" si="9"/>
        <v>-40</v>
      </c>
      <c r="AH50">
        <v>49</v>
      </c>
      <c r="AI50">
        <f>U25</f>
        <v>16</v>
      </c>
    </row>
    <row r="51" spans="15:35" x14ac:dyDescent="0.4">
      <c r="O51">
        <f t="shared" si="7"/>
        <v>25</v>
      </c>
      <c r="U51">
        <f t="shared" si="8"/>
        <v>-30</v>
      </c>
      <c r="AA51">
        <f t="shared" si="9"/>
        <v>-50</v>
      </c>
      <c r="AH51">
        <v>50</v>
      </c>
      <c r="AI51">
        <f t="shared" ref="AI51:AI57" si="10">U26</f>
        <v>10</v>
      </c>
    </row>
    <row r="52" spans="15:35" x14ac:dyDescent="0.4">
      <c r="O52">
        <f t="shared" si="7"/>
        <v>0</v>
      </c>
      <c r="U52">
        <f t="shared" si="8"/>
        <v>-35</v>
      </c>
      <c r="AA52">
        <f t="shared" si="9"/>
        <v>55</v>
      </c>
      <c r="AH52">
        <v>51</v>
      </c>
      <c r="AI52">
        <f t="shared" si="10"/>
        <v>11</v>
      </c>
    </row>
    <row r="53" spans="15:35" x14ac:dyDescent="0.4">
      <c r="O53">
        <f t="shared" si="7"/>
        <v>25</v>
      </c>
      <c r="U53">
        <f t="shared" si="8"/>
        <v>40</v>
      </c>
      <c r="AA53">
        <f t="shared" si="9"/>
        <v>-20</v>
      </c>
      <c r="AH53">
        <v>52</v>
      </c>
      <c r="AI53">
        <f t="shared" si="10"/>
        <v>24</v>
      </c>
    </row>
    <row r="54" spans="15:35" x14ac:dyDescent="0.4">
      <c r="O54">
        <f t="shared" si="7"/>
        <v>55</v>
      </c>
      <c r="U54">
        <f t="shared" si="8"/>
        <v>-35</v>
      </c>
      <c r="AA54">
        <f t="shared" si="9"/>
        <v>-70</v>
      </c>
      <c r="AH54">
        <v>53</v>
      </c>
      <c r="AI54">
        <f t="shared" si="10"/>
        <v>18</v>
      </c>
    </row>
    <row r="55" spans="15:35" x14ac:dyDescent="0.4">
      <c r="O55">
        <f t="shared" si="7"/>
        <v>30</v>
      </c>
      <c r="U55">
        <f t="shared" si="8"/>
        <v>-100</v>
      </c>
      <c r="AA55">
        <f t="shared" si="9"/>
        <v>-75</v>
      </c>
      <c r="AH55">
        <v>54</v>
      </c>
      <c r="AI55">
        <f t="shared" si="10"/>
        <v>13</v>
      </c>
    </row>
    <row r="56" spans="15:35" x14ac:dyDescent="0.4">
      <c r="AH56">
        <v>55</v>
      </c>
      <c r="AI56">
        <f t="shared" si="10"/>
        <v>15</v>
      </c>
    </row>
    <row r="57" spans="15:35" x14ac:dyDescent="0.4">
      <c r="AH57">
        <v>56</v>
      </c>
      <c r="AI57">
        <f t="shared" si="10"/>
        <v>6</v>
      </c>
    </row>
    <row r="58" spans="15:35" x14ac:dyDescent="0.4">
      <c r="AH58">
        <v>57</v>
      </c>
      <c r="AI58">
        <f>W25+24</f>
        <v>40</v>
      </c>
    </row>
    <row r="59" spans="15:35" x14ac:dyDescent="0.4">
      <c r="AH59">
        <v>58</v>
      </c>
      <c r="AI59">
        <f t="shared" ref="AI59:AI65" si="11">W26+24</f>
        <v>28</v>
      </c>
    </row>
    <row r="60" spans="15:35" x14ac:dyDescent="0.4">
      <c r="AH60">
        <v>59</v>
      </c>
      <c r="AI60">
        <f t="shared" si="11"/>
        <v>35</v>
      </c>
    </row>
    <row r="61" spans="15:35" x14ac:dyDescent="0.4">
      <c r="AH61">
        <v>60</v>
      </c>
      <c r="AI61">
        <f t="shared" si="11"/>
        <v>36</v>
      </c>
    </row>
    <row r="62" spans="15:35" x14ac:dyDescent="0.4">
      <c r="AH62">
        <v>61</v>
      </c>
      <c r="AI62">
        <f t="shared" si="11"/>
        <v>33</v>
      </c>
    </row>
    <row r="63" spans="15:35" x14ac:dyDescent="0.4">
      <c r="AH63">
        <v>62</v>
      </c>
      <c r="AI63">
        <f t="shared" si="11"/>
        <v>46</v>
      </c>
    </row>
    <row r="64" spans="15:35" x14ac:dyDescent="0.4">
      <c r="AH64">
        <v>63</v>
      </c>
      <c r="AI64">
        <f t="shared" si="11"/>
        <v>27</v>
      </c>
    </row>
    <row r="65" spans="34:35" x14ac:dyDescent="0.4">
      <c r="AH65">
        <v>64</v>
      </c>
      <c r="AI65">
        <f t="shared" si="11"/>
        <v>47</v>
      </c>
    </row>
    <row r="66" spans="34:35" x14ac:dyDescent="0.4">
      <c r="AH66">
        <v>65</v>
      </c>
      <c r="AI66">
        <f>Y25+24*2</f>
        <v>68</v>
      </c>
    </row>
    <row r="67" spans="34:35" x14ac:dyDescent="0.4">
      <c r="AH67">
        <v>66</v>
      </c>
      <c r="AI67">
        <f t="shared" ref="AI67:AI73" si="12">Y26+24*2</f>
        <v>55</v>
      </c>
    </row>
    <row r="68" spans="34:35" x14ac:dyDescent="0.4">
      <c r="AH68">
        <v>67</v>
      </c>
      <c r="AI68">
        <f t="shared" si="12"/>
        <v>57</v>
      </c>
    </row>
    <row r="69" spans="34:35" x14ac:dyDescent="0.4">
      <c r="AH69">
        <v>68</v>
      </c>
      <c r="AI69">
        <f t="shared" si="12"/>
        <v>49</v>
      </c>
    </row>
    <row r="70" spans="34:35" x14ac:dyDescent="0.4">
      <c r="AH70">
        <v>69</v>
      </c>
      <c r="AI70">
        <f t="shared" si="12"/>
        <v>52</v>
      </c>
    </row>
    <row r="71" spans="34:35" x14ac:dyDescent="0.4">
      <c r="AH71">
        <v>70</v>
      </c>
      <c r="AI71">
        <f t="shared" si="12"/>
        <v>66</v>
      </c>
    </row>
    <row r="72" spans="34:35" x14ac:dyDescent="0.4">
      <c r="AH72">
        <v>71</v>
      </c>
      <c r="AI72">
        <f t="shared" si="12"/>
        <v>56</v>
      </c>
    </row>
    <row r="73" spans="34:35" x14ac:dyDescent="0.4">
      <c r="AH73">
        <v>72</v>
      </c>
      <c r="AI73">
        <f t="shared" si="12"/>
        <v>69</v>
      </c>
    </row>
  </sheetData>
  <sortState xmlns:xlrd2="http://schemas.microsoft.com/office/spreadsheetml/2017/richdata2" ref="F7:G30">
    <sortCondition ref="G7:G30"/>
  </sortState>
  <mergeCells count="9">
    <mergeCell ref="AA12:AE12"/>
    <mergeCell ref="O1:S1"/>
    <mergeCell ref="U1:Y1"/>
    <mergeCell ref="AA1:AE1"/>
    <mergeCell ref="L23:N23"/>
    <mergeCell ref="O23:S23"/>
    <mergeCell ref="U23:Y23"/>
    <mergeCell ref="O12:S12"/>
    <mergeCell ref="U12:Y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DE9-CA56-41BC-887D-6771AE9C783A}">
  <dimension ref="B1:CD49"/>
  <sheetViews>
    <sheetView topLeftCell="G13" zoomScale="70" zoomScaleNormal="70" workbookViewId="0">
      <selection activeCell="M23" sqref="M23:M46"/>
    </sheetView>
  </sheetViews>
  <sheetFormatPr defaultRowHeight="17" x14ac:dyDescent="0.4"/>
  <cols>
    <col min="7" max="8" width="16.08984375" bestFit="1" customWidth="1"/>
    <col min="9" max="9" width="16" bestFit="1" customWidth="1"/>
    <col min="10" max="10" width="4.08984375" bestFit="1" customWidth="1"/>
    <col min="11" max="11" width="16.08984375" bestFit="1" customWidth="1"/>
    <col min="12" max="12" width="16" bestFit="1" customWidth="1"/>
    <col min="13" max="13" width="13.90625" bestFit="1" customWidth="1"/>
    <col min="14" max="14" width="7.54296875" hidden="1" customWidth="1"/>
    <col min="15" max="15" width="11.36328125" bestFit="1" customWidth="1"/>
    <col min="16" max="16" width="5.7265625" bestFit="1" customWidth="1"/>
    <col min="17" max="17" width="7.54296875" hidden="1" customWidth="1"/>
    <col min="18" max="18" width="11.36328125" bestFit="1" customWidth="1"/>
    <col min="19" max="19" width="5.7265625" bestFit="1" customWidth="1"/>
    <col min="20" max="20" width="7.54296875" hidden="1" customWidth="1"/>
    <col min="21" max="21" width="11.36328125" bestFit="1" customWidth="1"/>
    <col min="22" max="22" width="5.7265625" bestFit="1" customWidth="1"/>
    <col min="23" max="23" width="0" hidden="1" customWidth="1"/>
    <col min="24" max="24" width="11.36328125" bestFit="1" customWidth="1"/>
    <col min="25" max="25" width="5.7265625" bestFit="1" customWidth="1"/>
    <col min="26" max="26" width="7.54296875" hidden="1" customWidth="1"/>
    <col min="27" max="27" width="11.36328125" bestFit="1" customWidth="1"/>
    <col min="28" max="28" width="5.7265625" bestFit="1" customWidth="1"/>
    <col min="29" max="29" width="7.54296875" hidden="1" customWidth="1"/>
    <col min="30" max="30" width="11.36328125" bestFit="1" customWidth="1"/>
    <col min="31" max="31" width="5.7265625" bestFit="1" customWidth="1"/>
    <col min="32" max="32" width="0" hidden="1" customWidth="1"/>
    <col min="33" max="33" width="11.36328125" bestFit="1" customWidth="1"/>
    <col min="34" max="34" width="5.7265625" bestFit="1" customWidth="1"/>
    <col min="35" max="35" width="7.54296875" hidden="1" customWidth="1"/>
    <col min="36" max="36" width="11.36328125" bestFit="1" customWidth="1"/>
    <col min="37" max="37" width="5.7265625" bestFit="1" customWidth="1"/>
    <col min="38" max="38" width="7.54296875" hidden="1" customWidth="1"/>
    <col min="39" max="39" width="11.36328125" bestFit="1" customWidth="1"/>
    <col min="40" max="40" width="5.7265625" bestFit="1" customWidth="1"/>
    <col min="52" max="52" width="4.54296875" bestFit="1" customWidth="1"/>
    <col min="53" max="53" width="16.90625" bestFit="1" customWidth="1"/>
    <col min="54" max="54" width="16.6328125" bestFit="1" customWidth="1"/>
    <col min="55" max="55" width="14.6328125" bestFit="1" customWidth="1"/>
    <col min="56" max="56" width="0" hidden="1" customWidth="1"/>
    <col min="57" max="57" width="13.54296875" bestFit="1" customWidth="1"/>
    <col min="58" max="58" width="5.6328125" bestFit="1" customWidth="1"/>
    <col min="59" max="59" width="0" hidden="1" customWidth="1"/>
    <col min="60" max="60" width="13.54296875" bestFit="1" customWidth="1"/>
    <col min="61" max="61" width="5.6328125" bestFit="1" customWidth="1"/>
    <col min="62" max="62" width="0" hidden="1" customWidth="1"/>
    <col min="63" max="63" width="13.54296875" bestFit="1" customWidth="1"/>
    <col min="64" max="64" width="5.6328125" bestFit="1" customWidth="1"/>
    <col min="65" max="65" width="0" hidden="1" customWidth="1"/>
    <col min="66" max="66" width="13.54296875" bestFit="1" customWidth="1"/>
    <col min="67" max="67" width="5.6328125" bestFit="1" customWidth="1"/>
    <col min="68" max="68" width="7.54296875" hidden="1" customWidth="1"/>
    <col min="69" max="69" width="13.54296875" bestFit="1" customWidth="1"/>
    <col min="70" max="70" width="5.6328125" bestFit="1" customWidth="1"/>
    <col min="71" max="71" width="7.54296875" hidden="1" customWidth="1"/>
    <col min="72" max="72" width="13.54296875" bestFit="1" customWidth="1"/>
    <col min="73" max="73" width="5.6328125" bestFit="1" customWidth="1"/>
    <col min="74" max="74" width="0" hidden="1" customWidth="1"/>
    <col min="75" max="75" width="13.54296875" bestFit="1" customWidth="1"/>
    <col min="76" max="76" width="5.6328125" bestFit="1" customWidth="1"/>
    <col min="77" max="77" width="0" hidden="1" customWidth="1"/>
    <col min="78" max="78" width="13.54296875" bestFit="1" customWidth="1"/>
    <col min="79" max="79" width="5.6328125" bestFit="1" customWidth="1"/>
    <col min="80" max="80" width="0" hidden="1" customWidth="1"/>
    <col min="81" max="81" width="13.54296875" bestFit="1" customWidth="1"/>
    <col min="82" max="82" width="5.6328125" bestFit="1" customWidth="1"/>
  </cols>
  <sheetData>
    <row r="1" spans="2:82" ht="17.5" thickBot="1" x14ac:dyDescent="0.45">
      <c r="G1" s="6"/>
      <c r="H1" s="6"/>
      <c r="I1" s="6"/>
      <c r="AP1" s="64" t="s">
        <v>4</v>
      </c>
      <c r="AQ1" s="65"/>
      <c r="AR1" s="66"/>
      <c r="AS1" s="64" t="s">
        <v>5</v>
      </c>
      <c r="AT1" s="65"/>
      <c r="AU1" s="66"/>
      <c r="AV1" s="64" t="s">
        <v>6</v>
      </c>
      <c r="AW1" s="65"/>
      <c r="AX1" s="66"/>
    </row>
    <row r="2" spans="2:82" x14ac:dyDescent="0.4">
      <c r="B2" s="2" t="s">
        <v>125</v>
      </c>
      <c r="C2" s="26" t="s">
        <v>122</v>
      </c>
      <c r="D2" s="26" t="s">
        <v>123</v>
      </c>
      <c r="E2" s="1" t="s">
        <v>124</v>
      </c>
      <c r="F2" s="48" t="s">
        <v>10</v>
      </c>
      <c r="G2" s="26" t="s">
        <v>8</v>
      </c>
      <c r="H2" s="26" t="s">
        <v>7</v>
      </c>
      <c r="I2" s="1" t="s">
        <v>9</v>
      </c>
      <c r="M2" s="33"/>
      <c r="N2" s="82" t="s">
        <v>4</v>
      </c>
      <c r="O2" s="82"/>
      <c r="P2" s="82"/>
      <c r="Q2" s="82"/>
      <c r="R2" s="82"/>
      <c r="S2" s="82"/>
      <c r="T2" s="82"/>
      <c r="U2" s="82"/>
      <c r="V2" s="82"/>
      <c r="W2" s="82" t="s">
        <v>5</v>
      </c>
      <c r="X2" s="82"/>
      <c r="Y2" s="82"/>
      <c r="Z2" s="82"/>
      <c r="AA2" s="82"/>
      <c r="AB2" s="82"/>
      <c r="AC2" s="82"/>
      <c r="AD2" s="82"/>
      <c r="AE2" s="82"/>
      <c r="AF2" s="82" t="s">
        <v>6</v>
      </c>
      <c r="AG2" s="82"/>
      <c r="AH2" s="82"/>
      <c r="AI2" s="82"/>
      <c r="AJ2" s="82"/>
      <c r="AK2" s="82"/>
      <c r="AL2" s="82"/>
      <c r="AM2" s="82"/>
      <c r="AN2" s="82"/>
      <c r="AP2" s="7" t="s">
        <v>158</v>
      </c>
      <c r="AQ2" s="50" t="s">
        <v>115</v>
      </c>
      <c r="AR2" s="33" t="s">
        <v>159</v>
      </c>
      <c r="AS2" s="7" t="s">
        <v>158</v>
      </c>
      <c r="AT2" s="50" t="s">
        <v>115</v>
      </c>
      <c r="AU2" s="33" t="s">
        <v>159</v>
      </c>
      <c r="AV2" s="7" t="s">
        <v>158</v>
      </c>
      <c r="AW2" s="50" t="s">
        <v>115</v>
      </c>
      <c r="AX2" s="33" t="s">
        <v>159</v>
      </c>
      <c r="AZ2" s="14"/>
      <c r="BA2" s="15"/>
      <c r="BB2" s="15"/>
      <c r="BC2" s="69"/>
      <c r="BD2" s="57" t="s">
        <v>200</v>
      </c>
      <c r="BE2" s="58"/>
      <c r="BF2" s="58"/>
      <c r="BG2" s="58"/>
      <c r="BH2" s="58"/>
      <c r="BI2" s="58"/>
      <c r="BJ2" s="58"/>
      <c r="BK2" s="58"/>
      <c r="BL2" s="62"/>
      <c r="BM2" s="57" t="s">
        <v>160</v>
      </c>
      <c r="BN2" s="58"/>
      <c r="BO2" s="58"/>
      <c r="BP2" s="58"/>
      <c r="BQ2" s="58"/>
      <c r="BR2" s="58"/>
      <c r="BS2" s="58"/>
      <c r="BT2" s="58"/>
      <c r="BU2" s="62"/>
      <c r="BV2" s="58" t="s">
        <v>161</v>
      </c>
      <c r="BW2" s="58"/>
      <c r="BX2" s="58"/>
      <c r="BY2" s="58"/>
      <c r="BZ2" s="58"/>
      <c r="CA2" s="58"/>
      <c r="CB2" s="58"/>
      <c r="CC2" s="58"/>
      <c r="CD2" s="70"/>
    </row>
    <row r="3" spans="2:82" x14ac:dyDescent="0.4">
      <c r="B3" s="3">
        <v>1</v>
      </c>
      <c r="C3" s="6">
        <v>-1</v>
      </c>
      <c r="D3" s="6">
        <v>-1</v>
      </c>
      <c r="E3" s="18">
        <v>-1</v>
      </c>
      <c r="F3" s="33">
        <v>-1</v>
      </c>
      <c r="G3" s="6">
        <f>297/2</f>
        <v>148.5</v>
      </c>
      <c r="H3" s="6">
        <f>2/5</f>
        <v>0.4</v>
      </c>
      <c r="I3" s="18">
        <v>8</v>
      </c>
      <c r="J3" s="71" t="s">
        <v>0</v>
      </c>
      <c r="K3" s="46" t="s">
        <v>8</v>
      </c>
      <c r="L3" s="46" t="s">
        <v>7</v>
      </c>
      <c r="M3" s="47" t="s">
        <v>9</v>
      </c>
      <c r="N3" s="51" t="s">
        <v>158</v>
      </c>
      <c r="O3" s="52" t="s">
        <v>162</v>
      </c>
      <c r="P3" s="52" t="s">
        <v>115</v>
      </c>
      <c r="Q3" s="52" t="s">
        <v>158</v>
      </c>
      <c r="R3" s="52" t="s">
        <v>163</v>
      </c>
      <c r="S3" s="52" t="s">
        <v>115</v>
      </c>
      <c r="T3" s="51" t="s">
        <v>158</v>
      </c>
      <c r="U3" s="52" t="s">
        <v>164</v>
      </c>
      <c r="V3" s="52" t="s">
        <v>115</v>
      </c>
      <c r="W3" s="52" t="s">
        <v>158</v>
      </c>
      <c r="X3" s="52" t="s">
        <v>162</v>
      </c>
      <c r="Y3" s="52" t="s">
        <v>115</v>
      </c>
      <c r="Z3" s="51" t="s">
        <v>158</v>
      </c>
      <c r="AA3" s="52" t="s">
        <v>163</v>
      </c>
      <c r="AB3" s="52" t="s">
        <v>115</v>
      </c>
      <c r="AC3" s="52" t="s">
        <v>158</v>
      </c>
      <c r="AD3" s="52" t="s">
        <v>164</v>
      </c>
      <c r="AE3" s="52" t="s">
        <v>115</v>
      </c>
      <c r="AF3" s="52" t="s">
        <v>157</v>
      </c>
      <c r="AG3" s="52" t="s">
        <v>162</v>
      </c>
      <c r="AH3" s="52" t="s">
        <v>115</v>
      </c>
      <c r="AI3" s="52" t="s">
        <v>158</v>
      </c>
      <c r="AJ3" s="52" t="s">
        <v>163</v>
      </c>
      <c r="AK3" s="52" t="s">
        <v>115</v>
      </c>
      <c r="AL3" s="52" t="s">
        <v>158</v>
      </c>
      <c r="AM3" s="52" t="s">
        <v>164</v>
      </c>
      <c r="AN3" s="52" t="s">
        <v>115</v>
      </c>
      <c r="AP3" s="7" t="s">
        <v>83</v>
      </c>
      <c r="AQ3" s="50">
        <v>1</v>
      </c>
      <c r="AR3" s="33">
        <v>180</v>
      </c>
      <c r="AS3" s="7" t="s">
        <v>89</v>
      </c>
      <c r="AT3" s="50">
        <v>1</v>
      </c>
      <c r="AU3" s="33">
        <v>150</v>
      </c>
      <c r="AV3" s="7" t="s">
        <v>75</v>
      </c>
      <c r="AW3" s="50">
        <v>1</v>
      </c>
      <c r="AX3" s="33">
        <v>205</v>
      </c>
      <c r="AZ3" s="17" t="s">
        <v>125</v>
      </c>
      <c r="BA3" s="6" t="s">
        <v>201</v>
      </c>
      <c r="BB3" s="6" t="s">
        <v>202</v>
      </c>
      <c r="BC3" s="33" t="s">
        <v>203</v>
      </c>
      <c r="BD3" s="7" t="s">
        <v>157</v>
      </c>
      <c r="BE3" s="6" t="s">
        <v>204</v>
      </c>
      <c r="BF3" s="33" t="s">
        <v>114</v>
      </c>
      <c r="BG3" s="6" t="s">
        <v>157</v>
      </c>
      <c r="BH3" s="6" t="s">
        <v>163</v>
      </c>
      <c r="BI3" s="33" t="s">
        <v>114</v>
      </c>
      <c r="BJ3" s="6" t="s">
        <v>157</v>
      </c>
      <c r="BK3" s="6" t="s">
        <v>164</v>
      </c>
      <c r="BL3" s="33" t="s">
        <v>114</v>
      </c>
      <c r="BM3" s="7" t="s">
        <v>157</v>
      </c>
      <c r="BN3" s="6" t="s">
        <v>204</v>
      </c>
      <c r="BO3" s="33" t="s">
        <v>114</v>
      </c>
      <c r="BP3" s="6" t="s">
        <v>157</v>
      </c>
      <c r="BQ3" s="6" t="s">
        <v>163</v>
      </c>
      <c r="BR3" s="33" t="s">
        <v>114</v>
      </c>
      <c r="BS3" s="6" t="s">
        <v>157</v>
      </c>
      <c r="BT3" s="6" t="s">
        <v>164</v>
      </c>
      <c r="BU3" s="33" t="s">
        <v>114</v>
      </c>
      <c r="BV3" s="6" t="s">
        <v>157</v>
      </c>
      <c r="BW3" s="6" t="s">
        <v>204</v>
      </c>
      <c r="BX3" s="33" t="s">
        <v>114</v>
      </c>
      <c r="BY3" s="6" t="s">
        <v>157</v>
      </c>
      <c r="BZ3" s="6" t="s">
        <v>163</v>
      </c>
      <c r="CA3" s="33" t="s">
        <v>114</v>
      </c>
      <c r="CB3" s="6" t="s">
        <v>157</v>
      </c>
      <c r="CC3" s="6" t="s">
        <v>164</v>
      </c>
      <c r="CD3" s="18" t="s">
        <v>114</v>
      </c>
    </row>
    <row r="4" spans="2:82" ht="17.5" thickBot="1" x14ac:dyDescent="0.45">
      <c r="B4" s="3">
        <v>2</v>
      </c>
      <c r="C4" s="6">
        <v>1</v>
      </c>
      <c r="D4" s="6">
        <v>-1</v>
      </c>
      <c r="E4" s="18">
        <v>-1</v>
      </c>
      <c r="F4" s="49">
        <v>1</v>
      </c>
      <c r="G4" s="20">
        <v>210</v>
      </c>
      <c r="H4" s="20">
        <v>0.5</v>
      </c>
      <c r="I4" s="21">
        <v>10</v>
      </c>
      <c r="J4" s="74">
        <v>1</v>
      </c>
      <c r="K4" s="75">
        <f>(G$3+G$4)/2+(G$4-G$3)/2*C3</f>
        <v>148.5</v>
      </c>
      <c r="L4" s="75">
        <f t="shared" ref="L4:M4" si="0">(H$3+H$4)/2+(H$4-H$3)/2*D3</f>
        <v>0.4</v>
      </c>
      <c r="M4" s="76">
        <f t="shared" si="0"/>
        <v>8</v>
      </c>
      <c r="N4" s="76" t="s">
        <v>86</v>
      </c>
      <c r="O4" s="52">
        <f>VLOOKUP(N4,$AP$2:$AR$47,3,FALSE)</f>
        <v>255</v>
      </c>
      <c r="P4" s="52">
        <f>VLOOKUP(N4,$AP$2:$AR$47,2,FALSE)</f>
        <v>23</v>
      </c>
      <c r="Q4" s="52" t="s">
        <v>91</v>
      </c>
      <c r="R4" s="52">
        <f>VLOOKUP(Q4,$AP$2:$AR$47,3,FALSE)</f>
        <v>240</v>
      </c>
      <c r="S4" s="52">
        <f>VLOOKUP(Q4,$AP$2:$AR$47,2,FALSE)</f>
        <v>11</v>
      </c>
      <c r="T4" s="56" t="s">
        <v>85</v>
      </c>
      <c r="U4" s="52">
        <f>VLOOKUP(T4,$AP$2:$AR$47,3,FALSE)</f>
        <v>280</v>
      </c>
      <c r="V4" s="52">
        <f>VLOOKUP(T4,$AP$2:$AR$47,2,FALSE)</f>
        <v>10</v>
      </c>
      <c r="W4" s="52" t="str">
        <f>N4</f>
        <v>1--1</v>
      </c>
      <c r="X4" s="52">
        <f>VLOOKUP(W4,$AS$2:$AU$47,3,FALSE)</f>
        <v>300</v>
      </c>
      <c r="Y4" s="52">
        <f>VLOOKUP(W4,$AS$2:$AU$47,2,FALSE)</f>
        <v>24</v>
      </c>
      <c r="Z4" s="52" t="str">
        <f>Q4</f>
        <v>1--2</v>
      </c>
      <c r="AA4" s="52">
        <f>VLOOKUP(Z4,$AS$2:$AU$47,3,FALSE)</f>
        <v>310</v>
      </c>
      <c r="AB4" s="52">
        <f>VLOOKUP(Z4,$AS$2:$AU$47,2,FALSE)</f>
        <v>14</v>
      </c>
      <c r="AC4" s="56" t="str">
        <f>T4</f>
        <v>1--3</v>
      </c>
      <c r="AD4" s="52">
        <f>VLOOKUP(AC4,$AS$2:$AU$47,3,FALSE)</f>
        <v>300</v>
      </c>
      <c r="AE4" s="52">
        <f>VLOOKUP(AC4,$AS$2:$AU$47,2,FALSE)</f>
        <v>19</v>
      </c>
      <c r="AF4" s="52" t="str">
        <f>W4</f>
        <v>1--1</v>
      </c>
      <c r="AG4" s="52">
        <f>VLOOKUP(AF4,$AV$2:$AX$47,3,FALSE)</f>
        <v>285</v>
      </c>
      <c r="AH4" s="52">
        <f>VLOOKUP(AF4,$AV$2:$AX$47,2,FALSE)</f>
        <v>11</v>
      </c>
      <c r="AI4" s="52" t="str">
        <f>Z4</f>
        <v>1--2</v>
      </c>
      <c r="AJ4" s="52">
        <f>VLOOKUP(AI4,$AV$2:$AX$47,3,FALSE)</f>
        <v>300</v>
      </c>
      <c r="AK4" s="52">
        <f>VLOOKUP(AI4,$AV$2:$AX$47,2,FALSE)</f>
        <v>21</v>
      </c>
      <c r="AL4" s="56" t="str">
        <f>AC4</f>
        <v>1--3</v>
      </c>
      <c r="AM4" s="52">
        <f>VLOOKUP(AL4,$AV$2:$AX$47,3,FALSE)</f>
        <v>360</v>
      </c>
      <c r="AN4" s="52">
        <f>VLOOKUP(AL4,$AV$2:$AX$47,2,FALSE)</f>
        <v>4</v>
      </c>
      <c r="AP4" s="78" t="s">
        <v>194</v>
      </c>
      <c r="AQ4" s="50">
        <v>2</v>
      </c>
      <c r="AR4" s="33">
        <v>275</v>
      </c>
      <c r="AS4" s="7" t="s">
        <v>74</v>
      </c>
      <c r="AT4" s="50">
        <v>2</v>
      </c>
      <c r="AU4" s="33">
        <v>155</v>
      </c>
      <c r="AV4" s="7" t="s">
        <v>93</v>
      </c>
      <c r="AW4" s="50">
        <v>2</v>
      </c>
      <c r="AX4" s="33">
        <v>200</v>
      </c>
      <c r="AZ4" s="71">
        <v>1</v>
      </c>
      <c r="BA4" s="46">
        <v>148.5</v>
      </c>
      <c r="BB4" s="46">
        <v>0.4</v>
      </c>
      <c r="BC4" s="47">
        <v>8</v>
      </c>
      <c r="BD4" s="72" t="s">
        <v>197</v>
      </c>
      <c r="BE4" s="46"/>
      <c r="BF4" s="47"/>
      <c r="BG4" s="46"/>
      <c r="BH4" s="46"/>
      <c r="BI4" s="47"/>
      <c r="BJ4" s="46"/>
      <c r="BK4" s="46"/>
      <c r="BL4" s="47"/>
      <c r="BM4" s="72"/>
      <c r="BN4" s="46"/>
      <c r="BO4" s="47"/>
      <c r="BP4" s="46"/>
      <c r="BQ4" s="46"/>
      <c r="BR4" s="47"/>
      <c r="BS4" s="46"/>
      <c r="BT4" s="46"/>
      <c r="BU4" s="47"/>
      <c r="BV4" s="46"/>
      <c r="BW4" s="46"/>
      <c r="BX4" s="47"/>
      <c r="BY4" s="46"/>
      <c r="BZ4" s="46"/>
      <c r="CA4" s="47"/>
      <c r="CB4" s="46"/>
      <c r="CC4" s="46"/>
      <c r="CD4" s="73"/>
    </row>
    <row r="5" spans="2:82" x14ac:dyDescent="0.4">
      <c r="B5" s="3">
        <v>3</v>
      </c>
      <c r="C5" s="6">
        <v>-1</v>
      </c>
      <c r="D5" s="6">
        <v>1</v>
      </c>
      <c r="E5" s="18">
        <v>-1</v>
      </c>
      <c r="J5" s="75">
        <v>2</v>
      </c>
      <c r="K5" s="75">
        <f t="shared" ref="K5:K18" si="1">(G$3+G$4)/2+(G$4-G$3)/2*C4</f>
        <v>210</v>
      </c>
      <c r="L5" s="75">
        <f t="shared" ref="L5:L18" si="2">(H$3+H$4)/2+(H$4-H$3)/2*D4</f>
        <v>0.4</v>
      </c>
      <c r="M5" s="76">
        <f t="shared" ref="M5:M18" si="3">(I$3+I$4)/2+(I$4-I$3)/2*E4</f>
        <v>8</v>
      </c>
      <c r="N5" s="76" t="s">
        <v>72</v>
      </c>
      <c r="O5" s="52">
        <f t="shared" ref="O5:O18" si="4">VLOOKUP(N5,$AP$2:$AR$47,3,FALSE)</f>
        <v>200</v>
      </c>
      <c r="P5" s="52">
        <f t="shared" ref="P5:P18" si="5">VLOOKUP(N5,$AP$2:$AR$47,2,FALSE)</f>
        <v>17</v>
      </c>
      <c r="Q5" s="52" t="s">
        <v>74</v>
      </c>
      <c r="R5" s="52">
        <f t="shared" ref="R5:R18" si="6">VLOOKUP(Q5,$AP$2:$AR$47,3,FALSE)</f>
        <v>220</v>
      </c>
      <c r="S5" s="52">
        <f t="shared" ref="S5:S18" si="7">VLOOKUP(Q5,$AP$2:$AR$47,2,FALSE)</f>
        <v>15</v>
      </c>
      <c r="T5" s="52" t="s">
        <v>79</v>
      </c>
      <c r="U5" s="52">
        <f t="shared" ref="U5:U18" si="8">VLOOKUP(T5,$AP$2:$AR$47,3,FALSE)</f>
        <v>150</v>
      </c>
      <c r="V5" s="52">
        <f t="shared" ref="V5:V18" si="9">VLOOKUP(T5,$AP$2:$AR$47,2,FALSE)</f>
        <v>12</v>
      </c>
      <c r="W5" s="53" t="str">
        <f t="shared" ref="W5:W18" si="10">N5</f>
        <v>2--1</v>
      </c>
      <c r="X5" s="52">
        <f t="shared" ref="X5:X18" si="11">VLOOKUP(W5,$AS$2:$AU$47,3,FALSE)</f>
        <v>205</v>
      </c>
      <c r="Y5" s="52">
        <f t="shared" ref="Y5:Y18" si="12">VLOOKUP(W5,$AS$2:$AU$47,2,FALSE)</f>
        <v>4</v>
      </c>
      <c r="Z5" s="52" t="str">
        <f t="shared" ref="Z5:Z18" si="13">Q5</f>
        <v>2--2</v>
      </c>
      <c r="AA5" s="52">
        <f t="shared" ref="AA5:AA18" si="14">VLOOKUP(Z5,$AS$2:$AU$47,3,FALSE)</f>
        <v>155</v>
      </c>
      <c r="AB5" s="52">
        <f t="shared" ref="AB5:AB18" si="15">VLOOKUP(Z5,$AS$2:$AU$47,2,FALSE)</f>
        <v>2</v>
      </c>
      <c r="AC5" s="56" t="str">
        <f t="shared" ref="AC5:AC18" si="16">T5</f>
        <v>2--3</v>
      </c>
      <c r="AD5" s="52">
        <f t="shared" ref="AD5:AD18" si="17">VLOOKUP(AC5,$AS$2:$AU$47,3,FALSE)</f>
        <v>165</v>
      </c>
      <c r="AE5" s="52">
        <f t="shared" ref="AE5:AE18" si="18">VLOOKUP(AC5,$AS$2:$AU$47,2,FALSE)</f>
        <v>11</v>
      </c>
      <c r="AF5" s="53" t="str">
        <f t="shared" ref="AF5:AF18" si="19">W5</f>
        <v>2--1</v>
      </c>
      <c r="AG5" s="52">
        <f t="shared" ref="AG5:AG18" si="20">VLOOKUP(AF5,$AV$2:$AX$47,3,FALSE)</f>
        <v>230</v>
      </c>
      <c r="AH5" s="52">
        <f t="shared" ref="AH5:AH18" si="21">VLOOKUP(AF5,$AV$2:$AX$47,2,FALSE)</f>
        <v>15</v>
      </c>
      <c r="AI5" s="52" t="str">
        <f t="shared" ref="AI5:AI18" si="22">Z5</f>
        <v>2--2</v>
      </c>
      <c r="AJ5" s="52">
        <f t="shared" ref="AJ5:AJ18" si="23">VLOOKUP(AI5,$AV$2:$AX$47,3,FALSE)</f>
        <v>200</v>
      </c>
      <c r="AK5" s="52">
        <f t="shared" ref="AK5:AK18" si="24">VLOOKUP(AI5,$AV$2:$AX$47,2,FALSE)</f>
        <v>16</v>
      </c>
      <c r="AL5" s="56" t="str">
        <f t="shared" ref="AL5:AL18" si="25">AC5</f>
        <v>2--3</v>
      </c>
      <c r="AM5" s="52">
        <f t="shared" ref="AM5:AM18" si="26">VLOOKUP(AL5,$AV$2:$AX$47,3,FALSE)</f>
        <v>200</v>
      </c>
      <c r="AN5" s="52">
        <f t="shared" ref="AN5:AN18" si="27">VLOOKUP(AL5,$AV$2:$AX$47,2,FALSE)</f>
        <v>23</v>
      </c>
      <c r="AP5" s="78" t="s">
        <v>212</v>
      </c>
      <c r="AQ5" s="50">
        <v>3</v>
      </c>
      <c r="AR5" s="33">
        <v>160</v>
      </c>
      <c r="AS5" s="78" t="s">
        <v>191</v>
      </c>
      <c r="AT5" s="50">
        <v>3</v>
      </c>
      <c r="AU5" s="33">
        <v>140</v>
      </c>
      <c r="AV5" s="78" t="s">
        <v>212</v>
      </c>
      <c r="AW5" s="50">
        <v>3</v>
      </c>
      <c r="AX5" s="33">
        <v>185</v>
      </c>
      <c r="AZ5" s="74">
        <v>2</v>
      </c>
      <c r="BA5" s="75">
        <v>210</v>
      </c>
      <c r="BB5" s="75">
        <v>0.4</v>
      </c>
      <c r="BC5" s="76">
        <v>8</v>
      </c>
      <c r="BD5" s="54" t="s">
        <v>205</v>
      </c>
      <c r="BE5" s="75"/>
      <c r="BF5" s="76"/>
      <c r="BG5" s="75"/>
      <c r="BH5" s="75"/>
      <c r="BI5" s="76"/>
      <c r="BJ5" s="75"/>
      <c r="BK5" s="75"/>
      <c r="BL5" s="76"/>
      <c r="BM5" s="54"/>
      <c r="BN5" s="75"/>
      <c r="BO5" s="76"/>
      <c r="BP5" s="75"/>
      <c r="BQ5" s="75"/>
      <c r="BR5" s="76"/>
      <c r="BS5" s="75"/>
      <c r="BT5" s="75"/>
      <c r="BU5" s="76"/>
      <c r="BV5" s="75"/>
      <c r="BW5" s="75"/>
      <c r="BX5" s="76"/>
      <c r="BY5" s="75"/>
      <c r="BZ5" s="75"/>
      <c r="CA5" s="76"/>
      <c r="CB5" s="75"/>
      <c r="CC5" s="75"/>
      <c r="CD5" s="77"/>
    </row>
    <row r="6" spans="2:82" x14ac:dyDescent="0.4">
      <c r="B6" s="3">
        <v>4</v>
      </c>
      <c r="C6" s="6">
        <v>1</v>
      </c>
      <c r="D6" s="6">
        <v>1</v>
      </c>
      <c r="E6" s="18">
        <v>-1</v>
      </c>
      <c r="J6" s="75">
        <v>3</v>
      </c>
      <c r="K6" s="75">
        <f t="shared" si="1"/>
        <v>148.5</v>
      </c>
      <c r="L6" s="75">
        <f t="shared" si="2"/>
        <v>0.5</v>
      </c>
      <c r="M6" s="76">
        <f t="shared" si="3"/>
        <v>8</v>
      </c>
      <c r="N6" s="76" t="s">
        <v>81</v>
      </c>
      <c r="O6" s="52">
        <f t="shared" si="4"/>
        <v>150</v>
      </c>
      <c r="P6" s="52">
        <f t="shared" si="5"/>
        <v>18</v>
      </c>
      <c r="Q6" s="52" t="s">
        <v>90</v>
      </c>
      <c r="R6" s="52">
        <f t="shared" si="6"/>
        <v>190</v>
      </c>
      <c r="S6" s="52">
        <f t="shared" si="7"/>
        <v>24</v>
      </c>
      <c r="T6" s="52" t="s">
        <v>80</v>
      </c>
      <c r="U6" s="52">
        <f t="shared" si="8"/>
        <v>220</v>
      </c>
      <c r="V6" s="52">
        <f t="shared" si="9"/>
        <v>7</v>
      </c>
      <c r="W6" s="53" t="str">
        <f t="shared" si="10"/>
        <v>3--1</v>
      </c>
      <c r="X6" s="52">
        <f t="shared" si="11"/>
        <v>175</v>
      </c>
      <c r="Y6" s="52">
        <f t="shared" si="12"/>
        <v>21</v>
      </c>
      <c r="Z6" s="52" t="str">
        <f t="shared" si="13"/>
        <v>3--2</v>
      </c>
      <c r="AA6" s="52">
        <f t="shared" si="14"/>
        <v>150</v>
      </c>
      <c r="AB6" s="52">
        <f t="shared" si="15"/>
        <v>6</v>
      </c>
      <c r="AC6" s="56" t="str">
        <f t="shared" si="16"/>
        <v>3--3</v>
      </c>
      <c r="AD6" s="52">
        <f t="shared" si="17"/>
        <v>195</v>
      </c>
      <c r="AE6" s="52">
        <f t="shared" si="18"/>
        <v>17</v>
      </c>
      <c r="AF6" s="53" t="str">
        <f t="shared" si="19"/>
        <v>3--1</v>
      </c>
      <c r="AG6" s="52">
        <f t="shared" si="20"/>
        <v>160</v>
      </c>
      <c r="AH6" s="52">
        <f t="shared" si="21"/>
        <v>6</v>
      </c>
      <c r="AI6" s="52" t="str">
        <f t="shared" si="22"/>
        <v>3--2</v>
      </c>
      <c r="AJ6" s="52">
        <f t="shared" si="23"/>
        <v>190</v>
      </c>
      <c r="AK6" s="52">
        <f t="shared" si="24"/>
        <v>5</v>
      </c>
      <c r="AL6" s="56" t="str">
        <f t="shared" si="25"/>
        <v>3--3</v>
      </c>
      <c r="AM6" s="52">
        <f t="shared" si="26"/>
        <v>205</v>
      </c>
      <c r="AN6" s="52">
        <f t="shared" si="27"/>
        <v>20</v>
      </c>
      <c r="AP6" s="7" t="s">
        <v>78</v>
      </c>
      <c r="AQ6" s="50">
        <v>4</v>
      </c>
      <c r="AR6" s="33">
        <v>170</v>
      </c>
      <c r="AS6" s="7" t="s">
        <v>72</v>
      </c>
      <c r="AT6" s="50">
        <v>4</v>
      </c>
      <c r="AU6" s="33">
        <v>205</v>
      </c>
      <c r="AV6" s="78" t="s">
        <v>199</v>
      </c>
      <c r="AW6" s="50">
        <v>4</v>
      </c>
      <c r="AX6" s="33">
        <v>360</v>
      </c>
      <c r="AZ6" s="74">
        <v>3</v>
      </c>
      <c r="BA6" s="75">
        <v>148.5</v>
      </c>
      <c r="BB6" s="75">
        <v>0.5</v>
      </c>
      <c r="BC6" s="76">
        <v>8</v>
      </c>
      <c r="BD6" s="54" t="s">
        <v>208</v>
      </c>
      <c r="BE6" s="75"/>
      <c r="BF6" s="76"/>
      <c r="BG6" s="75"/>
      <c r="BH6" s="75"/>
      <c r="BI6" s="76"/>
      <c r="BJ6" s="75"/>
      <c r="BK6" s="75"/>
      <c r="BL6" s="76"/>
      <c r="BM6" s="54"/>
      <c r="BN6" s="75"/>
      <c r="BO6" s="76"/>
      <c r="BP6" s="75"/>
      <c r="BQ6" s="75"/>
      <c r="BR6" s="76"/>
      <c r="BS6" s="75"/>
      <c r="BT6" s="75"/>
      <c r="BU6" s="76"/>
      <c r="BV6" s="75"/>
      <c r="BW6" s="75"/>
      <c r="BX6" s="76"/>
      <c r="BY6" s="75"/>
      <c r="BZ6" s="75"/>
      <c r="CA6" s="76"/>
      <c r="CB6" s="75"/>
      <c r="CC6" s="75"/>
      <c r="CD6" s="77"/>
    </row>
    <row r="7" spans="2:82" x14ac:dyDescent="0.4">
      <c r="B7" s="3">
        <v>5</v>
      </c>
      <c r="C7" s="6">
        <v>-1</v>
      </c>
      <c r="D7" s="6">
        <v>-1</v>
      </c>
      <c r="E7" s="18">
        <v>1</v>
      </c>
      <c r="J7" s="75">
        <v>4</v>
      </c>
      <c r="K7" s="75">
        <f t="shared" si="1"/>
        <v>210</v>
      </c>
      <c r="L7" s="75">
        <f t="shared" si="2"/>
        <v>0.5</v>
      </c>
      <c r="M7" s="76">
        <f t="shared" si="3"/>
        <v>8</v>
      </c>
      <c r="N7" s="76" t="s">
        <v>78</v>
      </c>
      <c r="O7" s="52">
        <f t="shared" si="4"/>
        <v>170</v>
      </c>
      <c r="P7" s="52">
        <f t="shared" si="5"/>
        <v>4</v>
      </c>
      <c r="Q7" s="52" t="s">
        <v>77</v>
      </c>
      <c r="R7" s="52">
        <f t="shared" si="6"/>
        <v>160</v>
      </c>
      <c r="S7" s="52">
        <f t="shared" si="7"/>
        <v>3</v>
      </c>
      <c r="T7" s="52" t="s">
        <v>93</v>
      </c>
      <c r="U7" s="52">
        <f t="shared" si="8"/>
        <v>150</v>
      </c>
      <c r="V7" s="52">
        <f t="shared" si="9"/>
        <v>9</v>
      </c>
      <c r="W7" s="53" t="str">
        <f t="shared" si="10"/>
        <v>4--1</v>
      </c>
      <c r="X7" s="52">
        <f t="shared" si="11"/>
        <v>210</v>
      </c>
      <c r="Y7" s="52">
        <f t="shared" si="12"/>
        <v>23</v>
      </c>
      <c r="Z7" s="52" t="str">
        <f t="shared" si="13"/>
        <v>4--2</v>
      </c>
      <c r="AA7" s="52">
        <f t="shared" si="14"/>
        <v>170</v>
      </c>
      <c r="AB7" s="52">
        <f t="shared" si="15"/>
        <v>12</v>
      </c>
      <c r="AC7" s="56" t="str">
        <f t="shared" si="16"/>
        <v>4--3</v>
      </c>
      <c r="AD7" s="52">
        <f t="shared" si="17"/>
        <v>155</v>
      </c>
      <c r="AE7" s="52">
        <f t="shared" si="18"/>
        <v>9</v>
      </c>
      <c r="AF7" s="53" t="str">
        <f t="shared" si="19"/>
        <v>4--1</v>
      </c>
      <c r="AG7" s="52">
        <f t="shared" si="20"/>
        <v>160</v>
      </c>
      <c r="AH7" s="52">
        <f t="shared" si="21"/>
        <v>24</v>
      </c>
      <c r="AI7" s="52" t="str">
        <f t="shared" si="22"/>
        <v>4--2</v>
      </c>
      <c r="AJ7" s="52">
        <f t="shared" si="23"/>
        <v>185</v>
      </c>
      <c r="AK7" s="52">
        <f t="shared" si="24"/>
        <v>3</v>
      </c>
      <c r="AL7" s="56" t="str">
        <f t="shared" si="25"/>
        <v>4--3</v>
      </c>
      <c r="AM7" s="52">
        <f t="shared" si="26"/>
        <v>200</v>
      </c>
      <c r="AN7" s="52">
        <f t="shared" si="27"/>
        <v>2</v>
      </c>
      <c r="AP7" s="7" t="s">
        <v>73</v>
      </c>
      <c r="AQ7" s="50">
        <v>5</v>
      </c>
      <c r="AR7" s="33">
        <v>200</v>
      </c>
      <c r="AS7" s="79" t="s">
        <v>216</v>
      </c>
      <c r="AT7" s="50">
        <v>5</v>
      </c>
      <c r="AU7" s="33">
        <v>210</v>
      </c>
      <c r="AV7" s="78" t="s">
        <v>209</v>
      </c>
      <c r="AW7" s="50">
        <v>5</v>
      </c>
      <c r="AX7" s="33">
        <v>190</v>
      </c>
      <c r="AZ7" s="74">
        <v>4</v>
      </c>
      <c r="BA7" s="75">
        <v>210</v>
      </c>
      <c r="BB7" s="75">
        <v>0.5</v>
      </c>
      <c r="BC7" s="76">
        <v>8</v>
      </c>
      <c r="BD7" s="54" t="s">
        <v>211</v>
      </c>
      <c r="BE7" s="75"/>
      <c r="BF7" s="76"/>
      <c r="BG7" s="75"/>
      <c r="BH7" s="75"/>
      <c r="BI7" s="76"/>
      <c r="BJ7" s="75"/>
      <c r="BK7" s="75"/>
      <c r="BL7" s="76"/>
      <c r="BM7" s="54"/>
      <c r="BN7" s="75"/>
      <c r="BO7" s="76"/>
      <c r="BP7" s="75"/>
      <c r="BQ7" s="75"/>
      <c r="BR7" s="76"/>
      <c r="BS7" s="75"/>
      <c r="BT7" s="75"/>
      <c r="BU7" s="76"/>
      <c r="BV7" s="75"/>
      <c r="BW7" s="75"/>
      <c r="BX7" s="76"/>
      <c r="BY7" s="75"/>
      <c r="BZ7" s="75"/>
      <c r="CA7" s="76"/>
      <c r="CB7" s="75"/>
      <c r="CC7" s="75"/>
      <c r="CD7" s="77"/>
    </row>
    <row r="8" spans="2:82" x14ac:dyDescent="0.4">
      <c r="B8" s="3">
        <v>6</v>
      </c>
      <c r="C8" s="6">
        <v>1</v>
      </c>
      <c r="D8" s="6">
        <v>-1</v>
      </c>
      <c r="E8" s="18">
        <v>1</v>
      </c>
      <c r="F8" s="44"/>
      <c r="G8" s="44" t="s">
        <v>126</v>
      </c>
      <c r="H8" s="44" t="s">
        <v>127</v>
      </c>
      <c r="I8" s="45" t="s">
        <v>128</v>
      </c>
      <c r="J8" s="54">
        <v>5</v>
      </c>
      <c r="K8" s="75">
        <f t="shared" si="1"/>
        <v>148.5</v>
      </c>
      <c r="L8" s="75">
        <f t="shared" si="2"/>
        <v>0.4</v>
      </c>
      <c r="M8" s="76">
        <f t="shared" si="3"/>
        <v>10</v>
      </c>
      <c r="N8" s="76" t="s">
        <v>92</v>
      </c>
      <c r="O8" s="52">
        <f t="shared" si="4"/>
        <v>300</v>
      </c>
      <c r="P8" s="52">
        <f t="shared" si="5"/>
        <v>21</v>
      </c>
      <c r="Q8" s="52" t="s">
        <v>88</v>
      </c>
      <c r="R8" s="52">
        <f t="shared" si="6"/>
        <v>230</v>
      </c>
      <c r="S8" s="52">
        <f t="shared" si="7"/>
        <v>13</v>
      </c>
      <c r="T8" s="52" t="s">
        <v>87</v>
      </c>
      <c r="U8" s="52">
        <f t="shared" si="8"/>
        <v>275</v>
      </c>
      <c r="V8" s="52">
        <f t="shared" si="9"/>
        <v>2</v>
      </c>
      <c r="W8" s="53" t="str">
        <f t="shared" si="10"/>
        <v>5--1</v>
      </c>
      <c r="X8" s="52">
        <f t="shared" si="11"/>
        <v>290</v>
      </c>
      <c r="Y8" s="52">
        <f t="shared" si="12"/>
        <v>10</v>
      </c>
      <c r="Z8" s="52" t="str">
        <f t="shared" si="13"/>
        <v>5--2</v>
      </c>
      <c r="AA8" s="52">
        <f t="shared" si="14"/>
        <v>285</v>
      </c>
      <c r="AB8" s="52">
        <f t="shared" si="15"/>
        <v>18</v>
      </c>
      <c r="AC8" s="56" t="str">
        <f t="shared" si="16"/>
        <v>5--3</v>
      </c>
      <c r="AD8" s="52">
        <f t="shared" si="17"/>
        <v>295</v>
      </c>
      <c r="AE8" s="52">
        <f t="shared" si="18"/>
        <v>16</v>
      </c>
      <c r="AF8" s="53" t="str">
        <f t="shared" si="19"/>
        <v>5--1</v>
      </c>
      <c r="AG8" s="52">
        <f t="shared" si="20"/>
        <v>345</v>
      </c>
      <c r="AH8" s="52">
        <f t="shared" si="21"/>
        <v>22</v>
      </c>
      <c r="AI8" s="52" t="str">
        <f t="shared" si="22"/>
        <v>5--2</v>
      </c>
      <c r="AJ8" s="52">
        <f t="shared" si="23"/>
        <v>270</v>
      </c>
      <c r="AK8" s="52">
        <f t="shared" si="24"/>
        <v>7</v>
      </c>
      <c r="AL8" s="56" t="str">
        <f t="shared" si="25"/>
        <v>5--3</v>
      </c>
      <c r="AM8" s="52">
        <f t="shared" si="26"/>
        <v>385</v>
      </c>
      <c r="AN8" s="52">
        <f t="shared" si="27"/>
        <v>12</v>
      </c>
      <c r="AP8" s="78" t="s">
        <v>196</v>
      </c>
      <c r="AQ8" s="50">
        <v>6</v>
      </c>
      <c r="AR8" s="33">
        <v>200</v>
      </c>
      <c r="AS8" s="7" t="s">
        <v>90</v>
      </c>
      <c r="AT8" s="50">
        <v>6</v>
      </c>
      <c r="AU8" s="33">
        <v>150</v>
      </c>
      <c r="AV8" s="78" t="s">
        <v>208</v>
      </c>
      <c r="AW8" s="50">
        <v>6</v>
      </c>
      <c r="AX8" s="33">
        <v>160</v>
      </c>
      <c r="AZ8" s="74">
        <v>5</v>
      </c>
      <c r="BA8" s="75">
        <v>148.5</v>
      </c>
      <c r="BB8" s="75">
        <v>0.4</v>
      </c>
      <c r="BC8" s="76">
        <v>10</v>
      </c>
      <c r="BD8" s="54" t="s">
        <v>192</v>
      </c>
      <c r="BE8" s="75"/>
      <c r="BF8" s="76"/>
      <c r="BG8" s="75"/>
      <c r="BH8" s="75"/>
      <c r="BI8" s="76"/>
      <c r="BJ8" s="75"/>
      <c r="BK8" s="75"/>
      <c r="BL8" s="76"/>
      <c r="BM8" s="54"/>
      <c r="BN8" s="75"/>
      <c r="BO8" s="76"/>
      <c r="BP8" s="75"/>
      <c r="BQ8" s="75"/>
      <c r="BR8" s="76"/>
      <c r="BS8" s="75"/>
      <c r="BT8" s="75"/>
      <c r="BU8" s="76"/>
      <c r="BV8" s="75"/>
      <c r="BW8" s="75"/>
      <c r="BX8" s="76"/>
      <c r="BY8" s="75"/>
      <c r="BZ8" s="75"/>
      <c r="CA8" s="76"/>
      <c r="CB8" s="75"/>
      <c r="CC8" s="75"/>
      <c r="CD8" s="77"/>
    </row>
    <row r="9" spans="2:82" x14ac:dyDescent="0.4">
      <c r="B9" s="3">
        <v>7</v>
      </c>
      <c r="C9" s="6">
        <v>-1</v>
      </c>
      <c r="D9" s="6">
        <v>1</v>
      </c>
      <c r="E9" s="18">
        <v>1</v>
      </c>
      <c r="F9" s="6">
        <v>1</v>
      </c>
      <c r="G9" s="6">
        <v>135.75</v>
      </c>
      <c r="H9" s="6">
        <f t="shared" ref="H9:H15" si="28">L12*K12</f>
        <v>61.093319830662296</v>
      </c>
      <c r="I9" s="33">
        <f t="shared" ref="I9:I15" si="29">M12</f>
        <v>9</v>
      </c>
      <c r="J9" s="54">
        <v>6</v>
      </c>
      <c r="K9" s="75">
        <f t="shared" si="1"/>
        <v>210</v>
      </c>
      <c r="L9" s="75">
        <f t="shared" si="2"/>
        <v>0.4</v>
      </c>
      <c r="M9" s="76">
        <f t="shared" si="3"/>
        <v>10</v>
      </c>
      <c r="N9" s="76" t="s">
        <v>71</v>
      </c>
      <c r="O9" s="52">
        <f t="shared" si="4"/>
        <v>140</v>
      </c>
      <c r="P9" s="52">
        <f t="shared" si="5"/>
        <v>16</v>
      </c>
      <c r="Q9" s="52" t="s">
        <v>89</v>
      </c>
      <c r="R9" s="52">
        <f t="shared" si="6"/>
        <v>200</v>
      </c>
      <c r="S9" s="52">
        <f t="shared" si="7"/>
        <v>6</v>
      </c>
      <c r="T9" s="52" t="s">
        <v>82</v>
      </c>
      <c r="U9" s="52">
        <f t="shared" si="8"/>
        <v>145</v>
      </c>
      <c r="V9" s="52">
        <f t="shared" si="9"/>
        <v>20</v>
      </c>
      <c r="W9" s="53" t="str">
        <f t="shared" si="10"/>
        <v>6--1</v>
      </c>
      <c r="X9" s="52">
        <f t="shared" si="11"/>
        <v>150</v>
      </c>
      <c r="Y9" s="52">
        <f t="shared" si="12"/>
        <v>7</v>
      </c>
      <c r="Z9" s="52" t="str">
        <f t="shared" si="13"/>
        <v>6--2</v>
      </c>
      <c r="AA9" s="52">
        <f t="shared" si="14"/>
        <v>150</v>
      </c>
      <c r="AB9" s="52">
        <f t="shared" si="15"/>
        <v>1</v>
      </c>
      <c r="AC9" s="56" t="str">
        <f t="shared" si="16"/>
        <v>6--3</v>
      </c>
      <c r="AD9" s="52">
        <f t="shared" si="17"/>
        <v>140</v>
      </c>
      <c r="AE9" s="52">
        <f t="shared" si="18"/>
        <v>3</v>
      </c>
      <c r="AF9" s="53" t="str">
        <f t="shared" si="19"/>
        <v>6--1</v>
      </c>
      <c r="AG9" s="52">
        <f t="shared" si="20"/>
        <v>145</v>
      </c>
      <c r="AH9" s="52">
        <f t="shared" si="21"/>
        <v>18</v>
      </c>
      <c r="AI9" s="52" t="str">
        <f t="shared" si="22"/>
        <v>6--2</v>
      </c>
      <c r="AJ9" s="52">
        <f t="shared" si="23"/>
        <v>185</v>
      </c>
      <c r="AK9" s="52">
        <f t="shared" si="24"/>
        <v>17</v>
      </c>
      <c r="AL9" s="56" t="str">
        <f t="shared" si="25"/>
        <v>6--3</v>
      </c>
      <c r="AM9" s="52">
        <f t="shared" si="26"/>
        <v>135</v>
      </c>
      <c r="AN9" s="52">
        <f t="shared" si="27"/>
        <v>10</v>
      </c>
      <c r="AP9" s="7" t="s">
        <v>80</v>
      </c>
      <c r="AQ9" s="50">
        <v>7</v>
      </c>
      <c r="AR9" s="33">
        <v>220</v>
      </c>
      <c r="AS9" s="78" t="s">
        <v>190</v>
      </c>
      <c r="AT9" s="50">
        <v>7</v>
      </c>
      <c r="AU9" s="33">
        <v>150</v>
      </c>
      <c r="AV9" s="78" t="s">
        <v>193</v>
      </c>
      <c r="AW9" s="50">
        <v>7</v>
      </c>
      <c r="AX9" s="33">
        <v>270</v>
      </c>
      <c r="AZ9" s="74">
        <v>6</v>
      </c>
      <c r="BA9" s="75">
        <v>210</v>
      </c>
      <c r="BB9" s="75">
        <v>0.4</v>
      </c>
      <c r="BC9" s="76">
        <v>10</v>
      </c>
      <c r="BD9" s="54" t="s">
        <v>190</v>
      </c>
      <c r="BE9" s="75"/>
      <c r="BF9" s="76"/>
      <c r="BG9" s="75"/>
      <c r="BH9" s="75"/>
      <c r="BI9" s="76"/>
      <c r="BJ9" s="75"/>
      <c r="BK9" s="75"/>
      <c r="BL9" s="76"/>
      <c r="BM9" s="54"/>
      <c r="BN9" s="75"/>
      <c r="BO9" s="76"/>
      <c r="BP9" s="75"/>
      <c r="BQ9" s="75"/>
      <c r="BR9" s="76"/>
      <c r="BS9" s="75"/>
      <c r="BT9" s="75"/>
      <c r="BU9" s="76"/>
      <c r="BV9" s="75"/>
      <c r="BW9" s="75"/>
      <c r="BX9" s="76"/>
      <c r="BY9" s="75"/>
      <c r="BZ9" s="75"/>
      <c r="CA9" s="76"/>
      <c r="CB9" s="75"/>
      <c r="CC9" s="75"/>
      <c r="CD9" s="77"/>
    </row>
    <row r="10" spans="2:82" x14ac:dyDescent="0.4">
      <c r="B10" s="3">
        <v>8</v>
      </c>
      <c r="C10" s="6">
        <v>1</v>
      </c>
      <c r="D10" s="6">
        <v>1</v>
      </c>
      <c r="E10" s="18">
        <v>1</v>
      </c>
      <c r="F10" s="6">
        <v>2</v>
      </c>
      <c r="G10" s="6">
        <v>222.75</v>
      </c>
      <c r="H10" s="6">
        <f t="shared" si="28"/>
        <v>100.23168016933771</v>
      </c>
      <c r="I10" s="33">
        <f t="shared" si="29"/>
        <v>9</v>
      </c>
      <c r="J10" s="54">
        <v>7</v>
      </c>
      <c r="K10" s="75">
        <f t="shared" si="1"/>
        <v>148.5</v>
      </c>
      <c r="L10" s="75">
        <f t="shared" si="2"/>
        <v>0.5</v>
      </c>
      <c r="M10" s="76">
        <f t="shared" si="3"/>
        <v>10</v>
      </c>
      <c r="N10" s="76" t="s">
        <v>94</v>
      </c>
      <c r="O10" s="52">
        <f t="shared" si="4"/>
        <v>175</v>
      </c>
      <c r="P10" s="52">
        <f t="shared" si="5"/>
        <v>22</v>
      </c>
      <c r="Q10" s="52" t="s">
        <v>76</v>
      </c>
      <c r="R10" s="52">
        <f t="shared" si="6"/>
        <v>230</v>
      </c>
      <c r="S10" s="52">
        <f t="shared" si="7"/>
        <v>14</v>
      </c>
      <c r="T10" s="52" t="s">
        <v>84</v>
      </c>
      <c r="U10" s="52">
        <f t="shared" si="8"/>
        <v>245</v>
      </c>
      <c r="V10" s="52">
        <f t="shared" si="9"/>
        <v>19</v>
      </c>
      <c r="W10" s="53" t="str">
        <f t="shared" si="10"/>
        <v>7--1</v>
      </c>
      <c r="X10" s="52">
        <f t="shared" si="11"/>
        <v>210</v>
      </c>
      <c r="Y10" s="52">
        <f t="shared" si="12"/>
        <v>8</v>
      </c>
      <c r="Z10" s="52" t="str">
        <f t="shared" si="13"/>
        <v>7--2</v>
      </c>
      <c r="AA10" s="52">
        <f t="shared" si="14"/>
        <v>210</v>
      </c>
      <c r="AB10" s="52">
        <f t="shared" si="15"/>
        <v>13</v>
      </c>
      <c r="AC10" s="56" t="str">
        <f t="shared" si="16"/>
        <v>7--3</v>
      </c>
      <c r="AD10" s="52">
        <f t="shared" si="17"/>
        <v>210</v>
      </c>
      <c r="AE10" s="52">
        <f t="shared" si="18"/>
        <v>5</v>
      </c>
      <c r="AF10" s="53" t="str">
        <f t="shared" si="19"/>
        <v>7--1</v>
      </c>
      <c r="AG10" s="52">
        <f t="shared" si="20"/>
        <v>230</v>
      </c>
      <c r="AH10" s="52">
        <f t="shared" si="21"/>
        <v>9</v>
      </c>
      <c r="AI10" s="52" t="str">
        <f t="shared" si="22"/>
        <v>7--2</v>
      </c>
      <c r="AJ10" s="52">
        <f t="shared" si="23"/>
        <v>245</v>
      </c>
      <c r="AK10" s="52">
        <f t="shared" si="24"/>
        <v>13</v>
      </c>
      <c r="AL10" s="56" t="str">
        <f t="shared" si="25"/>
        <v>7--3</v>
      </c>
      <c r="AM10" s="52">
        <f t="shared" si="26"/>
        <v>275</v>
      </c>
      <c r="AN10" s="52">
        <f t="shared" si="27"/>
        <v>19</v>
      </c>
      <c r="AP10" s="7" t="s">
        <v>75</v>
      </c>
      <c r="AQ10" s="50">
        <v>8</v>
      </c>
      <c r="AR10" s="33">
        <v>200</v>
      </c>
      <c r="AS10" s="78" t="s">
        <v>214</v>
      </c>
      <c r="AT10" s="50">
        <v>8</v>
      </c>
      <c r="AU10" s="33">
        <v>210</v>
      </c>
      <c r="AV10" s="78" t="s">
        <v>217</v>
      </c>
      <c r="AW10" s="50">
        <v>8</v>
      </c>
      <c r="AX10" s="33">
        <v>205</v>
      </c>
      <c r="AZ10" s="74">
        <v>7</v>
      </c>
      <c r="BA10" s="75">
        <v>148.5</v>
      </c>
      <c r="BB10" s="75">
        <v>0.5</v>
      </c>
      <c r="BC10" s="76">
        <v>10</v>
      </c>
      <c r="BD10" s="54" t="s">
        <v>214</v>
      </c>
      <c r="BE10" s="75"/>
      <c r="BF10" s="76"/>
      <c r="BG10" s="75"/>
      <c r="BH10" s="75"/>
      <c r="BI10" s="76"/>
      <c r="BJ10" s="75"/>
      <c r="BK10" s="75"/>
      <c r="BL10" s="76"/>
      <c r="BM10" s="54"/>
      <c r="BN10" s="75"/>
      <c r="BO10" s="76"/>
      <c r="BP10" s="75"/>
      <c r="BQ10" s="75"/>
      <c r="BR10" s="76"/>
      <c r="BS10" s="75"/>
      <c r="BT10" s="75"/>
      <c r="BU10" s="76"/>
      <c r="BV10" s="75"/>
      <c r="BW10" s="75"/>
      <c r="BX10" s="76"/>
      <c r="BY10" s="75"/>
      <c r="BZ10" s="75"/>
      <c r="CA10" s="76"/>
      <c r="CB10" s="75"/>
      <c r="CC10" s="75"/>
      <c r="CD10" s="77"/>
    </row>
    <row r="11" spans="2:82" ht="17.5" thickBot="1" x14ac:dyDescent="0.45">
      <c r="B11" s="3">
        <v>9</v>
      </c>
      <c r="C11" s="6">
        <f>-SQRT(2)</f>
        <v>-1.4142135623730951</v>
      </c>
      <c r="D11" s="6">
        <v>0</v>
      </c>
      <c r="E11" s="18">
        <v>0</v>
      </c>
      <c r="F11" s="6">
        <v>3</v>
      </c>
      <c r="G11" s="6">
        <f>K14</f>
        <v>179.25</v>
      </c>
      <c r="H11" s="6">
        <f t="shared" si="28"/>
        <v>67.987610947231147</v>
      </c>
      <c r="I11" s="33">
        <f t="shared" si="29"/>
        <v>9</v>
      </c>
      <c r="J11" s="87">
        <v>8</v>
      </c>
      <c r="K11" s="29">
        <f t="shared" si="1"/>
        <v>210</v>
      </c>
      <c r="L11" s="29">
        <f t="shared" si="2"/>
        <v>0.5</v>
      </c>
      <c r="M11" s="83">
        <f t="shared" si="3"/>
        <v>10</v>
      </c>
      <c r="N11" s="83" t="s">
        <v>83</v>
      </c>
      <c r="O11" s="88">
        <f t="shared" si="4"/>
        <v>180</v>
      </c>
      <c r="P11" s="88">
        <f t="shared" si="5"/>
        <v>1</v>
      </c>
      <c r="Q11" s="88" t="s">
        <v>73</v>
      </c>
      <c r="R11" s="88">
        <f t="shared" si="6"/>
        <v>200</v>
      </c>
      <c r="S11" s="88">
        <f t="shared" si="7"/>
        <v>5</v>
      </c>
      <c r="T11" s="88" t="s">
        <v>75</v>
      </c>
      <c r="U11" s="88">
        <f t="shared" si="8"/>
        <v>200</v>
      </c>
      <c r="V11" s="88">
        <f t="shared" si="9"/>
        <v>8</v>
      </c>
      <c r="W11" s="28" t="str">
        <f t="shared" si="10"/>
        <v>8--1</v>
      </c>
      <c r="X11" s="88">
        <f t="shared" si="11"/>
        <v>175</v>
      </c>
      <c r="Y11" s="88">
        <f t="shared" si="12"/>
        <v>20</v>
      </c>
      <c r="Z11" s="88" t="str">
        <f t="shared" si="13"/>
        <v>8--2</v>
      </c>
      <c r="AA11" s="88">
        <f t="shared" si="14"/>
        <v>250</v>
      </c>
      <c r="AB11" s="88">
        <f t="shared" si="15"/>
        <v>15</v>
      </c>
      <c r="AC11" s="89" t="str">
        <f t="shared" si="16"/>
        <v>8--3</v>
      </c>
      <c r="AD11" s="88">
        <f t="shared" si="17"/>
        <v>175</v>
      </c>
      <c r="AE11" s="88">
        <f t="shared" si="18"/>
        <v>22</v>
      </c>
      <c r="AF11" s="28" t="str">
        <f t="shared" si="19"/>
        <v>8--1</v>
      </c>
      <c r="AG11" s="88">
        <f t="shared" si="20"/>
        <v>205</v>
      </c>
      <c r="AH11" s="88">
        <f t="shared" si="21"/>
        <v>8</v>
      </c>
      <c r="AI11" s="88" t="str">
        <f t="shared" si="22"/>
        <v>8--2</v>
      </c>
      <c r="AJ11" s="88">
        <f t="shared" si="23"/>
        <v>205</v>
      </c>
      <c r="AK11" s="88">
        <f t="shared" si="24"/>
        <v>14</v>
      </c>
      <c r="AL11" s="89" t="str">
        <f t="shared" si="25"/>
        <v>8--3</v>
      </c>
      <c r="AM11" s="88">
        <f t="shared" si="26"/>
        <v>205</v>
      </c>
      <c r="AN11" s="88">
        <f t="shared" si="27"/>
        <v>1</v>
      </c>
      <c r="AP11" s="55" t="s">
        <v>93</v>
      </c>
      <c r="AQ11" s="50">
        <v>9</v>
      </c>
      <c r="AR11" s="33">
        <v>150</v>
      </c>
      <c r="AS11" s="78" t="s">
        <v>213</v>
      </c>
      <c r="AT11" s="50">
        <v>9</v>
      </c>
      <c r="AU11" s="33">
        <v>155</v>
      </c>
      <c r="AV11" s="7" t="s">
        <v>94</v>
      </c>
      <c r="AW11" s="50">
        <v>9</v>
      </c>
      <c r="AX11" s="33">
        <v>230</v>
      </c>
      <c r="AZ11" s="19">
        <v>8</v>
      </c>
      <c r="BA11" s="20">
        <v>210</v>
      </c>
      <c r="BB11" s="20">
        <v>0.5</v>
      </c>
      <c r="BC11" s="49">
        <v>10</v>
      </c>
      <c r="BD11" s="8" t="s">
        <v>217</v>
      </c>
      <c r="BE11" s="20"/>
      <c r="BF11" s="49"/>
      <c r="BG11" s="20"/>
      <c r="BH11" s="20"/>
      <c r="BI11" s="49"/>
      <c r="BJ11" s="20"/>
      <c r="BK11" s="20"/>
      <c r="BL11" s="49"/>
      <c r="BM11" s="8"/>
      <c r="BN11" s="20"/>
      <c r="BO11" s="49"/>
      <c r="BP11" s="20"/>
      <c r="BQ11" s="20"/>
      <c r="BR11" s="49"/>
      <c r="BS11" s="20"/>
      <c r="BT11" s="20"/>
      <c r="BU11" s="49"/>
      <c r="BV11" s="20"/>
      <c r="BW11" s="20"/>
      <c r="BX11" s="49"/>
      <c r="BY11" s="20"/>
      <c r="BZ11" s="20"/>
      <c r="CA11" s="49"/>
      <c r="CB11" s="20"/>
      <c r="CC11" s="20"/>
      <c r="CD11" s="21"/>
    </row>
    <row r="12" spans="2:82" x14ac:dyDescent="0.4">
      <c r="B12" s="3">
        <v>10</v>
      </c>
      <c r="C12" s="6">
        <f>SQRT(2)</f>
        <v>1.4142135623730951</v>
      </c>
      <c r="D12" s="6">
        <v>0</v>
      </c>
      <c r="E12" s="18">
        <v>0</v>
      </c>
      <c r="F12" s="6">
        <v>4</v>
      </c>
      <c r="G12" s="6">
        <f>K15</f>
        <v>179.25</v>
      </c>
      <c r="H12" s="6">
        <f t="shared" si="28"/>
        <v>93.33738905276887</v>
      </c>
      <c r="I12" s="33">
        <f t="shared" si="29"/>
        <v>9</v>
      </c>
      <c r="J12" s="72">
        <v>9</v>
      </c>
      <c r="K12" s="46">
        <f t="shared" si="1"/>
        <v>135.76293295702732</v>
      </c>
      <c r="L12" s="46">
        <f t="shared" si="2"/>
        <v>0.45</v>
      </c>
      <c r="M12" s="47">
        <f t="shared" si="3"/>
        <v>9</v>
      </c>
      <c r="N12" s="47" t="s">
        <v>176</v>
      </c>
      <c r="O12" s="84">
        <f t="shared" si="4"/>
        <v>355</v>
      </c>
      <c r="P12" s="84">
        <f t="shared" si="5"/>
        <v>37</v>
      </c>
      <c r="Q12" s="84" t="s">
        <v>181</v>
      </c>
      <c r="R12" s="84">
        <f t="shared" si="6"/>
        <v>280</v>
      </c>
      <c r="S12" s="84">
        <f t="shared" si="7"/>
        <v>31</v>
      </c>
      <c r="T12" s="84" t="s">
        <v>173</v>
      </c>
      <c r="U12" s="84">
        <f t="shared" si="8"/>
        <v>395</v>
      </c>
      <c r="V12" s="84">
        <f t="shared" si="9"/>
        <v>35</v>
      </c>
      <c r="W12" s="85" t="str">
        <f t="shared" si="10"/>
        <v>9--1</v>
      </c>
      <c r="X12" s="84">
        <f t="shared" si="11"/>
        <v>390</v>
      </c>
      <c r="Y12" s="84">
        <f t="shared" si="12"/>
        <v>45</v>
      </c>
      <c r="Z12" s="84" t="str">
        <f t="shared" si="13"/>
        <v>9--2</v>
      </c>
      <c r="AA12" s="84">
        <f t="shared" si="14"/>
        <v>350</v>
      </c>
      <c r="AB12" s="84">
        <f t="shared" si="15"/>
        <v>29</v>
      </c>
      <c r="AC12" s="86" t="str">
        <f t="shared" si="16"/>
        <v>9--3</v>
      </c>
      <c r="AD12" s="84">
        <f t="shared" si="17"/>
        <v>405</v>
      </c>
      <c r="AE12" s="84">
        <f t="shared" si="18"/>
        <v>39</v>
      </c>
      <c r="AF12" s="85" t="str">
        <f t="shared" si="19"/>
        <v>9--1</v>
      </c>
      <c r="AG12" s="84">
        <f t="shared" si="20"/>
        <v>300</v>
      </c>
      <c r="AH12" s="84">
        <f t="shared" si="21"/>
        <v>31</v>
      </c>
      <c r="AI12" s="84" t="str">
        <f t="shared" si="22"/>
        <v>9--2</v>
      </c>
      <c r="AJ12" s="84">
        <f t="shared" si="23"/>
        <v>350</v>
      </c>
      <c r="AK12" s="84">
        <f t="shared" si="24"/>
        <v>43</v>
      </c>
      <c r="AL12" s="86" t="str">
        <f t="shared" si="25"/>
        <v>9--3</v>
      </c>
      <c r="AM12" s="84">
        <f t="shared" si="26"/>
        <v>355</v>
      </c>
      <c r="AN12" s="84">
        <f t="shared" si="27"/>
        <v>39</v>
      </c>
      <c r="AP12" s="7" t="s">
        <v>85</v>
      </c>
      <c r="AQ12" s="50">
        <v>10</v>
      </c>
      <c r="AR12" s="33">
        <v>280</v>
      </c>
      <c r="AS12" s="7" t="s">
        <v>92</v>
      </c>
      <c r="AT12" s="50">
        <v>10</v>
      </c>
      <c r="AU12" s="33">
        <v>290</v>
      </c>
      <c r="AV12" s="78" t="s">
        <v>191</v>
      </c>
      <c r="AW12" s="50">
        <v>10</v>
      </c>
      <c r="AX12" s="33">
        <v>135</v>
      </c>
      <c r="AZ12">
        <v>9</v>
      </c>
      <c r="BA12">
        <v>135.76293295702732</v>
      </c>
      <c r="BB12">
        <v>0.45</v>
      </c>
      <c r="BC12" s="33">
        <v>9</v>
      </c>
      <c r="BD12" s="7" t="s">
        <v>219</v>
      </c>
      <c r="BE12" s="6"/>
      <c r="BF12" s="33"/>
      <c r="BG12" s="6"/>
      <c r="BH12" s="6"/>
      <c r="BI12" s="33"/>
      <c r="BJ12" s="6"/>
      <c r="BK12" s="6"/>
      <c r="BL12" s="33"/>
      <c r="BM12" s="7"/>
      <c r="BN12" s="6"/>
      <c r="BO12" s="33"/>
      <c r="BP12" s="6"/>
      <c r="BQ12" s="6"/>
      <c r="BR12" s="33"/>
      <c r="BS12" s="6"/>
      <c r="BT12" s="6"/>
      <c r="BU12" s="33"/>
      <c r="BX12" s="33"/>
      <c r="CA12" s="33"/>
    </row>
    <row r="13" spans="2:82" x14ac:dyDescent="0.4">
      <c r="B13" s="3">
        <v>11</v>
      </c>
      <c r="C13" s="6">
        <v>0</v>
      </c>
      <c r="D13" s="6">
        <f>-SQRT(2)</f>
        <v>-1.4142135623730951</v>
      </c>
      <c r="E13" s="18">
        <v>0</v>
      </c>
      <c r="F13" s="6">
        <v>5</v>
      </c>
      <c r="G13" s="6">
        <f>K16</f>
        <v>179.25</v>
      </c>
      <c r="H13" s="6">
        <f t="shared" si="28"/>
        <v>80.662500000000009</v>
      </c>
      <c r="I13" s="33">
        <f t="shared" si="29"/>
        <v>7.5857864376269051</v>
      </c>
      <c r="J13" s="54">
        <v>10</v>
      </c>
      <c r="K13" s="75">
        <f t="shared" si="1"/>
        <v>222.73706704297268</v>
      </c>
      <c r="L13" s="75">
        <f t="shared" si="2"/>
        <v>0.45</v>
      </c>
      <c r="M13" s="76">
        <f t="shared" si="3"/>
        <v>9</v>
      </c>
      <c r="N13" s="76" t="s">
        <v>168</v>
      </c>
      <c r="O13" s="52">
        <f t="shared" si="4"/>
        <v>220</v>
      </c>
      <c r="P13" s="52">
        <f t="shared" si="5"/>
        <v>26</v>
      </c>
      <c r="Q13" s="52" t="s">
        <v>182</v>
      </c>
      <c r="R13" s="52">
        <f t="shared" si="6"/>
        <v>240</v>
      </c>
      <c r="S13" s="52">
        <f t="shared" si="7"/>
        <v>38</v>
      </c>
      <c r="T13" s="52" t="s">
        <v>185</v>
      </c>
      <c r="U13" s="52">
        <f t="shared" si="8"/>
        <v>225</v>
      </c>
      <c r="V13" s="52">
        <f t="shared" si="9"/>
        <v>25</v>
      </c>
      <c r="W13" s="53" t="str">
        <f t="shared" si="10"/>
        <v>10--1</v>
      </c>
      <c r="X13" s="52">
        <f t="shared" si="11"/>
        <v>300</v>
      </c>
      <c r="Y13" s="52">
        <f t="shared" si="12"/>
        <v>44</v>
      </c>
      <c r="Z13" s="52" t="str">
        <f t="shared" si="13"/>
        <v>10--2</v>
      </c>
      <c r="AA13" s="52">
        <f t="shared" si="14"/>
        <v>230</v>
      </c>
      <c r="AB13" s="52">
        <f t="shared" si="15"/>
        <v>40</v>
      </c>
      <c r="AC13" s="56" t="str">
        <f t="shared" si="16"/>
        <v>10--3</v>
      </c>
      <c r="AD13" s="52">
        <f t="shared" si="17"/>
        <v>200</v>
      </c>
      <c r="AE13" s="52">
        <f t="shared" si="18"/>
        <v>42</v>
      </c>
      <c r="AF13" s="53" t="str">
        <f t="shared" si="19"/>
        <v>10--1</v>
      </c>
      <c r="AG13" s="52">
        <f t="shared" si="20"/>
        <v>200</v>
      </c>
      <c r="AH13" s="52">
        <f t="shared" si="21"/>
        <v>26</v>
      </c>
      <c r="AI13" s="52" t="str">
        <f t="shared" si="22"/>
        <v>10--2</v>
      </c>
      <c r="AJ13" s="52">
        <f t="shared" si="23"/>
        <v>310</v>
      </c>
      <c r="AK13" s="52">
        <f t="shared" si="24"/>
        <v>42</v>
      </c>
      <c r="AL13" s="56" t="str">
        <f t="shared" si="25"/>
        <v>10--3</v>
      </c>
      <c r="AM13" s="52">
        <f t="shared" si="26"/>
        <v>215</v>
      </c>
      <c r="AN13" s="52">
        <f t="shared" si="27"/>
        <v>33</v>
      </c>
      <c r="AP13" s="7" t="s">
        <v>91</v>
      </c>
      <c r="AQ13" s="50">
        <v>11</v>
      </c>
      <c r="AR13" s="33">
        <v>240</v>
      </c>
      <c r="AS13" s="78" t="s">
        <v>207</v>
      </c>
      <c r="AT13" s="50">
        <v>11</v>
      </c>
      <c r="AU13" s="33">
        <v>165</v>
      </c>
      <c r="AV13" s="78" t="s">
        <v>197</v>
      </c>
      <c r="AW13" s="50">
        <v>11</v>
      </c>
      <c r="AX13" s="33">
        <v>285</v>
      </c>
      <c r="AZ13">
        <v>10</v>
      </c>
      <c r="BA13">
        <v>222.73706704297268</v>
      </c>
      <c r="BB13">
        <v>0.45</v>
      </c>
      <c r="BC13" s="33">
        <v>9</v>
      </c>
      <c r="BD13" s="7" t="s">
        <v>220</v>
      </c>
      <c r="BE13" s="6"/>
      <c r="BF13" s="33"/>
      <c r="BG13" s="6"/>
      <c r="BH13" s="6"/>
      <c r="BI13" s="33"/>
      <c r="BJ13" s="6"/>
      <c r="BK13" s="6"/>
      <c r="BL13" s="33"/>
      <c r="BM13" s="7"/>
      <c r="BN13" s="6"/>
      <c r="BO13" s="33"/>
      <c r="BP13" s="6"/>
      <c r="BQ13" s="6"/>
      <c r="BR13" s="33"/>
      <c r="BS13" s="6"/>
      <c r="BT13" s="6"/>
      <c r="BU13" s="33"/>
      <c r="BX13" s="33"/>
      <c r="CA13" s="33"/>
    </row>
    <row r="14" spans="2:82" x14ac:dyDescent="0.4">
      <c r="B14" s="3">
        <v>12</v>
      </c>
      <c r="C14" s="6">
        <v>0</v>
      </c>
      <c r="D14" s="6">
        <f>SQRT(2)</f>
        <v>1.4142135623730951</v>
      </c>
      <c r="E14" s="18">
        <v>0</v>
      </c>
      <c r="F14" s="6">
        <v>6</v>
      </c>
      <c r="G14" s="6">
        <f>K17</f>
        <v>179.25</v>
      </c>
      <c r="H14" s="6">
        <f t="shared" si="28"/>
        <v>80.662500000000009</v>
      </c>
      <c r="I14" s="33">
        <f t="shared" si="29"/>
        <v>10.414213562373096</v>
      </c>
      <c r="J14" s="54">
        <v>11</v>
      </c>
      <c r="K14" s="75">
        <f t="shared" si="1"/>
        <v>179.25</v>
      </c>
      <c r="L14" s="75">
        <f t="shared" si="2"/>
        <v>0.37928932188134529</v>
      </c>
      <c r="M14" s="76">
        <f t="shared" si="3"/>
        <v>9</v>
      </c>
      <c r="N14" s="76" t="s">
        <v>177</v>
      </c>
      <c r="O14" s="52">
        <f t="shared" si="4"/>
        <v>330</v>
      </c>
      <c r="P14" s="52">
        <f t="shared" si="5"/>
        <v>32</v>
      </c>
      <c r="Q14" s="52" t="s">
        <v>174</v>
      </c>
      <c r="R14" s="52">
        <f t="shared" si="6"/>
        <v>345</v>
      </c>
      <c r="S14" s="52">
        <f t="shared" si="7"/>
        <v>36</v>
      </c>
      <c r="T14" s="52" t="s">
        <v>186</v>
      </c>
      <c r="U14" s="52">
        <f t="shared" si="8"/>
        <v>370</v>
      </c>
      <c r="V14" s="52">
        <f t="shared" si="9"/>
        <v>45</v>
      </c>
      <c r="W14" s="53" t="str">
        <f t="shared" si="10"/>
        <v>11--1</v>
      </c>
      <c r="X14" s="52">
        <f t="shared" si="11"/>
        <v>350</v>
      </c>
      <c r="Y14" s="52">
        <f t="shared" si="12"/>
        <v>38</v>
      </c>
      <c r="Z14" s="52" t="str">
        <f t="shared" si="13"/>
        <v>11--2</v>
      </c>
      <c r="AA14" s="52">
        <f t="shared" si="14"/>
        <v>370</v>
      </c>
      <c r="AB14" s="52">
        <f t="shared" si="15"/>
        <v>27</v>
      </c>
      <c r="AC14" s="56" t="str">
        <f t="shared" si="16"/>
        <v>11--3</v>
      </c>
      <c r="AD14" s="52">
        <f t="shared" si="17"/>
        <v>385</v>
      </c>
      <c r="AE14" s="52">
        <f t="shared" si="18"/>
        <v>35</v>
      </c>
      <c r="AF14" s="53" t="str">
        <f t="shared" si="19"/>
        <v>11--1</v>
      </c>
      <c r="AG14" s="52">
        <f t="shared" si="20"/>
        <v>410</v>
      </c>
      <c r="AH14" s="52">
        <f t="shared" si="21"/>
        <v>37</v>
      </c>
      <c r="AI14" s="52" t="str">
        <f t="shared" si="22"/>
        <v>11--2</v>
      </c>
      <c r="AJ14" s="52">
        <f t="shared" si="23"/>
        <v>410</v>
      </c>
      <c r="AK14" s="52">
        <f t="shared" si="24"/>
        <v>30</v>
      </c>
      <c r="AL14" s="56" t="str">
        <f t="shared" si="25"/>
        <v>11--3</v>
      </c>
      <c r="AM14" s="52">
        <f t="shared" si="26"/>
        <v>400</v>
      </c>
      <c r="AN14" s="52">
        <f t="shared" si="27"/>
        <v>44</v>
      </c>
      <c r="AP14" s="7" t="s">
        <v>79</v>
      </c>
      <c r="AQ14" s="50">
        <v>12</v>
      </c>
      <c r="AR14" s="33">
        <v>150</v>
      </c>
      <c r="AS14" s="7" t="s">
        <v>77</v>
      </c>
      <c r="AT14" s="50">
        <v>12</v>
      </c>
      <c r="AU14" s="33">
        <v>170</v>
      </c>
      <c r="AV14" s="78" t="s">
        <v>194</v>
      </c>
      <c r="AW14" s="50">
        <v>12</v>
      </c>
      <c r="AX14" s="33">
        <v>385</v>
      </c>
      <c r="AZ14">
        <v>11</v>
      </c>
      <c r="BA14">
        <v>179.25</v>
      </c>
      <c r="BB14">
        <v>0.37928932188134529</v>
      </c>
      <c r="BC14" s="33">
        <v>9</v>
      </c>
      <c r="BD14" s="7" t="s">
        <v>189</v>
      </c>
      <c r="BE14" s="6"/>
      <c r="BF14" s="33"/>
      <c r="BG14" s="6"/>
      <c r="BH14" s="6"/>
      <c r="BI14" s="33"/>
      <c r="BJ14" s="6"/>
      <c r="BK14" s="6"/>
      <c r="BL14" s="33"/>
      <c r="BM14" s="7"/>
      <c r="BN14" s="6"/>
      <c r="BO14" s="33"/>
      <c r="BP14" s="6"/>
      <c r="BQ14" s="6"/>
      <c r="BR14" s="33"/>
      <c r="BS14" s="6"/>
      <c r="BT14" s="6"/>
      <c r="BU14" s="33"/>
      <c r="BX14" s="33"/>
      <c r="CA14" s="33"/>
    </row>
    <row r="15" spans="2:82" x14ac:dyDescent="0.4">
      <c r="B15" s="3">
        <v>13</v>
      </c>
      <c r="C15" s="6">
        <v>0</v>
      </c>
      <c r="D15" s="6">
        <v>0</v>
      </c>
      <c r="E15" s="18">
        <f>-SQRT(2)</f>
        <v>-1.4142135623730951</v>
      </c>
      <c r="F15" s="46">
        <v>7</v>
      </c>
      <c r="G15" s="46">
        <f>K18</f>
        <v>179.25</v>
      </c>
      <c r="H15" s="46">
        <f t="shared" si="28"/>
        <v>80.662500000000009</v>
      </c>
      <c r="I15" s="47">
        <f t="shared" si="29"/>
        <v>9</v>
      </c>
      <c r="J15" s="54">
        <v>12</v>
      </c>
      <c r="K15" s="75">
        <f t="shared" si="1"/>
        <v>179.25</v>
      </c>
      <c r="L15" s="75">
        <f t="shared" si="2"/>
        <v>0.52071067811865479</v>
      </c>
      <c r="M15" s="76">
        <f t="shared" si="3"/>
        <v>9</v>
      </c>
      <c r="N15" s="76" t="s">
        <v>178</v>
      </c>
      <c r="O15" s="52">
        <f t="shared" si="4"/>
        <v>220</v>
      </c>
      <c r="P15" s="52">
        <f t="shared" si="5"/>
        <v>42</v>
      </c>
      <c r="Q15" s="52" t="s">
        <v>183</v>
      </c>
      <c r="R15" s="52">
        <f t="shared" si="6"/>
        <v>240</v>
      </c>
      <c r="S15" s="52">
        <f t="shared" si="7"/>
        <v>34</v>
      </c>
      <c r="T15" s="52" t="s">
        <v>172</v>
      </c>
      <c r="U15" s="52">
        <f t="shared" si="8"/>
        <v>260</v>
      </c>
      <c r="V15" s="52">
        <f t="shared" si="9"/>
        <v>30</v>
      </c>
      <c r="W15" s="53" t="str">
        <f t="shared" si="10"/>
        <v>12--1</v>
      </c>
      <c r="X15" s="52">
        <f t="shared" si="11"/>
        <v>215</v>
      </c>
      <c r="Y15" s="52">
        <f t="shared" si="12"/>
        <v>37</v>
      </c>
      <c r="Z15" s="52" t="str">
        <f t="shared" si="13"/>
        <v>12--2</v>
      </c>
      <c r="AA15" s="52">
        <f t="shared" si="14"/>
        <v>230</v>
      </c>
      <c r="AB15" s="52">
        <f t="shared" si="15"/>
        <v>31</v>
      </c>
      <c r="AC15" s="56" t="str">
        <f t="shared" si="16"/>
        <v>12--3</v>
      </c>
      <c r="AD15" s="52">
        <f t="shared" si="17"/>
        <v>285</v>
      </c>
      <c r="AE15" s="52">
        <f t="shared" si="18"/>
        <v>30</v>
      </c>
      <c r="AF15" s="53" t="str">
        <f t="shared" si="19"/>
        <v>12--1</v>
      </c>
      <c r="AG15" s="52">
        <f t="shared" si="20"/>
        <v>215</v>
      </c>
      <c r="AH15" s="52">
        <f t="shared" si="21"/>
        <v>29</v>
      </c>
      <c r="AI15" s="52" t="str">
        <f t="shared" si="22"/>
        <v>12--2</v>
      </c>
      <c r="AJ15" s="52">
        <f t="shared" si="23"/>
        <v>275</v>
      </c>
      <c r="AK15" s="52">
        <f t="shared" si="24"/>
        <v>45</v>
      </c>
      <c r="AL15" s="56" t="str">
        <f t="shared" si="25"/>
        <v>12--3</v>
      </c>
      <c r="AM15" s="52">
        <f t="shared" si="26"/>
        <v>270</v>
      </c>
      <c r="AN15" s="52">
        <f t="shared" si="27"/>
        <v>36</v>
      </c>
      <c r="AP15" s="79" t="s">
        <v>193</v>
      </c>
      <c r="AQ15" s="50">
        <v>13</v>
      </c>
      <c r="AR15" s="33">
        <v>230</v>
      </c>
      <c r="AS15" s="79" t="s">
        <v>215</v>
      </c>
      <c r="AT15" s="50">
        <v>13</v>
      </c>
      <c r="AU15" s="33">
        <v>210</v>
      </c>
      <c r="AV15" s="7" t="s">
        <v>76</v>
      </c>
      <c r="AW15" s="50">
        <v>13</v>
      </c>
      <c r="AX15" s="33">
        <v>245</v>
      </c>
      <c r="AZ15">
        <v>12</v>
      </c>
      <c r="BA15">
        <v>179.25</v>
      </c>
      <c r="BB15">
        <v>0.52071067811865479</v>
      </c>
      <c r="BC15" s="33">
        <v>9</v>
      </c>
      <c r="BD15" s="7" t="s">
        <v>221</v>
      </c>
      <c r="BE15" s="6"/>
      <c r="BF15" s="33"/>
      <c r="BG15" s="6"/>
      <c r="BH15" s="6"/>
      <c r="BI15" s="33"/>
      <c r="BJ15" s="6"/>
      <c r="BK15" s="6"/>
      <c r="BL15" s="33"/>
      <c r="BM15" s="7"/>
      <c r="BN15" s="6"/>
      <c r="BO15" s="33"/>
      <c r="BP15" s="6"/>
      <c r="BQ15" s="6"/>
      <c r="BR15" s="33"/>
      <c r="BS15" s="6"/>
      <c r="BT15" s="6"/>
      <c r="BU15" s="33"/>
      <c r="BX15" s="33"/>
      <c r="CA15" s="33"/>
    </row>
    <row r="16" spans="2:82" x14ac:dyDescent="0.4">
      <c r="B16" s="3">
        <v>14</v>
      </c>
      <c r="C16" s="6">
        <v>0</v>
      </c>
      <c r="D16" s="6">
        <v>0</v>
      </c>
      <c r="E16" s="18">
        <f>SQRT(2)</f>
        <v>1.4142135623730951</v>
      </c>
      <c r="J16" s="75">
        <v>13</v>
      </c>
      <c r="K16" s="75">
        <f t="shared" si="1"/>
        <v>179.25</v>
      </c>
      <c r="L16" s="75">
        <f t="shared" si="2"/>
        <v>0.45</v>
      </c>
      <c r="M16" s="76">
        <f t="shared" si="3"/>
        <v>7.5857864376269051</v>
      </c>
      <c r="N16" s="76" t="s">
        <v>171</v>
      </c>
      <c r="O16" s="52">
        <f t="shared" si="4"/>
        <v>220</v>
      </c>
      <c r="P16" s="52">
        <f t="shared" si="5"/>
        <v>29</v>
      </c>
      <c r="Q16" s="52" t="s">
        <v>170</v>
      </c>
      <c r="R16" s="52">
        <f t="shared" si="6"/>
        <v>255</v>
      </c>
      <c r="S16" s="52">
        <f t="shared" si="7"/>
        <v>28</v>
      </c>
      <c r="T16" s="52" t="s">
        <v>169</v>
      </c>
      <c r="U16" s="52">
        <f t="shared" si="8"/>
        <v>250</v>
      </c>
      <c r="V16" s="52">
        <f t="shared" si="9"/>
        <v>27</v>
      </c>
      <c r="W16" s="53" t="str">
        <f t="shared" si="10"/>
        <v>13--1</v>
      </c>
      <c r="X16" s="52">
        <f t="shared" si="11"/>
        <v>210</v>
      </c>
      <c r="Y16" s="52">
        <f t="shared" si="12"/>
        <v>33</v>
      </c>
      <c r="Z16" s="52" t="str">
        <f t="shared" si="13"/>
        <v>13--2</v>
      </c>
      <c r="AA16" s="52">
        <f t="shared" si="14"/>
        <v>245</v>
      </c>
      <c r="AB16" s="52">
        <f t="shared" si="15"/>
        <v>36</v>
      </c>
      <c r="AC16" s="56" t="str">
        <f t="shared" si="16"/>
        <v>13--3</v>
      </c>
      <c r="AD16" s="52">
        <f t="shared" si="17"/>
        <v>215</v>
      </c>
      <c r="AE16" s="52">
        <f t="shared" si="18"/>
        <v>43</v>
      </c>
      <c r="AF16" s="53" t="str">
        <f t="shared" si="19"/>
        <v>13--1</v>
      </c>
      <c r="AG16" s="52">
        <f t="shared" si="20"/>
        <v>230</v>
      </c>
      <c r="AH16" s="52">
        <f t="shared" si="21"/>
        <v>27</v>
      </c>
      <c r="AI16" s="52" t="str">
        <f t="shared" si="22"/>
        <v>13--2</v>
      </c>
      <c r="AJ16" s="52">
        <f t="shared" si="23"/>
        <v>250</v>
      </c>
      <c r="AK16" s="52">
        <f t="shared" si="24"/>
        <v>25</v>
      </c>
      <c r="AL16" s="56" t="str">
        <f t="shared" si="25"/>
        <v>13--3</v>
      </c>
      <c r="AM16" s="52">
        <f t="shared" si="26"/>
        <v>260</v>
      </c>
      <c r="AN16" s="52">
        <f t="shared" si="27"/>
        <v>35</v>
      </c>
      <c r="AP16" s="7" t="s">
        <v>76</v>
      </c>
      <c r="AQ16" s="50">
        <v>14</v>
      </c>
      <c r="AR16" s="33">
        <v>230</v>
      </c>
      <c r="AS16" s="78" t="s">
        <v>198</v>
      </c>
      <c r="AT16" s="50">
        <v>14</v>
      </c>
      <c r="AU16" s="33">
        <v>310</v>
      </c>
      <c r="AV16" s="78" t="s">
        <v>218</v>
      </c>
      <c r="AW16" s="50">
        <v>14</v>
      </c>
      <c r="AX16" s="33">
        <v>205</v>
      </c>
      <c r="AZ16">
        <v>13</v>
      </c>
      <c r="BA16">
        <v>179.25</v>
      </c>
      <c r="BB16">
        <v>0.45</v>
      </c>
      <c r="BC16" s="33">
        <v>7.5857864376269051</v>
      </c>
      <c r="BD16" s="7" t="s">
        <v>222</v>
      </c>
      <c r="BE16" s="6"/>
      <c r="BF16" s="33"/>
      <c r="BG16" s="6"/>
      <c r="BH16" s="6"/>
      <c r="BI16" s="33"/>
      <c r="BJ16" s="6"/>
      <c r="BK16" s="6"/>
      <c r="BL16" s="33"/>
      <c r="BM16" s="7"/>
      <c r="BN16" s="6"/>
      <c r="BO16" s="33"/>
      <c r="BP16" s="6"/>
      <c r="BQ16" s="6"/>
      <c r="BR16" s="33"/>
      <c r="BS16" s="6"/>
      <c r="BT16" s="6"/>
      <c r="BU16" s="33"/>
      <c r="BX16" s="33"/>
      <c r="CA16" s="33"/>
    </row>
    <row r="17" spans="2:79" ht="17.5" thickBot="1" x14ac:dyDescent="0.45">
      <c r="B17" s="4">
        <v>15</v>
      </c>
      <c r="C17" s="20">
        <v>0</v>
      </c>
      <c r="D17" s="20">
        <v>0</v>
      </c>
      <c r="E17" s="21">
        <v>0</v>
      </c>
      <c r="J17" s="75">
        <v>14</v>
      </c>
      <c r="K17" s="75">
        <f t="shared" si="1"/>
        <v>179.25</v>
      </c>
      <c r="L17" s="75">
        <f t="shared" si="2"/>
        <v>0.45</v>
      </c>
      <c r="M17" s="76">
        <f t="shared" si="3"/>
        <v>10.414213562373096</v>
      </c>
      <c r="N17" s="76" t="s">
        <v>179</v>
      </c>
      <c r="O17" s="52">
        <f t="shared" si="4"/>
        <v>205</v>
      </c>
      <c r="P17" s="52">
        <f t="shared" si="5"/>
        <v>44</v>
      </c>
      <c r="Q17" s="52" t="s">
        <v>184</v>
      </c>
      <c r="R17" s="52">
        <f t="shared" si="6"/>
        <v>220</v>
      </c>
      <c r="S17" s="52">
        <f t="shared" si="7"/>
        <v>39</v>
      </c>
      <c r="T17" s="52" t="s">
        <v>187</v>
      </c>
      <c r="U17" s="52">
        <f t="shared" si="8"/>
        <v>195</v>
      </c>
      <c r="V17" s="52">
        <f t="shared" si="9"/>
        <v>41</v>
      </c>
      <c r="W17" s="53" t="str">
        <f t="shared" si="10"/>
        <v>14--1</v>
      </c>
      <c r="X17" s="52">
        <f t="shared" si="11"/>
        <v>255</v>
      </c>
      <c r="Y17" s="52">
        <f t="shared" si="12"/>
        <v>32</v>
      </c>
      <c r="Z17" s="52" t="str">
        <f t="shared" si="13"/>
        <v>14--2</v>
      </c>
      <c r="AA17" s="52">
        <f t="shared" si="14"/>
        <v>285</v>
      </c>
      <c r="AB17" s="52">
        <f t="shared" si="15"/>
        <v>26</v>
      </c>
      <c r="AC17" s="56" t="str">
        <f t="shared" si="16"/>
        <v>14--3</v>
      </c>
      <c r="AD17" s="52">
        <f t="shared" si="17"/>
        <v>195</v>
      </c>
      <c r="AE17" s="52">
        <f t="shared" si="18"/>
        <v>25</v>
      </c>
      <c r="AF17" s="53" t="str">
        <f t="shared" si="19"/>
        <v>14--1</v>
      </c>
      <c r="AG17" s="52">
        <f t="shared" si="20"/>
        <v>250</v>
      </c>
      <c r="AH17" s="52">
        <f t="shared" si="21"/>
        <v>34</v>
      </c>
      <c r="AI17" s="52" t="str">
        <f t="shared" si="22"/>
        <v>14--2</v>
      </c>
      <c r="AJ17" s="52">
        <f t="shared" si="23"/>
        <v>255</v>
      </c>
      <c r="AK17" s="52">
        <f t="shared" si="24"/>
        <v>40</v>
      </c>
      <c r="AL17" s="56" t="str">
        <f t="shared" si="25"/>
        <v>14--3</v>
      </c>
      <c r="AM17" s="52">
        <f t="shared" si="26"/>
        <v>220</v>
      </c>
      <c r="AN17" s="52">
        <f t="shared" si="27"/>
        <v>28</v>
      </c>
      <c r="AP17" s="78" t="s">
        <v>206</v>
      </c>
      <c r="AQ17" s="50">
        <v>15</v>
      </c>
      <c r="AR17" s="33">
        <v>220</v>
      </c>
      <c r="AS17" s="78" t="s">
        <v>218</v>
      </c>
      <c r="AT17" s="50">
        <v>15</v>
      </c>
      <c r="AU17" s="33">
        <v>250</v>
      </c>
      <c r="AV17" s="7" t="s">
        <v>72</v>
      </c>
      <c r="AW17" s="50">
        <v>15</v>
      </c>
      <c r="AX17" s="33">
        <v>230</v>
      </c>
      <c r="AZ17">
        <v>14</v>
      </c>
      <c r="BA17">
        <v>179.25</v>
      </c>
      <c r="BB17">
        <v>0.45</v>
      </c>
      <c r="BC17" s="33">
        <v>10.414213562373096</v>
      </c>
      <c r="BD17" s="7" t="s">
        <v>223</v>
      </c>
      <c r="BE17" s="6"/>
      <c r="BF17" s="33"/>
      <c r="BG17" s="6"/>
      <c r="BH17" s="6"/>
      <c r="BI17" s="33"/>
      <c r="BJ17" s="6"/>
      <c r="BK17" s="6"/>
      <c r="BL17" s="33"/>
      <c r="BM17" s="7"/>
      <c r="BN17" s="6"/>
      <c r="BO17" s="33"/>
      <c r="BP17" s="6"/>
      <c r="BQ17" s="6"/>
      <c r="BR17" s="33"/>
      <c r="BS17" s="6"/>
      <c r="BT17" s="6"/>
      <c r="BU17" s="33"/>
      <c r="BX17" s="33"/>
      <c r="CA17" s="33"/>
    </row>
    <row r="18" spans="2:79" ht="17.5" thickBot="1" x14ac:dyDescent="0.45">
      <c r="J18" s="75">
        <v>15</v>
      </c>
      <c r="K18" s="75">
        <f t="shared" si="1"/>
        <v>179.25</v>
      </c>
      <c r="L18" s="75">
        <f t="shared" si="2"/>
        <v>0.45</v>
      </c>
      <c r="M18" s="76">
        <f t="shared" si="3"/>
        <v>9</v>
      </c>
      <c r="N18" s="83" t="s">
        <v>180</v>
      </c>
      <c r="O18" s="52">
        <f t="shared" si="4"/>
        <v>220</v>
      </c>
      <c r="P18" s="52">
        <f t="shared" si="5"/>
        <v>43</v>
      </c>
      <c r="Q18" s="52" t="s">
        <v>175</v>
      </c>
      <c r="R18" s="52">
        <f t="shared" si="6"/>
        <v>215</v>
      </c>
      <c r="S18" s="52">
        <f t="shared" si="7"/>
        <v>40</v>
      </c>
      <c r="T18" s="52" t="s">
        <v>188</v>
      </c>
      <c r="U18" s="52">
        <f t="shared" si="8"/>
        <v>235</v>
      </c>
      <c r="V18" s="52">
        <f t="shared" si="9"/>
        <v>33</v>
      </c>
      <c r="W18" s="53" t="str">
        <f t="shared" si="10"/>
        <v>15--1</v>
      </c>
      <c r="X18" s="52">
        <f t="shared" si="11"/>
        <v>255</v>
      </c>
      <c r="Y18" s="52">
        <f t="shared" si="12"/>
        <v>28</v>
      </c>
      <c r="Z18" s="52" t="str">
        <f t="shared" si="13"/>
        <v>15--2</v>
      </c>
      <c r="AA18" s="52">
        <f t="shared" si="14"/>
        <v>210</v>
      </c>
      <c r="AB18" s="52">
        <f t="shared" si="15"/>
        <v>41</v>
      </c>
      <c r="AC18" s="56" t="str">
        <f t="shared" si="16"/>
        <v>15--3</v>
      </c>
      <c r="AD18" s="52">
        <f t="shared" si="17"/>
        <v>260</v>
      </c>
      <c r="AE18" s="52">
        <f t="shared" si="18"/>
        <v>34</v>
      </c>
      <c r="AF18" s="53" t="str">
        <f t="shared" si="19"/>
        <v>15--1</v>
      </c>
      <c r="AG18" s="52">
        <f t="shared" si="20"/>
        <v>265</v>
      </c>
      <c r="AH18" s="52">
        <f t="shared" si="21"/>
        <v>41</v>
      </c>
      <c r="AI18" s="52" t="str">
        <f t="shared" si="22"/>
        <v>15--2</v>
      </c>
      <c r="AJ18" s="52">
        <f t="shared" si="23"/>
        <v>245</v>
      </c>
      <c r="AK18" s="52">
        <f t="shared" si="24"/>
        <v>32</v>
      </c>
      <c r="AL18" s="56" t="str">
        <f t="shared" si="25"/>
        <v>15--3</v>
      </c>
      <c r="AM18" s="52">
        <f t="shared" si="26"/>
        <v>225</v>
      </c>
      <c r="AN18" s="52">
        <f t="shared" si="27"/>
        <v>38</v>
      </c>
      <c r="AP18" s="7" t="s">
        <v>71</v>
      </c>
      <c r="AQ18" s="50">
        <v>16</v>
      </c>
      <c r="AR18" s="33">
        <v>140</v>
      </c>
      <c r="AS18" s="7" t="s">
        <v>87</v>
      </c>
      <c r="AT18" s="50">
        <v>16</v>
      </c>
      <c r="AU18" s="33">
        <v>295</v>
      </c>
      <c r="AV18" s="7" t="s">
        <v>74</v>
      </c>
      <c r="AW18" s="50">
        <v>16</v>
      </c>
      <c r="AX18" s="33">
        <v>200</v>
      </c>
      <c r="AZ18">
        <v>15</v>
      </c>
      <c r="BA18">
        <v>179.25</v>
      </c>
      <c r="BB18">
        <v>0.45</v>
      </c>
      <c r="BC18" s="33">
        <v>9</v>
      </c>
      <c r="BD18" s="7" t="s">
        <v>224</v>
      </c>
      <c r="BE18" s="6"/>
      <c r="BF18" s="33"/>
      <c r="BG18" s="6"/>
      <c r="BH18" s="6"/>
      <c r="BI18" s="33"/>
      <c r="BJ18" s="6"/>
      <c r="BK18" s="6"/>
      <c r="BL18" s="33"/>
      <c r="BM18" s="7"/>
      <c r="BN18" s="6"/>
      <c r="BO18" s="33"/>
      <c r="BP18" s="6"/>
      <c r="BQ18" s="6"/>
      <c r="BR18" s="33"/>
      <c r="BS18" s="6"/>
      <c r="BT18" s="6"/>
      <c r="BU18" s="33"/>
      <c r="BX18" s="33"/>
      <c r="CA18" s="33"/>
    </row>
    <row r="19" spans="2:79" x14ac:dyDescent="0.4">
      <c r="AP19" s="7" t="s">
        <v>72</v>
      </c>
      <c r="AQ19" s="50">
        <v>17</v>
      </c>
      <c r="AR19" s="33">
        <v>200</v>
      </c>
      <c r="AS19" s="78" t="s">
        <v>210</v>
      </c>
      <c r="AT19" s="50">
        <v>17</v>
      </c>
      <c r="AU19" s="33">
        <v>195</v>
      </c>
      <c r="AV19" s="78" t="s">
        <v>196</v>
      </c>
      <c r="AW19" s="50">
        <v>17</v>
      </c>
      <c r="AX19" s="33">
        <v>185</v>
      </c>
    </row>
    <row r="20" spans="2:79" x14ac:dyDescent="0.4">
      <c r="AP20" s="7" t="s">
        <v>81</v>
      </c>
      <c r="AQ20" s="50">
        <v>18</v>
      </c>
      <c r="AR20" s="33">
        <v>150</v>
      </c>
      <c r="AS20" s="7" t="s">
        <v>88</v>
      </c>
      <c r="AT20" s="50">
        <v>18</v>
      </c>
      <c r="AU20" s="33">
        <v>285</v>
      </c>
      <c r="AV20" s="7" t="s">
        <v>71</v>
      </c>
      <c r="AW20" s="50">
        <v>18</v>
      </c>
      <c r="AX20" s="33">
        <v>145</v>
      </c>
    </row>
    <row r="21" spans="2:79" x14ac:dyDescent="0.4">
      <c r="O21" s="63" t="s">
        <v>162</v>
      </c>
      <c r="P21" s="63"/>
      <c r="Q21" s="63"/>
      <c r="R21" s="63" t="s">
        <v>163</v>
      </c>
      <c r="S21" s="63"/>
      <c r="T21" s="63"/>
      <c r="U21" s="63" t="s">
        <v>164</v>
      </c>
      <c r="V21" s="63"/>
      <c r="W21" s="63"/>
      <c r="AP21" s="79" t="s">
        <v>216</v>
      </c>
      <c r="AQ21" s="50">
        <v>19</v>
      </c>
      <c r="AR21" s="33">
        <v>245</v>
      </c>
      <c r="AS21" s="78" t="s">
        <v>199</v>
      </c>
      <c r="AT21" s="50">
        <v>19</v>
      </c>
      <c r="AU21" s="33">
        <v>300</v>
      </c>
      <c r="AV21" s="78" t="s">
        <v>216</v>
      </c>
      <c r="AW21" s="50">
        <v>19</v>
      </c>
      <c r="AX21" s="33">
        <v>275</v>
      </c>
    </row>
    <row r="22" spans="2:79" x14ac:dyDescent="0.4">
      <c r="H22" t="s">
        <v>225</v>
      </c>
      <c r="I22" t="s">
        <v>115</v>
      </c>
      <c r="J22" t="s">
        <v>226</v>
      </c>
      <c r="K22" t="s">
        <v>115</v>
      </c>
      <c r="L22" t="s">
        <v>227</v>
      </c>
      <c r="M22" t="s">
        <v>115</v>
      </c>
      <c r="N22" t="s">
        <v>0</v>
      </c>
      <c r="O22" t="s">
        <v>4</v>
      </c>
      <c r="P22" t="s">
        <v>160</v>
      </c>
      <c r="Q22" t="s">
        <v>161</v>
      </c>
      <c r="R22" t="s">
        <v>4</v>
      </c>
      <c r="S22" t="s">
        <v>5</v>
      </c>
      <c r="T22" t="s">
        <v>6</v>
      </c>
      <c r="U22" t="s">
        <v>4</v>
      </c>
      <c r="V22" t="s">
        <v>160</v>
      </c>
      <c r="W22" t="s">
        <v>161</v>
      </c>
      <c r="X22" t="s">
        <v>95</v>
      </c>
      <c r="Y22" t="s">
        <v>195</v>
      </c>
      <c r="AP22" s="79" t="s">
        <v>191</v>
      </c>
      <c r="AQ22" s="50">
        <v>20</v>
      </c>
      <c r="AR22" s="33">
        <v>145</v>
      </c>
      <c r="AS22" s="78" t="s">
        <v>217</v>
      </c>
      <c r="AT22" s="50">
        <v>20</v>
      </c>
      <c r="AU22" s="33">
        <v>175</v>
      </c>
      <c r="AV22" s="78" t="s">
        <v>210</v>
      </c>
      <c r="AW22" s="50">
        <v>20</v>
      </c>
      <c r="AX22" s="33">
        <v>205</v>
      </c>
    </row>
    <row r="23" spans="2:79" x14ac:dyDescent="0.4">
      <c r="H23">
        <v>1</v>
      </c>
      <c r="I23">
        <f>P4</f>
        <v>23</v>
      </c>
      <c r="J23">
        <v>1</v>
      </c>
      <c r="K23">
        <f>S4</f>
        <v>11</v>
      </c>
      <c r="L23">
        <v>1</v>
      </c>
      <c r="M23">
        <f>V4</f>
        <v>10</v>
      </c>
      <c r="N23">
        <v>1</v>
      </c>
      <c r="O23" s="38">
        <f>O4</f>
        <v>255</v>
      </c>
      <c r="P23" s="38">
        <f>X4</f>
        <v>300</v>
      </c>
      <c r="Q23" s="38">
        <f>AG4</f>
        <v>285</v>
      </c>
      <c r="R23" s="38">
        <f>R4</f>
        <v>240</v>
      </c>
      <c r="S23" s="38">
        <f>AA4</f>
        <v>310</v>
      </c>
      <c r="T23" s="38">
        <f>AJ4</f>
        <v>300</v>
      </c>
      <c r="U23" s="38">
        <f>U4</f>
        <v>280</v>
      </c>
      <c r="V23" s="38">
        <f>AD4</f>
        <v>300</v>
      </c>
      <c r="W23" s="38">
        <f>AM4</f>
        <v>360</v>
      </c>
      <c r="X23">
        <f>AVERAGE(O23:W23)</f>
        <v>292.22222222222223</v>
      </c>
      <c r="Y23">
        <f>_xlfn.VAR.S(O23:W23)</f>
        <v>1175.694444444438</v>
      </c>
      <c r="AP23" s="78" t="s">
        <v>192</v>
      </c>
      <c r="AQ23" s="50">
        <v>21</v>
      </c>
      <c r="AR23" s="33">
        <v>300</v>
      </c>
      <c r="AS23" s="7" t="s">
        <v>81</v>
      </c>
      <c r="AT23" s="50">
        <v>21</v>
      </c>
      <c r="AU23" s="33">
        <v>175</v>
      </c>
      <c r="AV23" s="78" t="s">
        <v>198</v>
      </c>
      <c r="AW23" s="50">
        <v>21</v>
      </c>
      <c r="AX23" s="33">
        <v>300</v>
      </c>
    </row>
    <row r="24" spans="2:79" x14ac:dyDescent="0.4">
      <c r="H24">
        <v>2</v>
      </c>
      <c r="I24">
        <f t="shared" ref="I24:K30" si="30">P5</f>
        <v>17</v>
      </c>
      <c r="J24">
        <v>2</v>
      </c>
      <c r="K24">
        <f t="shared" ref="K24:K30" si="31">S5</f>
        <v>15</v>
      </c>
      <c r="L24">
        <v>2</v>
      </c>
      <c r="M24">
        <f t="shared" ref="M24:M30" si="32">V5</f>
        <v>12</v>
      </c>
      <c r="N24">
        <v>2</v>
      </c>
      <c r="O24" s="38">
        <f t="shared" ref="O24:O37" si="33">O5</f>
        <v>200</v>
      </c>
      <c r="P24" s="38">
        <f t="shared" ref="P24:P37" si="34">X5</f>
        <v>205</v>
      </c>
      <c r="Q24" s="38">
        <f t="shared" ref="Q24:Q37" si="35">AG5</f>
        <v>230</v>
      </c>
      <c r="R24" s="38">
        <f t="shared" ref="R24:R37" si="36">R5</f>
        <v>220</v>
      </c>
      <c r="S24" s="38">
        <f t="shared" ref="S24:S37" si="37">AA5</f>
        <v>155</v>
      </c>
      <c r="T24" s="38">
        <f t="shared" ref="T24:T37" si="38">AJ5</f>
        <v>200</v>
      </c>
      <c r="U24" s="38">
        <f t="shared" ref="U24:U37" si="39">U5</f>
        <v>150</v>
      </c>
      <c r="V24" s="38">
        <f t="shared" ref="V24:V37" si="40">AD5</f>
        <v>165</v>
      </c>
      <c r="W24" s="38">
        <f t="shared" ref="W24:W37" si="41">AM5</f>
        <v>200</v>
      </c>
      <c r="X24">
        <f t="shared" ref="X24:X37" si="42">AVERAGE(O24:W24)</f>
        <v>191.66666666666666</v>
      </c>
      <c r="Y24">
        <f t="shared" ref="Y24:Y37" si="43">_xlfn.VAR.S(O24:W24)</f>
        <v>806.25</v>
      </c>
      <c r="AP24" s="7" t="s">
        <v>94</v>
      </c>
      <c r="AQ24" s="50">
        <v>22</v>
      </c>
      <c r="AR24" s="33">
        <v>175</v>
      </c>
      <c r="AS24" s="7" t="s">
        <v>75</v>
      </c>
      <c r="AT24" s="50">
        <v>22</v>
      </c>
      <c r="AU24" s="33">
        <v>175</v>
      </c>
      <c r="AV24" s="78" t="s">
        <v>192</v>
      </c>
      <c r="AW24" s="50">
        <v>22</v>
      </c>
      <c r="AX24" s="33">
        <v>345</v>
      </c>
    </row>
    <row r="25" spans="2:79" x14ac:dyDescent="0.4">
      <c r="H25">
        <v>3</v>
      </c>
      <c r="I25">
        <f t="shared" si="30"/>
        <v>18</v>
      </c>
      <c r="J25">
        <v>3</v>
      </c>
      <c r="K25">
        <f t="shared" si="31"/>
        <v>24</v>
      </c>
      <c r="L25">
        <v>3</v>
      </c>
      <c r="M25">
        <f t="shared" si="32"/>
        <v>7</v>
      </c>
      <c r="N25">
        <v>3</v>
      </c>
      <c r="O25" s="38">
        <f t="shared" si="33"/>
        <v>150</v>
      </c>
      <c r="P25" s="38">
        <f t="shared" si="34"/>
        <v>175</v>
      </c>
      <c r="Q25" s="38">
        <f t="shared" si="35"/>
        <v>160</v>
      </c>
      <c r="R25" s="38">
        <f t="shared" si="36"/>
        <v>190</v>
      </c>
      <c r="S25" s="38">
        <f t="shared" si="37"/>
        <v>150</v>
      </c>
      <c r="T25" s="38">
        <f t="shared" si="38"/>
        <v>190</v>
      </c>
      <c r="U25" s="38">
        <f t="shared" si="39"/>
        <v>220</v>
      </c>
      <c r="V25" s="38">
        <f t="shared" si="40"/>
        <v>195</v>
      </c>
      <c r="W25" s="38">
        <f t="shared" si="41"/>
        <v>205</v>
      </c>
      <c r="X25">
        <f t="shared" si="42"/>
        <v>181.66666666666666</v>
      </c>
      <c r="Y25">
        <f t="shared" si="43"/>
        <v>606.25</v>
      </c>
      <c r="AP25" s="7" t="s">
        <v>86</v>
      </c>
      <c r="AQ25" s="50">
        <v>23</v>
      </c>
      <c r="AR25" s="33">
        <v>255</v>
      </c>
      <c r="AS25" s="7" t="s">
        <v>78</v>
      </c>
      <c r="AT25" s="50">
        <v>23</v>
      </c>
      <c r="AU25" s="33">
        <v>210</v>
      </c>
      <c r="AV25" s="7" t="s">
        <v>79</v>
      </c>
      <c r="AW25" s="50">
        <v>23</v>
      </c>
      <c r="AX25" s="33">
        <v>200</v>
      </c>
    </row>
    <row r="26" spans="2:79" x14ac:dyDescent="0.4">
      <c r="H26">
        <v>4</v>
      </c>
      <c r="I26">
        <f t="shared" si="30"/>
        <v>4</v>
      </c>
      <c r="J26">
        <v>4</v>
      </c>
      <c r="K26">
        <f t="shared" si="31"/>
        <v>3</v>
      </c>
      <c r="L26">
        <v>4</v>
      </c>
      <c r="M26">
        <f t="shared" si="32"/>
        <v>9</v>
      </c>
      <c r="N26">
        <v>4</v>
      </c>
      <c r="O26" s="38">
        <f t="shared" si="33"/>
        <v>170</v>
      </c>
      <c r="P26" s="38">
        <f t="shared" si="34"/>
        <v>210</v>
      </c>
      <c r="Q26" s="38">
        <f t="shared" si="35"/>
        <v>160</v>
      </c>
      <c r="R26" s="38">
        <f t="shared" si="36"/>
        <v>160</v>
      </c>
      <c r="S26" s="38">
        <f t="shared" si="37"/>
        <v>170</v>
      </c>
      <c r="T26" s="38">
        <f t="shared" si="38"/>
        <v>185</v>
      </c>
      <c r="U26" s="38">
        <f t="shared" si="39"/>
        <v>150</v>
      </c>
      <c r="V26" s="38">
        <f t="shared" si="40"/>
        <v>155</v>
      </c>
      <c r="W26" s="38">
        <f t="shared" si="41"/>
        <v>200</v>
      </c>
      <c r="X26">
        <f t="shared" si="42"/>
        <v>173.33333333333334</v>
      </c>
      <c r="Y26">
        <f t="shared" si="43"/>
        <v>431.25</v>
      </c>
      <c r="AA26" t="s">
        <v>86</v>
      </c>
      <c r="AB26" t="s">
        <v>91</v>
      </c>
      <c r="AC26" t="s">
        <v>85</v>
      </c>
      <c r="AD26" t="s">
        <v>92</v>
      </c>
      <c r="AE26" t="s">
        <v>88</v>
      </c>
      <c r="AF26" t="s">
        <v>87</v>
      </c>
      <c r="AG26" t="s">
        <v>71</v>
      </c>
      <c r="AH26" t="s">
        <v>89</v>
      </c>
      <c r="AI26" t="s">
        <v>82</v>
      </c>
      <c r="AP26" s="78" t="s">
        <v>209</v>
      </c>
      <c r="AQ26" s="50">
        <v>24</v>
      </c>
      <c r="AR26" s="33">
        <v>190</v>
      </c>
      <c r="AS26" s="7" t="s">
        <v>86</v>
      </c>
      <c r="AT26" s="50">
        <v>24</v>
      </c>
      <c r="AU26" s="33">
        <v>300</v>
      </c>
      <c r="AV26" s="7" t="s">
        <v>78</v>
      </c>
      <c r="AW26" s="50">
        <v>24</v>
      </c>
      <c r="AX26" s="33">
        <v>160</v>
      </c>
    </row>
    <row r="27" spans="2:79" x14ac:dyDescent="0.4">
      <c r="H27">
        <v>5</v>
      </c>
      <c r="I27">
        <f t="shared" si="30"/>
        <v>21</v>
      </c>
      <c r="J27">
        <v>5</v>
      </c>
      <c r="K27">
        <f t="shared" si="31"/>
        <v>13</v>
      </c>
      <c r="L27">
        <v>5</v>
      </c>
      <c r="M27">
        <f t="shared" si="32"/>
        <v>2</v>
      </c>
      <c r="N27">
        <v>5</v>
      </c>
      <c r="O27">
        <f t="shared" si="33"/>
        <v>300</v>
      </c>
      <c r="P27">
        <f t="shared" si="34"/>
        <v>290</v>
      </c>
      <c r="Q27">
        <f t="shared" si="35"/>
        <v>345</v>
      </c>
      <c r="R27">
        <f t="shared" si="36"/>
        <v>230</v>
      </c>
      <c r="S27">
        <f t="shared" si="37"/>
        <v>285</v>
      </c>
      <c r="T27">
        <f t="shared" si="38"/>
        <v>270</v>
      </c>
      <c r="U27" s="38">
        <f t="shared" si="39"/>
        <v>275</v>
      </c>
      <c r="V27" s="38">
        <f t="shared" si="40"/>
        <v>295</v>
      </c>
      <c r="W27" s="38">
        <f t="shared" si="41"/>
        <v>385</v>
      </c>
      <c r="X27">
        <f t="shared" si="42"/>
        <v>297.22222222222223</v>
      </c>
      <c r="Y27">
        <f t="shared" si="43"/>
        <v>1994.444444444438</v>
      </c>
      <c r="AA27" s="67">
        <v>310</v>
      </c>
      <c r="AB27" s="67">
        <v>310</v>
      </c>
      <c r="AC27" s="67">
        <v>370</v>
      </c>
      <c r="AD27" s="67">
        <v>295</v>
      </c>
      <c r="AE27" s="67">
        <v>305</v>
      </c>
      <c r="AF27" s="67">
        <v>440</v>
      </c>
      <c r="AG27" s="67">
        <v>140</v>
      </c>
      <c r="AH27" s="67">
        <v>200</v>
      </c>
      <c r="AI27" s="67">
        <v>145</v>
      </c>
      <c r="AL27" s="67">
        <v>220</v>
      </c>
      <c r="AP27" s="7" t="s">
        <v>185</v>
      </c>
      <c r="AQ27" s="50">
        <v>25</v>
      </c>
      <c r="AR27" s="33">
        <v>225</v>
      </c>
      <c r="AS27" s="7" t="s">
        <v>187</v>
      </c>
      <c r="AT27" s="50">
        <v>25</v>
      </c>
      <c r="AU27" s="33">
        <v>195</v>
      </c>
      <c r="AV27" s="80" t="s">
        <v>170</v>
      </c>
      <c r="AW27" s="50">
        <v>25</v>
      </c>
      <c r="AX27" s="33">
        <v>250</v>
      </c>
    </row>
    <row r="28" spans="2:79" x14ac:dyDescent="0.4">
      <c r="H28">
        <v>6</v>
      </c>
      <c r="I28">
        <f t="shared" si="30"/>
        <v>16</v>
      </c>
      <c r="J28">
        <v>6</v>
      </c>
      <c r="K28">
        <f t="shared" si="31"/>
        <v>6</v>
      </c>
      <c r="L28">
        <v>6</v>
      </c>
      <c r="M28">
        <f t="shared" si="32"/>
        <v>20</v>
      </c>
      <c r="N28">
        <v>6</v>
      </c>
      <c r="O28" s="38">
        <f t="shared" si="33"/>
        <v>140</v>
      </c>
      <c r="P28" s="38">
        <f t="shared" si="34"/>
        <v>150</v>
      </c>
      <c r="Q28" s="38">
        <f t="shared" si="35"/>
        <v>145</v>
      </c>
      <c r="R28" s="38">
        <f t="shared" si="36"/>
        <v>200</v>
      </c>
      <c r="S28" s="38">
        <f t="shared" si="37"/>
        <v>150</v>
      </c>
      <c r="T28" s="38">
        <f t="shared" si="38"/>
        <v>185</v>
      </c>
      <c r="U28" s="38">
        <f t="shared" si="39"/>
        <v>145</v>
      </c>
      <c r="V28" s="38">
        <f t="shared" si="40"/>
        <v>140</v>
      </c>
      <c r="W28" s="38">
        <f t="shared" si="41"/>
        <v>135</v>
      </c>
      <c r="X28">
        <f t="shared" si="42"/>
        <v>154.44444444444446</v>
      </c>
      <c r="Y28">
        <f t="shared" si="43"/>
        <v>502.77777777777737</v>
      </c>
      <c r="AA28" s="67">
        <v>350</v>
      </c>
      <c r="AB28" s="67">
        <v>400</v>
      </c>
      <c r="AC28" s="67">
        <v>410</v>
      </c>
      <c r="AD28" s="67">
        <v>300</v>
      </c>
      <c r="AE28" s="67">
        <v>345</v>
      </c>
      <c r="AF28" s="67">
        <v>385</v>
      </c>
      <c r="AG28" s="67">
        <v>150</v>
      </c>
      <c r="AH28" s="67">
        <v>150</v>
      </c>
      <c r="AI28" s="67">
        <v>140</v>
      </c>
      <c r="AL28" s="67">
        <v>195</v>
      </c>
      <c r="AP28" s="80" t="s">
        <v>168</v>
      </c>
      <c r="AQ28" s="50">
        <v>26</v>
      </c>
      <c r="AR28" s="33">
        <v>220</v>
      </c>
      <c r="AS28" s="80" t="s">
        <v>184</v>
      </c>
      <c r="AT28" s="50">
        <v>26</v>
      </c>
      <c r="AU28" s="33">
        <v>285</v>
      </c>
      <c r="AV28" s="80" t="s">
        <v>168</v>
      </c>
      <c r="AW28" s="50">
        <v>26</v>
      </c>
      <c r="AX28" s="33">
        <v>200</v>
      </c>
    </row>
    <row r="29" spans="2:79" x14ac:dyDescent="0.4">
      <c r="H29">
        <v>7</v>
      </c>
      <c r="I29">
        <f t="shared" si="30"/>
        <v>22</v>
      </c>
      <c r="J29">
        <v>7</v>
      </c>
      <c r="K29">
        <f t="shared" si="31"/>
        <v>14</v>
      </c>
      <c r="L29">
        <v>7</v>
      </c>
      <c r="M29">
        <f t="shared" si="32"/>
        <v>19</v>
      </c>
      <c r="N29">
        <v>7</v>
      </c>
      <c r="O29">
        <f t="shared" si="33"/>
        <v>175</v>
      </c>
      <c r="P29">
        <f t="shared" si="34"/>
        <v>210</v>
      </c>
      <c r="Q29">
        <f t="shared" si="35"/>
        <v>230</v>
      </c>
      <c r="R29">
        <f t="shared" si="36"/>
        <v>230</v>
      </c>
      <c r="S29">
        <f t="shared" si="37"/>
        <v>210</v>
      </c>
      <c r="T29">
        <f t="shared" si="38"/>
        <v>245</v>
      </c>
      <c r="U29">
        <f t="shared" si="39"/>
        <v>245</v>
      </c>
      <c r="V29">
        <f t="shared" si="40"/>
        <v>210</v>
      </c>
      <c r="W29">
        <f t="shared" si="41"/>
        <v>275</v>
      </c>
      <c r="X29">
        <f t="shared" si="42"/>
        <v>225.55555555555554</v>
      </c>
      <c r="Y29">
        <f t="shared" si="43"/>
        <v>815.27777777778101</v>
      </c>
      <c r="AA29" s="67">
        <v>335</v>
      </c>
      <c r="AB29" s="67">
        <v>360</v>
      </c>
      <c r="AC29" s="67">
        <v>290</v>
      </c>
      <c r="AD29" s="67">
        <v>325</v>
      </c>
      <c r="AE29" s="67">
        <v>315</v>
      </c>
      <c r="AF29" s="67">
        <v>375</v>
      </c>
      <c r="AG29" s="67">
        <v>145</v>
      </c>
      <c r="AH29" s="67">
        <v>185</v>
      </c>
      <c r="AI29" s="67">
        <v>135</v>
      </c>
      <c r="AL29" s="67">
        <v>205</v>
      </c>
      <c r="AP29" s="80" t="s">
        <v>169</v>
      </c>
      <c r="AQ29" s="50">
        <v>27</v>
      </c>
      <c r="AR29" s="33">
        <v>250</v>
      </c>
      <c r="AS29" s="80" t="s">
        <v>174</v>
      </c>
      <c r="AT29" s="50">
        <v>27</v>
      </c>
      <c r="AU29" s="33">
        <v>370</v>
      </c>
      <c r="AV29" s="80" t="s">
        <v>171</v>
      </c>
      <c r="AW29" s="50">
        <v>27</v>
      </c>
      <c r="AX29" s="33">
        <v>230</v>
      </c>
    </row>
    <row r="30" spans="2:79" x14ac:dyDescent="0.4">
      <c r="H30">
        <v>8</v>
      </c>
      <c r="I30">
        <f t="shared" si="30"/>
        <v>1</v>
      </c>
      <c r="J30">
        <v>8</v>
      </c>
      <c r="K30">
        <f t="shared" si="31"/>
        <v>5</v>
      </c>
      <c r="L30">
        <v>8</v>
      </c>
      <c r="M30">
        <f t="shared" si="32"/>
        <v>8</v>
      </c>
      <c r="N30">
        <v>8</v>
      </c>
      <c r="O30">
        <f t="shared" si="33"/>
        <v>180</v>
      </c>
      <c r="P30">
        <f t="shared" si="34"/>
        <v>175</v>
      </c>
      <c r="Q30" s="38">
        <f t="shared" si="35"/>
        <v>205</v>
      </c>
      <c r="R30">
        <f t="shared" si="36"/>
        <v>200</v>
      </c>
      <c r="S30">
        <f t="shared" si="37"/>
        <v>250</v>
      </c>
      <c r="T30">
        <f t="shared" si="38"/>
        <v>205</v>
      </c>
      <c r="U30">
        <f t="shared" si="39"/>
        <v>200</v>
      </c>
      <c r="V30">
        <f t="shared" si="40"/>
        <v>175</v>
      </c>
      <c r="W30">
        <f t="shared" si="41"/>
        <v>205</v>
      </c>
      <c r="X30">
        <f t="shared" si="42"/>
        <v>199.44444444444446</v>
      </c>
      <c r="Y30">
        <f t="shared" si="43"/>
        <v>527.77777777778101</v>
      </c>
      <c r="AP30" s="80" t="s">
        <v>170</v>
      </c>
      <c r="AQ30" s="50">
        <v>28</v>
      </c>
      <c r="AR30" s="33">
        <v>255</v>
      </c>
      <c r="AS30" s="80" t="s">
        <v>180</v>
      </c>
      <c r="AT30" s="50">
        <v>28</v>
      </c>
      <c r="AU30" s="33">
        <v>255</v>
      </c>
      <c r="AV30" s="80" t="s">
        <v>187</v>
      </c>
      <c r="AW30" s="50">
        <v>28</v>
      </c>
      <c r="AX30" s="33">
        <v>220</v>
      </c>
    </row>
    <row r="31" spans="2:79" x14ac:dyDescent="0.4">
      <c r="H31">
        <v>9</v>
      </c>
      <c r="I31">
        <f>Y4+24</f>
        <v>48</v>
      </c>
      <c r="J31">
        <v>9</v>
      </c>
      <c r="K31">
        <f>AB4+24</f>
        <v>38</v>
      </c>
      <c r="L31">
        <v>9</v>
      </c>
      <c r="M31">
        <f>AE4+24</f>
        <v>43</v>
      </c>
      <c r="N31">
        <v>9</v>
      </c>
      <c r="O31" s="38">
        <f t="shared" si="33"/>
        <v>355</v>
      </c>
      <c r="P31">
        <f t="shared" si="34"/>
        <v>390</v>
      </c>
      <c r="Q31">
        <f t="shared" si="35"/>
        <v>300</v>
      </c>
      <c r="R31">
        <f t="shared" si="36"/>
        <v>280</v>
      </c>
      <c r="S31">
        <f t="shared" si="37"/>
        <v>350</v>
      </c>
      <c r="T31">
        <f t="shared" si="38"/>
        <v>350</v>
      </c>
      <c r="U31" s="38">
        <f t="shared" si="39"/>
        <v>395</v>
      </c>
      <c r="V31">
        <f t="shared" si="40"/>
        <v>405</v>
      </c>
      <c r="W31">
        <f t="shared" si="41"/>
        <v>355</v>
      </c>
      <c r="X31">
        <f t="shared" si="42"/>
        <v>353.33333333333331</v>
      </c>
      <c r="Y31">
        <f t="shared" si="43"/>
        <v>1750</v>
      </c>
      <c r="AA31" s="67">
        <v>255</v>
      </c>
      <c r="AB31" s="67">
        <v>240</v>
      </c>
      <c r="AC31" s="67">
        <v>280</v>
      </c>
      <c r="AD31" s="67">
        <v>300</v>
      </c>
      <c r="AE31" s="67">
        <v>230</v>
      </c>
      <c r="AF31" s="67">
        <v>275</v>
      </c>
      <c r="AP31" s="80" t="s">
        <v>171</v>
      </c>
      <c r="AQ31" s="50">
        <v>29</v>
      </c>
      <c r="AR31" s="33">
        <v>220</v>
      </c>
      <c r="AS31" s="80" t="s">
        <v>181</v>
      </c>
      <c r="AT31" s="50">
        <v>29</v>
      </c>
      <c r="AU31" s="33">
        <v>350</v>
      </c>
      <c r="AV31" s="80" t="s">
        <v>178</v>
      </c>
      <c r="AW31" s="50">
        <v>29</v>
      </c>
      <c r="AX31" s="33">
        <v>215</v>
      </c>
    </row>
    <row r="32" spans="2:79" x14ac:dyDescent="0.4">
      <c r="H32">
        <v>10</v>
      </c>
      <c r="I32">
        <f t="shared" ref="I32:K38" si="44">Y5+24</f>
        <v>28</v>
      </c>
      <c r="J32">
        <v>10</v>
      </c>
      <c r="K32">
        <f t="shared" ref="K32:K38" si="45">AB5+24</f>
        <v>26</v>
      </c>
      <c r="L32">
        <v>10</v>
      </c>
      <c r="M32">
        <f t="shared" ref="M32:M38" si="46">AE5+24</f>
        <v>35</v>
      </c>
      <c r="N32">
        <v>10</v>
      </c>
      <c r="O32">
        <f t="shared" si="33"/>
        <v>220</v>
      </c>
      <c r="P32">
        <f t="shared" si="34"/>
        <v>300</v>
      </c>
      <c r="Q32">
        <f t="shared" si="35"/>
        <v>200</v>
      </c>
      <c r="R32">
        <f t="shared" si="36"/>
        <v>240</v>
      </c>
      <c r="S32">
        <f t="shared" si="37"/>
        <v>230</v>
      </c>
      <c r="T32">
        <f t="shared" si="38"/>
        <v>310</v>
      </c>
      <c r="U32">
        <f t="shared" si="39"/>
        <v>225</v>
      </c>
      <c r="V32">
        <f t="shared" si="40"/>
        <v>200</v>
      </c>
      <c r="W32">
        <f t="shared" si="41"/>
        <v>215</v>
      </c>
      <c r="X32">
        <f t="shared" si="42"/>
        <v>237.77777777777777</v>
      </c>
      <c r="Y32">
        <f t="shared" si="43"/>
        <v>1625.6944444444453</v>
      </c>
      <c r="AA32" s="67">
        <v>300</v>
      </c>
      <c r="AB32" s="67">
        <v>300</v>
      </c>
      <c r="AC32" s="67">
        <v>300</v>
      </c>
      <c r="AD32" s="67">
        <v>290</v>
      </c>
      <c r="AE32" s="67">
        <v>285</v>
      </c>
      <c r="AF32" s="67">
        <v>295</v>
      </c>
      <c r="AP32" s="80" t="s">
        <v>172</v>
      </c>
      <c r="AQ32" s="50">
        <v>30</v>
      </c>
      <c r="AR32" s="33">
        <v>260</v>
      </c>
      <c r="AS32" s="80" t="s">
        <v>172</v>
      </c>
      <c r="AT32" s="50">
        <v>30</v>
      </c>
      <c r="AU32" s="33">
        <v>285</v>
      </c>
      <c r="AV32" s="55" t="s">
        <v>174</v>
      </c>
      <c r="AW32" s="50">
        <v>30</v>
      </c>
      <c r="AX32" s="33">
        <v>410</v>
      </c>
    </row>
    <row r="33" spans="8:50" x14ac:dyDescent="0.4">
      <c r="H33">
        <v>11</v>
      </c>
      <c r="I33">
        <f t="shared" si="44"/>
        <v>45</v>
      </c>
      <c r="J33">
        <v>11</v>
      </c>
      <c r="K33">
        <f t="shared" si="45"/>
        <v>30</v>
      </c>
      <c r="L33">
        <v>11</v>
      </c>
      <c r="M33">
        <f t="shared" si="46"/>
        <v>41</v>
      </c>
      <c r="N33">
        <v>11</v>
      </c>
      <c r="O33" s="38">
        <f t="shared" si="33"/>
        <v>330</v>
      </c>
      <c r="P33" s="38">
        <f t="shared" si="34"/>
        <v>350</v>
      </c>
      <c r="Q33" s="38">
        <f t="shared" si="35"/>
        <v>410</v>
      </c>
      <c r="R33" s="38">
        <f t="shared" si="36"/>
        <v>345</v>
      </c>
      <c r="S33" s="38">
        <f t="shared" si="37"/>
        <v>370</v>
      </c>
      <c r="T33" s="38">
        <f t="shared" si="38"/>
        <v>410</v>
      </c>
      <c r="U33" s="38">
        <f t="shared" si="39"/>
        <v>370</v>
      </c>
      <c r="V33" s="38">
        <f t="shared" si="40"/>
        <v>385</v>
      </c>
      <c r="W33" s="38">
        <f t="shared" si="41"/>
        <v>400</v>
      </c>
      <c r="X33">
        <f t="shared" si="42"/>
        <v>374.44444444444446</v>
      </c>
      <c r="Y33">
        <f t="shared" si="43"/>
        <v>846.52777777777771</v>
      </c>
      <c r="AA33" s="67">
        <v>285</v>
      </c>
      <c r="AB33" s="67">
        <v>310</v>
      </c>
      <c r="AC33" s="67">
        <v>360</v>
      </c>
      <c r="AD33" s="67">
        <v>345</v>
      </c>
      <c r="AE33" s="67">
        <v>270</v>
      </c>
      <c r="AF33" s="67">
        <v>385</v>
      </c>
      <c r="AP33" s="7" t="s">
        <v>181</v>
      </c>
      <c r="AQ33" s="50">
        <v>31</v>
      </c>
      <c r="AR33" s="33">
        <v>280</v>
      </c>
      <c r="AS33" s="7" t="s">
        <v>183</v>
      </c>
      <c r="AT33" s="50">
        <v>31</v>
      </c>
      <c r="AU33" s="33">
        <v>230</v>
      </c>
      <c r="AV33" s="80" t="s">
        <v>176</v>
      </c>
      <c r="AW33" s="50">
        <v>31</v>
      </c>
      <c r="AX33" s="33">
        <v>300</v>
      </c>
    </row>
    <row r="34" spans="8:50" x14ac:dyDescent="0.4">
      <c r="H34">
        <v>12</v>
      </c>
      <c r="I34">
        <f t="shared" si="44"/>
        <v>47</v>
      </c>
      <c r="J34">
        <v>12</v>
      </c>
      <c r="K34">
        <f t="shared" si="45"/>
        <v>36</v>
      </c>
      <c r="L34">
        <v>12</v>
      </c>
      <c r="M34">
        <f t="shared" si="46"/>
        <v>33</v>
      </c>
      <c r="N34">
        <v>12</v>
      </c>
      <c r="O34" s="38">
        <f t="shared" si="33"/>
        <v>220</v>
      </c>
      <c r="P34">
        <f t="shared" si="34"/>
        <v>215</v>
      </c>
      <c r="Q34">
        <f t="shared" si="35"/>
        <v>215</v>
      </c>
      <c r="R34">
        <f t="shared" si="36"/>
        <v>240</v>
      </c>
      <c r="S34">
        <f t="shared" si="37"/>
        <v>230</v>
      </c>
      <c r="T34">
        <f t="shared" si="38"/>
        <v>275</v>
      </c>
      <c r="U34">
        <f t="shared" si="39"/>
        <v>260</v>
      </c>
      <c r="V34">
        <f t="shared" si="40"/>
        <v>285</v>
      </c>
      <c r="W34" s="38">
        <f t="shared" si="41"/>
        <v>270</v>
      </c>
      <c r="X34">
        <f t="shared" si="42"/>
        <v>245.55555555555554</v>
      </c>
      <c r="Y34">
        <f t="shared" si="43"/>
        <v>752.77777777778101</v>
      </c>
      <c r="AP34" s="55" t="s">
        <v>177</v>
      </c>
      <c r="AQ34" s="50">
        <v>32</v>
      </c>
      <c r="AR34" s="33">
        <v>330</v>
      </c>
      <c r="AS34" s="80" t="s">
        <v>179</v>
      </c>
      <c r="AT34" s="50">
        <v>32</v>
      </c>
      <c r="AU34" s="33">
        <v>255</v>
      </c>
      <c r="AV34" s="80" t="s">
        <v>175</v>
      </c>
      <c r="AW34" s="50">
        <v>32</v>
      </c>
      <c r="AX34" s="33">
        <v>245</v>
      </c>
    </row>
    <row r="35" spans="8:50" x14ac:dyDescent="0.4">
      <c r="H35">
        <v>13</v>
      </c>
      <c r="I35">
        <f t="shared" si="44"/>
        <v>34</v>
      </c>
      <c r="J35">
        <v>13</v>
      </c>
      <c r="K35">
        <f t="shared" si="45"/>
        <v>42</v>
      </c>
      <c r="L35">
        <v>13</v>
      </c>
      <c r="M35">
        <f t="shared" si="46"/>
        <v>40</v>
      </c>
      <c r="N35">
        <v>13</v>
      </c>
      <c r="O35">
        <f t="shared" si="33"/>
        <v>220</v>
      </c>
      <c r="P35">
        <f t="shared" si="34"/>
        <v>210</v>
      </c>
      <c r="Q35">
        <f t="shared" si="35"/>
        <v>230</v>
      </c>
      <c r="R35">
        <f t="shared" si="36"/>
        <v>255</v>
      </c>
      <c r="S35">
        <f t="shared" si="37"/>
        <v>245</v>
      </c>
      <c r="T35">
        <f t="shared" si="38"/>
        <v>250</v>
      </c>
      <c r="U35">
        <f t="shared" si="39"/>
        <v>250</v>
      </c>
      <c r="V35">
        <f t="shared" si="40"/>
        <v>215</v>
      </c>
      <c r="W35">
        <f t="shared" si="41"/>
        <v>260</v>
      </c>
      <c r="X35">
        <f t="shared" si="42"/>
        <v>237.22222222222223</v>
      </c>
      <c r="Y35">
        <f t="shared" si="43"/>
        <v>350.6944444444444</v>
      </c>
      <c r="AA35">
        <f>AVERAGE(AA31:AC33)</f>
        <v>292.22222222222223</v>
      </c>
      <c r="AD35">
        <f>AVERAGE(AD31:AF33)</f>
        <v>297.22222222222223</v>
      </c>
      <c r="AP35" s="7" t="s">
        <v>188</v>
      </c>
      <c r="AQ35" s="50">
        <v>33</v>
      </c>
      <c r="AR35" s="33">
        <v>235</v>
      </c>
      <c r="AS35" s="7" t="s">
        <v>171</v>
      </c>
      <c r="AT35" s="50">
        <v>33</v>
      </c>
      <c r="AU35" s="33">
        <v>210</v>
      </c>
      <c r="AV35" s="80" t="s">
        <v>185</v>
      </c>
      <c r="AW35" s="50">
        <v>33</v>
      </c>
      <c r="AX35" s="33">
        <v>215</v>
      </c>
    </row>
    <row r="36" spans="8:50" x14ac:dyDescent="0.4">
      <c r="H36">
        <v>14</v>
      </c>
      <c r="I36">
        <f t="shared" si="44"/>
        <v>31</v>
      </c>
      <c r="J36">
        <v>14</v>
      </c>
      <c r="K36">
        <f t="shared" si="45"/>
        <v>25</v>
      </c>
      <c r="L36">
        <v>14</v>
      </c>
      <c r="M36">
        <f t="shared" si="46"/>
        <v>27</v>
      </c>
      <c r="N36">
        <v>14</v>
      </c>
      <c r="O36">
        <f t="shared" si="33"/>
        <v>205</v>
      </c>
      <c r="P36">
        <f t="shared" si="34"/>
        <v>255</v>
      </c>
      <c r="Q36">
        <f t="shared" si="35"/>
        <v>250</v>
      </c>
      <c r="R36">
        <f t="shared" si="36"/>
        <v>220</v>
      </c>
      <c r="S36">
        <f t="shared" si="37"/>
        <v>285</v>
      </c>
      <c r="T36">
        <f t="shared" si="38"/>
        <v>255</v>
      </c>
      <c r="U36">
        <f t="shared" si="39"/>
        <v>195</v>
      </c>
      <c r="V36">
        <f t="shared" si="40"/>
        <v>195</v>
      </c>
      <c r="W36">
        <f t="shared" si="41"/>
        <v>220</v>
      </c>
      <c r="X36">
        <f t="shared" si="42"/>
        <v>231.11111111111111</v>
      </c>
      <c r="Y36">
        <f t="shared" si="43"/>
        <v>992.36111111110949</v>
      </c>
      <c r="AP36" s="7" t="s">
        <v>183</v>
      </c>
      <c r="AQ36" s="50">
        <v>34</v>
      </c>
      <c r="AR36" s="33">
        <v>240</v>
      </c>
      <c r="AS36" s="7" t="s">
        <v>188</v>
      </c>
      <c r="AT36" s="50">
        <v>34</v>
      </c>
      <c r="AU36" s="33">
        <v>260</v>
      </c>
      <c r="AV36" s="80" t="s">
        <v>179</v>
      </c>
      <c r="AW36" s="50">
        <v>34</v>
      </c>
      <c r="AX36" s="33">
        <v>250</v>
      </c>
    </row>
    <row r="37" spans="8:50" x14ac:dyDescent="0.4">
      <c r="H37">
        <v>15</v>
      </c>
      <c r="I37">
        <f t="shared" si="44"/>
        <v>32</v>
      </c>
      <c r="J37">
        <v>15</v>
      </c>
      <c r="K37">
        <f t="shared" si="45"/>
        <v>37</v>
      </c>
      <c r="L37">
        <v>15</v>
      </c>
      <c r="M37">
        <f t="shared" si="46"/>
        <v>29</v>
      </c>
      <c r="N37">
        <v>15</v>
      </c>
      <c r="O37">
        <f t="shared" si="33"/>
        <v>220</v>
      </c>
      <c r="P37">
        <f t="shared" si="34"/>
        <v>255</v>
      </c>
      <c r="Q37">
        <f t="shared" si="35"/>
        <v>265</v>
      </c>
      <c r="R37">
        <f t="shared" si="36"/>
        <v>215</v>
      </c>
      <c r="S37">
        <f t="shared" si="37"/>
        <v>210</v>
      </c>
      <c r="T37">
        <f t="shared" si="38"/>
        <v>245</v>
      </c>
      <c r="U37">
        <f t="shared" si="39"/>
        <v>235</v>
      </c>
      <c r="V37">
        <f t="shared" si="40"/>
        <v>260</v>
      </c>
      <c r="W37">
        <f t="shared" si="41"/>
        <v>225</v>
      </c>
      <c r="X37">
        <f t="shared" si="42"/>
        <v>236.66666666666666</v>
      </c>
      <c r="Y37">
        <f t="shared" si="43"/>
        <v>418.75</v>
      </c>
      <c r="AP37" s="80" t="s">
        <v>173</v>
      </c>
      <c r="AQ37" s="50">
        <v>35</v>
      </c>
      <c r="AR37" s="33">
        <v>395</v>
      </c>
      <c r="AS37" s="80" t="s">
        <v>186</v>
      </c>
      <c r="AT37" s="50">
        <v>35</v>
      </c>
      <c r="AU37" s="33">
        <v>385</v>
      </c>
      <c r="AV37" s="80" t="s">
        <v>169</v>
      </c>
      <c r="AW37" s="50">
        <v>35</v>
      </c>
      <c r="AX37" s="33">
        <v>260</v>
      </c>
    </row>
    <row r="38" spans="8:50" x14ac:dyDescent="0.4">
      <c r="H38">
        <v>16</v>
      </c>
      <c r="I38">
        <f t="shared" si="44"/>
        <v>44</v>
      </c>
      <c r="J38">
        <v>16</v>
      </c>
      <c r="K38">
        <f t="shared" si="45"/>
        <v>39</v>
      </c>
      <c r="L38">
        <v>16</v>
      </c>
      <c r="M38">
        <f t="shared" si="46"/>
        <v>46</v>
      </c>
      <c r="AP38" s="81" t="s">
        <v>174</v>
      </c>
      <c r="AQ38" s="50">
        <v>36</v>
      </c>
      <c r="AR38" s="33">
        <v>345</v>
      </c>
      <c r="AS38" s="7" t="s">
        <v>170</v>
      </c>
      <c r="AT38" s="50">
        <v>36</v>
      </c>
      <c r="AU38" s="33">
        <v>245</v>
      </c>
      <c r="AV38" s="80" t="s">
        <v>172</v>
      </c>
      <c r="AW38" s="50">
        <v>36</v>
      </c>
      <c r="AX38" s="33">
        <v>270</v>
      </c>
    </row>
    <row r="39" spans="8:50" x14ac:dyDescent="0.4">
      <c r="H39">
        <v>17</v>
      </c>
      <c r="I39">
        <f>AH4+24*2</f>
        <v>59</v>
      </c>
      <c r="J39">
        <v>17</v>
      </c>
      <c r="K39">
        <f>AK4+24*2</f>
        <v>69</v>
      </c>
      <c r="L39">
        <v>17</v>
      </c>
      <c r="M39">
        <f>AN4+24*2</f>
        <v>52</v>
      </c>
      <c r="AP39" s="7" t="s">
        <v>176</v>
      </c>
      <c r="AQ39" s="50">
        <v>37</v>
      </c>
      <c r="AR39" s="33">
        <v>355</v>
      </c>
      <c r="AS39" s="80" t="s">
        <v>178</v>
      </c>
      <c r="AT39" s="50">
        <v>37</v>
      </c>
      <c r="AU39" s="33">
        <v>215</v>
      </c>
      <c r="AV39" s="55" t="s">
        <v>177</v>
      </c>
      <c r="AW39" s="50">
        <v>37</v>
      </c>
      <c r="AX39" s="33">
        <v>410</v>
      </c>
    </row>
    <row r="40" spans="8:50" x14ac:dyDescent="0.4">
      <c r="H40">
        <v>18</v>
      </c>
      <c r="I40">
        <f t="shared" ref="I40:K46" si="47">AH5+24*2</f>
        <v>63</v>
      </c>
      <c r="J40">
        <v>18</v>
      </c>
      <c r="K40">
        <f t="shared" ref="K40:K46" si="48">AK5+24*2</f>
        <v>64</v>
      </c>
      <c r="L40">
        <v>18</v>
      </c>
      <c r="M40">
        <f t="shared" ref="M40:M46" si="49">AN5+24*2</f>
        <v>71</v>
      </c>
      <c r="AP40" s="7" t="s">
        <v>182</v>
      </c>
      <c r="AQ40" s="50">
        <v>38</v>
      </c>
      <c r="AR40" s="33">
        <v>240</v>
      </c>
      <c r="AS40" s="7" t="s">
        <v>177</v>
      </c>
      <c r="AT40" s="50">
        <v>38</v>
      </c>
      <c r="AU40" s="33">
        <v>350</v>
      </c>
      <c r="AV40" s="80" t="s">
        <v>188</v>
      </c>
      <c r="AW40" s="50">
        <v>38</v>
      </c>
      <c r="AX40" s="33">
        <v>225</v>
      </c>
    </row>
    <row r="41" spans="8:50" x14ac:dyDescent="0.4">
      <c r="H41">
        <v>19</v>
      </c>
      <c r="I41">
        <f t="shared" si="47"/>
        <v>54</v>
      </c>
      <c r="J41">
        <v>19</v>
      </c>
      <c r="K41">
        <f t="shared" si="48"/>
        <v>53</v>
      </c>
      <c r="L41">
        <v>19</v>
      </c>
      <c r="M41">
        <f t="shared" si="49"/>
        <v>68</v>
      </c>
      <c r="AP41" s="7" t="s">
        <v>184</v>
      </c>
      <c r="AQ41" s="50">
        <v>39</v>
      </c>
      <c r="AR41" s="33">
        <v>220</v>
      </c>
      <c r="AS41" s="7" t="s">
        <v>173</v>
      </c>
      <c r="AT41" s="50">
        <v>39</v>
      </c>
      <c r="AU41" s="33">
        <v>405</v>
      </c>
      <c r="AV41" s="7" t="s">
        <v>173</v>
      </c>
      <c r="AW41" s="50">
        <v>39</v>
      </c>
      <c r="AX41" s="33">
        <v>355</v>
      </c>
    </row>
    <row r="42" spans="8:50" x14ac:dyDescent="0.4">
      <c r="H42">
        <v>20</v>
      </c>
      <c r="I42">
        <f t="shared" si="47"/>
        <v>72</v>
      </c>
      <c r="J42">
        <v>20</v>
      </c>
      <c r="K42">
        <f t="shared" si="48"/>
        <v>51</v>
      </c>
      <c r="L42">
        <v>20</v>
      </c>
      <c r="M42">
        <f t="shared" si="49"/>
        <v>50</v>
      </c>
      <c r="AP42" s="80" t="s">
        <v>175</v>
      </c>
      <c r="AQ42" s="50">
        <v>40</v>
      </c>
      <c r="AR42" s="33">
        <v>215</v>
      </c>
      <c r="AS42" s="80" t="s">
        <v>182</v>
      </c>
      <c r="AT42" s="50">
        <v>40</v>
      </c>
      <c r="AU42" s="33">
        <v>230</v>
      </c>
      <c r="AV42" s="7" t="s">
        <v>184</v>
      </c>
      <c r="AW42" s="50">
        <v>40</v>
      </c>
      <c r="AX42" s="33">
        <v>255</v>
      </c>
    </row>
    <row r="43" spans="8:50" x14ac:dyDescent="0.4">
      <c r="H43">
        <v>21</v>
      </c>
      <c r="I43">
        <f t="shared" si="47"/>
        <v>70</v>
      </c>
      <c r="J43">
        <v>21</v>
      </c>
      <c r="K43">
        <f t="shared" si="48"/>
        <v>55</v>
      </c>
      <c r="L43">
        <v>21</v>
      </c>
      <c r="M43">
        <f t="shared" si="49"/>
        <v>60</v>
      </c>
      <c r="AP43" s="7" t="s">
        <v>187</v>
      </c>
      <c r="AQ43" s="50">
        <v>41</v>
      </c>
      <c r="AR43" s="33">
        <v>195</v>
      </c>
      <c r="AS43" s="80" t="s">
        <v>175</v>
      </c>
      <c r="AT43" s="50">
        <v>41</v>
      </c>
      <c r="AU43" s="33">
        <v>210</v>
      </c>
      <c r="AV43" s="80" t="s">
        <v>180</v>
      </c>
      <c r="AW43" s="50">
        <v>41</v>
      </c>
      <c r="AX43" s="33">
        <v>265</v>
      </c>
    </row>
    <row r="44" spans="8:50" x14ac:dyDescent="0.4">
      <c r="H44">
        <v>22</v>
      </c>
      <c r="I44">
        <f t="shared" si="47"/>
        <v>66</v>
      </c>
      <c r="J44">
        <v>22</v>
      </c>
      <c r="K44">
        <f t="shared" si="48"/>
        <v>65</v>
      </c>
      <c r="L44">
        <v>22</v>
      </c>
      <c r="M44">
        <f t="shared" si="49"/>
        <v>58</v>
      </c>
      <c r="AP44" s="80" t="s">
        <v>178</v>
      </c>
      <c r="AQ44" s="50">
        <v>42</v>
      </c>
      <c r="AR44" s="33">
        <v>220</v>
      </c>
      <c r="AS44" s="80" t="s">
        <v>185</v>
      </c>
      <c r="AT44" s="50">
        <v>42</v>
      </c>
      <c r="AU44" s="33">
        <v>200</v>
      </c>
      <c r="AV44" s="80" t="s">
        <v>182</v>
      </c>
      <c r="AW44" s="50">
        <v>42</v>
      </c>
      <c r="AX44" s="33">
        <v>310</v>
      </c>
    </row>
    <row r="45" spans="8:50" x14ac:dyDescent="0.4">
      <c r="H45">
        <v>23</v>
      </c>
      <c r="I45">
        <f t="shared" si="47"/>
        <v>57</v>
      </c>
      <c r="J45">
        <v>23</v>
      </c>
      <c r="K45">
        <f t="shared" si="48"/>
        <v>61</v>
      </c>
      <c r="L45">
        <v>23</v>
      </c>
      <c r="M45">
        <f t="shared" si="49"/>
        <v>67</v>
      </c>
      <c r="AP45" s="7" t="s">
        <v>180</v>
      </c>
      <c r="AQ45" s="50">
        <v>43</v>
      </c>
      <c r="AR45" s="33">
        <v>220</v>
      </c>
      <c r="AS45" s="7" t="s">
        <v>169</v>
      </c>
      <c r="AT45" s="50">
        <v>43</v>
      </c>
      <c r="AU45" s="33">
        <v>215</v>
      </c>
      <c r="AV45" s="80" t="s">
        <v>181</v>
      </c>
      <c r="AW45" s="50">
        <v>43</v>
      </c>
      <c r="AX45" s="33">
        <v>350</v>
      </c>
    </row>
    <row r="46" spans="8:50" x14ac:dyDescent="0.4">
      <c r="H46">
        <v>24</v>
      </c>
      <c r="I46">
        <f t="shared" si="47"/>
        <v>56</v>
      </c>
      <c r="J46">
        <v>24</v>
      </c>
      <c r="K46">
        <f t="shared" si="48"/>
        <v>62</v>
      </c>
      <c r="L46">
        <v>24</v>
      </c>
      <c r="M46">
        <f t="shared" si="49"/>
        <v>49</v>
      </c>
      <c r="AP46" s="7" t="s">
        <v>179</v>
      </c>
      <c r="AQ46" s="50">
        <v>44</v>
      </c>
      <c r="AR46" s="33">
        <v>205</v>
      </c>
      <c r="AS46" s="7" t="s">
        <v>168</v>
      </c>
      <c r="AT46" s="50">
        <v>44</v>
      </c>
      <c r="AU46" s="33">
        <v>300</v>
      </c>
      <c r="AV46" s="7" t="s">
        <v>186</v>
      </c>
      <c r="AW46" s="50">
        <v>44</v>
      </c>
      <c r="AX46" s="33">
        <v>400</v>
      </c>
    </row>
    <row r="47" spans="8:50" x14ac:dyDescent="0.4">
      <c r="I47">
        <f>COUNTIF(I23:I46,72)</f>
        <v>1</v>
      </c>
      <c r="K47">
        <f>COUNTIF(K23:K46,72)</f>
        <v>0</v>
      </c>
      <c r="M47">
        <f>COUNTIF(M23:M46,72)</f>
        <v>0</v>
      </c>
      <c r="AP47" s="7" t="s">
        <v>186</v>
      </c>
      <c r="AQ47" s="50">
        <v>45</v>
      </c>
      <c r="AR47" s="33">
        <v>370</v>
      </c>
      <c r="AS47" s="80" t="s">
        <v>176</v>
      </c>
      <c r="AT47" s="50">
        <v>45</v>
      </c>
      <c r="AU47" s="33">
        <v>390</v>
      </c>
      <c r="AV47" s="7" t="s">
        <v>183</v>
      </c>
      <c r="AW47" s="50">
        <v>45</v>
      </c>
      <c r="AX47" s="33">
        <v>275</v>
      </c>
    </row>
    <row r="48" spans="8:50" x14ac:dyDescent="0.4">
      <c r="AR48">
        <f>AVERAGE(AR3:AR47)</f>
        <v>231.11111111111111</v>
      </c>
      <c r="AU48">
        <f>AVERAGE(AU3:AU47)</f>
        <v>241.55555555555554</v>
      </c>
      <c r="AX48">
        <f>AVERAGE(AX3:AX47)</f>
        <v>253.66666666666666</v>
      </c>
    </row>
    <row r="49" spans="44:50" x14ac:dyDescent="0.4">
      <c r="AR49">
        <f>_xlfn.STDEV.S(AR3:AR47)</f>
        <v>59.771238987501434</v>
      </c>
      <c r="AU49">
        <f>_xlfn.STDEV.S(AU3:AU47)</f>
        <v>71.619434753029381</v>
      </c>
      <c r="AX49">
        <f>_xlfn.STDEV.S(AX3:AX47)</f>
        <v>70.95453089511237</v>
      </c>
    </row>
  </sheetData>
  <mergeCells count="12">
    <mergeCell ref="BD2:BL2"/>
    <mergeCell ref="BM2:BU2"/>
    <mergeCell ref="BV2:CD2"/>
    <mergeCell ref="AV1:AX1"/>
    <mergeCell ref="O21:Q21"/>
    <mergeCell ref="R21:T21"/>
    <mergeCell ref="U21:W21"/>
    <mergeCell ref="N2:V2"/>
    <mergeCell ref="W2:AE2"/>
    <mergeCell ref="AF2:AN2"/>
    <mergeCell ref="AP1:AR1"/>
    <mergeCell ref="AS1:A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experiment design 1</vt:lpstr>
      <vt:lpstr>experiment design 2</vt:lpstr>
      <vt:lpstr>experiment parameters(A)</vt:lpstr>
      <vt:lpstr>experiment parameters(B)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2024-06-02T13:06:01Z</dcterms:created>
  <dcterms:modified xsi:type="dcterms:W3CDTF">2024-06-11T01:33:05Z</dcterms:modified>
</cp:coreProperties>
</file>