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final exam\"/>
    </mc:Choice>
  </mc:AlternateContent>
  <xr:revisionPtr revIDLastSave="0" documentId="13_ncr:1_{9C15E81C-F448-4BC3-A0BF-7A16415D08A7}" xr6:coauthVersionLast="47" xr6:coauthVersionMax="47" xr10:uidLastSave="{00000000-0000-0000-0000-000000000000}"/>
  <bookViews>
    <workbookView xWindow="-110" yWindow="-110" windowWidth="25820" windowHeight="15620" xr2:uid="{2224B4A3-7DDB-4A03-9076-3DDD34B94DE1}"/>
  </bookViews>
  <sheets>
    <sheet name="experiment design" sheetId="1" r:id="rId1"/>
    <sheet name="experiment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51" i="1" l="1"/>
  <c r="AK59" i="1" s="1"/>
  <c r="AK67" i="1" s="1"/>
  <c r="AK52" i="1"/>
  <c r="AK53" i="1"/>
  <c r="AK61" i="1" s="1"/>
  <c r="AK69" i="1" s="1"/>
  <c r="AK54" i="1"/>
  <c r="AK55" i="1"/>
  <c r="AK56" i="1"/>
  <c r="AK57" i="1"/>
  <c r="AK58" i="1"/>
  <c r="AK60" i="1"/>
  <c r="AK68" i="1" s="1"/>
  <c r="AK62" i="1"/>
  <c r="AK70" i="1" s="1"/>
  <c r="AK63" i="1"/>
  <c r="AK71" i="1" s="1"/>
  <c r="AK64" i="1"/>
  <c r="AK72" i="1" s="1"/>
  <c r="AK65" i="1"/>
  <c r="AK73" i="1" s="1"/>
  <c r="AK66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27" i="1"/>
  <c r="AK28" i="1"/>
  <c r="AK29" i="1"/>
  <c r="AK30" i="1"/>
  <c r="AK31" i="1"/>
  <c r="AK32" i="1"/>
  <c r="AK33" i="1"/>
  <c r="AK34" i="1"/>
  <c r="AK35" i="1"/>
  <c r="AK36" i="1"/>
  <c r="AK37" i="1"/>
  <c r="AK26" i="1"/>
  <c r="AK19" i="1"/>
  <c r="AK20" i="1"/>
  <c r="AK21" i="1"/>
  <c r="AK22" i="1"/>
  <c r="AK23" i="1"/>
  <c r="AK24" i="1"/>
  <c r="AK25" i="1"/>
  <c r="AK18" i="1"/>
  <c r="AK11" i="1"/>
  <c r="AK12" i="1"/>
  <c r="AK13" i="1"/>
  <c r="AK14" i="1"/>
  <c r="AK15" i="1"/>
  <c r="AK16" i="1"/>
  <c r="AK17" i="1"/>
  <c r="AK10" i="1"/>
  <c r="AK3" i="1"/>
  <c r="AK4" i="1"/>
  <c r="AK5" i="1"/>
  <c r="AK6" i="1"/>
  <c r="AK7" i="1"/>
  <c r="AK8" i="1"/>
  <c r="AK9" i="1"/>
  <c r="AK2" i="1"/>
  <c r="X67" i="2"/>
  <c r="X68" i="2"/>
  <c r="X69" i="2"/>
  <c r="X70" i="2"/>
  <c r="X71" i="2"/>
  <c r="X72" i="2"/>
  <c r="X73" i="2"/>
  <c r="X66" i="2"/>
  <c r="X59" i="2"/>
  <c r="X60" i="2"/>
  <c r="X61" i="2"/>
  <c r="X62" i="2"/>
  <c r="X63" i="2"/>
  <c r="X64" i="2"/>
  <c r="X65" i="2"/>
  <c r="X58" i="2"/>
  <c r="X51" i="2"/>
  <c r="X52" i="2"/>
  <c r="X53" i="2"/>
  <c r="X54" i="2"/>
  <c r="X55" i="2"/>
  <c r="X56" i="2"/>
  <c r="X57" i="2"/>
  <c r="X50" i="2"/>
  <c r="X43" i="2"/>
  <c r="X44" i="2"/>
  <c r="X45" i="2"/>
  <c r="X46" i="2"/>
  <c r="X47" i="2"/>
  <c r="X48" i="2"/>
  <c r="X49" i="2"/>
  <c r="X42" i="2"/>
  <c r="X35" i="2"/>
  <c r="X36" i="2"/>
  <c r="X37" i="2"/>
  <c r="X38" i="2"/>
  <c r="X39" i="2"/>
  <c r="X40" i="2"/>
  <c r="X41" i="2"/>
  <c r="X34" i="2"/>
  <c r="X27" i="2"/>
  <c r="X28" i="2"/>
  <c r="X29" i="2"/>
  <c r="X30" i="2"/>
  <c r="X31" i="2"/>
  <c r="X32" i="2"/>
  <c r="X33" i="2"/>
  <c r="X26" i="2"/>
  <c r="X19" i="2"/>
  <c r="X20" i="2"/>
  <c r="X21" i="2"/>
  <c r="X22" i="2"/>
  <c r="X23" i="2"/>
  <c r="X24" i="2"/>
  <c r="X25" i="2"/>
  <c r="X18" i="2"/>
  <c r="X11" i="2"/>
  <c r="X12" i="2"/>
  <c r="X13" i="2"/>
  <c r="X14" i="2"/>
  <c r="X15" i="2"/>
  <c r="X16" i="2"/>
  <c r="X17" i="2"/>
  <c r="X10" i="2"/>
  <c r="X3" i="2"/>
  <c r="X4" i="2"/>
  <c r="X5" i="2"/>
  <c r="X6" i="2"/>
  <c r="X7" i="2"/>
  <c r="X8" i="2"/>
  <c r="X9" i="2"/>
  <c r="X2" i="2"/>
  <c r="L41" i="1" l="1"/>
  <c r="L31" i="1"/>
  <c r="L32" i="1"/>
  <c r="L33" i="1"/>
  <c r="L34" i="1"/>
  <c r="L35" i="1"/>
  <c r="L36" i="1"/>
  <c r="L37" i="1"/>
  <c r="L30" i="1"/>
  <c r="I79" i="1" l="1"/>
  <c r="I80" i="1"/>
  <c r="I81" i="1"/>
  <c r="I82" i="1"/>
  <c r="I83" i="1"/>
  <c r="I84" i="1"/>
  <c r="I85" i="1"/>
  <c r="I78" i="1"/>
  <c r="I71" i="1"/>
  <c r="I72" i="1"/>
  <c r="I73" i="1"/>
  <c r="I74" i="1"/>
  <c r="I75" i="1"/>
  <c r="I76" i="1"/>
  <c r="I77" i="1"/>
  <c r="I70" i="1"/>
  <c r="I63" i="1"/>
  <c r="I64" i="1"/>
  <c r="I65" i="1"/>
  <c r="I66" i="1"/>
  <c r="I67" i="1"/>
  <c r="I68" i="1"/>
  <c r="I69" i="1"/>
  <c r="I62" i="1"/>
  <c r="I55" i="1"/>
  <c r="I56" i="1"/>
  <c r="I57" i="1"/>
  <c r="I58" i="1"/>
  <c r="I59" i="1"/>
  <c r="I60" i="1"/>
  <c r="I61" i="1"/>
  <c r="I54" i="1"/>
  <c r="I47" i="1"/>
  <c r="I48" i="1"/>
  <c r="I49" i="1"/>
  <c r="I50" i="1"/>
  <c r="I51" i="1"/>
  <c r="I52" i="1"/>
  <c r="I53" i="1"/>
  <c r="I46" i="1"/>
  <c r="I39" i="1"/>
  <c r="I40" i="1"/>
  <c r="I41" i="1"/>
  <c r="I42" i="1"/>
  <c r="I43" i="1"/>
  <c r="I44" i="1"/>
  <c r="I45" i="1"/>
  <c r="I38" i="1"/>
  <c r="I31" i="1"/>
  <c r="I32" i="1"/>
  <c r="I33" i="1"/>
  <c r="I34" i="1"/>
  <c r="I35" i="1"/>
  <c r="I36" i="1"/>
  <c r="I37" i="1"/>
  <c r="I30" i="1"/>
  <c r="I23" i="1"/>
  <c r="I24" i="1"/>
  <c r="I25" i="1"/>
  <c r="I26" i="1"/>
  <c r="I27" i="1"/>
  <c r="I28" i="1"/>
  <c r="I29" i="1"/>
  <c r="I22" i="1"/>
  <c r="I15" i="1"/>
  <c r="I16" i="1"/>
  <c r="I17" i="1"/>
  <c r="I18" i="1"/>
  <c r="I19" i="1"/>
  <c r="I20" i="1"/>
  <c r="I21" i="1"/>
  <c r="I14" i="1"/>
  <c r="V21" i="2"/>
  <c r="V20" i="2"/>
  <c r="V19" i="2"/>
  <c r="V18" i="2"/>
  <c r="V17" i="2"/>
  <c r="V16" i="2"/>
  <c r="V15" i="2"/>
  <c r="V14" i="2"/>
  <c r="J20" i="2"/>
  <c r="K19" i="2"/>
  <c r="K18" i="2"/>
  <c r="J18" i="2"/>
  <c r="J16" i="2"/>
  <c r="K15" i="2"/>
  <c r="K14" i="2"/>
  <c r="J14" i="2"/>
  <c r="Z10" i="1" l="1"/>
  <c r="AC4" i="1" s="1"/>
  <c r="Z11" i="1"/>
  <c r="U8" i="1"/>
  <c r="V8" i="1"/>
  <c r="V9" i="1"/>
  <c r="U9" i="1"/>
  <c r="V7" i="1"/>
  <c r="U7" i="1"/>
  <c r="V6" i="1"/>
  <c r="U6" i="1"/>
  <c r="AC6" i="1" l="1"/>
  <c r="AC3" i="1"/>
  <c r="AC9" i="1"/>
  <c r="AC8" i="1"/>
  <c r="AC7" i="1"/>
  <c r="AC5" i="1"/>
  <c r="V5" i="1"/>
  <c r="U5" i="1"/>
  <c r="V4" i="1"/>
  <c r="U4" i="1"/>
  <c r="V3" i="1"/>
  <c r="U3" i="1"/>
  <c r="P19" i="1" l="1"/>
  <c r="P20" i="1"/>
  <c r="P21" i="1"/>
  <c r="P22" i="1"/>
  <c r="P23" i="1"/>
  <c r="P24" i="1"/>
  <c r="O19" i="1"/>
  <c r="O20" i="1"/>
  <c r="O21" i="1"/>
  <c r="O22" i="1"/>
  <c r="O23" i="1"/>
  <c r="O24" i="1"/>
  <c r="P18" i="1"/>
  <c r="O18" i="1"/>
  <c r="Q8" i="1"/>
  <c r="O4" i="1"/>
  <c r="K31" i="1" s="1"/>
  <c r="O5" i="1"/>
  <c r="K32" i="1" s="1"/>
  <c r="O6" i="1"/>
  <c r="K33" i="1" s="1"/>
  <c r="O7" i="1"/>
  <c r="K34" i="1" s="1"/>
  <c r="O8" i="1"/>
  <c r="K35" i="1" s="1"/>
  <c r="O9" i="1"/>
  <c r="K36" i="1" s="1"/>
  <c r="O10" i="1"/>
  <c r="K37" i="1" s="1"/>
  <c r="O3" i="1"/>
  <c r="K30" i="1" s="1"/>
  <c r="Q2" i="1" l="1"/>
  <c r="Q4" i="1" s="1"/>
  <c r="Q6" i="1" s="1"/>
  <c r="J16" i="1"/>
  <c r="L14" i="1"/>
  <c r="L19" i="1" s="1"/>
  <c r="M14" i="1"/>
  <c r="M16" i="1" s="1"/>
  <c r="K14" i="1"/>
  <c r="L18" i="1" s="1"/>
  <c r="P6" i="1"/>
  <c r="N4" i="1"/>
  <c r="T11" i="1" s="1" a="1"/>
  <c r="T11" i="1" s="1"/>
  <c r="N5" i="1"/>
  <c r="T12" i="1" s="1" a="1"/>
  <c r="T12" i="1" s="1"/>
  <c r="N6" i="1"/>
  <c r="T13" i="1" s="1" a="1"/>
  <c r="T13" i="1" s="1"/>
  <c r="N7" i="1"/>
  <c r="T14" i="1" s="1" a="1"/>
  <c r="T14" i="1" s="1"/>
  <c r="N8" i="1"/>
  <c r="T15" i="1" s="1" a="1"/>
  <c r="T15" i="1" s="1"/>
  <c r="N9" i="1"/>
  <c r="T16" i="1" s="1" a="1"/>
  <c r="T16" i="1" s="1"/>
  <c r="N10" i="1"/>
  <c r="T17" i="1" s="1" a="1"/>
  <c r="T17" i="1" s="1"/>
  <c r="N3" i="1"/>
  <c r="T10" i="1" s="1" a="1"/>
  <c r="T10" i="1" s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H14" i="1"/>
  <c r="G14" i="1"/>
  <c r="F14" i="1"/>
  <c r="E14" i="1"/>
  <c r="K8" i="2"/>
  <c r="K7" i="2"/>
  <c r="K4" i="2"/>
  <c r="K3" i="2"/>
  <c r="J9" i="2"/>
  <c r="J7" i="2"/>
  <c r="J5" i="2"/>
  <c r="J3" i="2"/>
  <c r="G3" i="2"/>
  <c r="B3" i="2"/>
  <c r="F3" i="2" s="1"/>
  <c r="B2" i="2"/>
  <c r="E3" i="2" s="1"/>
  <c r="K39" i="1" l="1"/>
  <c r="L39" i="1"/>
  <c r="Z19" i="1"/>
  <c r="Z18" i="1" s="1"/>
  <c r="Q14" i="1"/>
  <c r="Q16" i="1" s="1"/>
  <c r="T18" i="1"/>
  <c r="Y10" i="1" s="1"/>
  <c r="O14" i="1"/>
  <c r="L22" i="1" s="1"/>
  <c r="R19" i="1"/>
  <c r="M19" i="1"/>
  <c r="N19" i="1" s="1"/>
  <c r="Q19" i="1"/>
  <c r="P14" i="1"/>
  <c r="L23" i="1" s="1"/>
  <c r="M18" i="1"/>
  <c r="N18" i="1" s="1"/>
  <c r="Q18" i="1"/>
  <c r="R18" i="1"/>
  <c r="N14" i="1"/>
  <c r="N16" i="1" s="1"/>
  <c r="AJ3" i="1" s="1"/>
  <c r="AL3" i="1" s="1"/>
  <c r="P8" i="1"/>
  <c r="T2" i="1" s="1" a="1"/>
  <c r="T2" i="1" s="1"/>
  <c r="L16" i="1"/>
  <c r="K16" i="1"/>
  <c r="L20" i="1"/>
  <c r="D3" i="2"/>
  <c r="AJ70" i="1" l="1"/>
  <c r="AL70" i="1" s="1"/>
  <c r="AJ9" i="1"/>
  <c r="AL9" i="1" s="1"/>
  <c r="AJ5" i="1"/>
  <c r="AL5" i="1" s="1"/>
  <c r="AJ68" i="1"/>
  <c r="AL68" i="1" s="1"/>
  <c r="AJ4" i="1"/>
  <c r="AL4" i="1" s="1"/>
  <c r="AJ65" i="1"/>
  <c r="AL65" i="1" s="1"/>
  <c r="AJ14" i="1"/>
  <c r="AL14" i="1" s="1"/>
  <c r="AJ61" i="1"/>
  <c r="AL61" i="1" s="1"/>
  <c r="AJ27" i="1"/>
  <c r="AL27" i="1" s="1"/>
  <c r="AJ11" i="1"/>
  <c r="AL11" i="1" s="1"/>
  <c r="AJ29" i="1"/>
  <c r="AL29" i="1" s="1"/>
  <c r="AJ36" i="1"/>
  <c r="AL36" i="1" s="1"/>
  <c r="AJ33" i="1"/>
  <c r="AL33" i="1" s="1"/>
  <c r="AJ48" i="1"/>
  <c r="AL48" i="1" s="1"/>
  <c r="AJ38" i="1"/>
  <c r="AL38" i="1" s="1"/>
  <c r="AJ2" i="1"/>
  <c r="AL2" i="1" s="1"/>
  <c r="AJ13" i="1"/>
  <c r="AL13" i="1" s="1"/>
  <c r="AJ58" i="1"/>
  <c r="AL58" i="1" s="1"/>
  <c r="AJ44" i="1"/>
  <c r="AL44" i="1" s="1"/>
  <c r="AJ39" i="1"/>
  <c r="AL39" i="1" s="1"/>
  <c r="AJ51" i="1"/>
  <c r="AL51" i="1" s="1"/>
  <c r="AJ17" i="1"/>
  <c r="AL17" i="1" s="1"/>
  <c r="AJ26" i="1"/>
  <c r="AL26" i="1" s="1"/>
  <c r="AJ45" i="1"/>
  <c r="AL45" i="1" s="1"/>
  <c r="AJ49" i="1"/>
  <c r="AL49" i="1" s="1"/>
  <c r="AJ35" i="1"/>
  <c r="AL35" i="1" s="1"/>
  <c r="AJ62" i="1"/>
  <c r="AL62" i="1" s="1"/>
  <c r="AJ19" i="1"/>
  <c r="AL19" i="1" s="1"/>
  <c r="AJ60" i="1"/>
  <c r="AL60" i="1" s="1"/>
  <c r="AJ12" i="1"/>
  <c r="AL12" i="1" s="1"/>
  <c r="AJ67" i="1"/>
  <c r="AL67" i="1" s="1"/>
  <c r="AJ31" i="1"/>
  <c r="AL31" i="1" s="1"/>
  <c r="AJ42" i="1"/>
  <c r="AL42" i="1" s="1"/>
  <c r="AJ8" i="1"/>
  <c r="AL8" i="1" s="1"/>
  <c r="AJ28" i="1"/>
  <c r="AL28" i="1" s="1"/>
  <c r="AJ72" i="1"/>
  <c r="AL72" i="1" s="1"/>
  <c r="AJ22" i="1"/>
  <c r="AL22" i="1" s="1"/>
  <c r="AJ54" i="1"/>
  <c r="AL54" i="1" s="1"/>
  <c r="AJ55" i="1"/>
  <c r="AL55" i="1" s="1"/>
  <c r="AJ24" i="1"/>
  <c r="AL24" i="1" s="1"/>
  <c r="AJ64" i="1"/>
  <c r="AL64" i="1" s="1"/>
  <c r="AJ73" i="1"/>
  <c r="AL73" i="1" s="1"/>
  <c r="AJ71" i="1"/>
  <c r="AL71" i="1" s="1"/>
  <c r="AJ40" i="1"/>
  <c r="AL40" i="1" s="1"/>
  <c r="AJ15" i="1"/>
  <c r="AL15" i="1" s="1"/>
  <c r="AJ7" i="1"/>
  <c r="AL7" i="1" s="1"/>
  <c r="AJ10" i="1"/>
  <c r="AL10" i="1" s="1"/>
  <c r="AJ20" i="1"/>
  <c r="AL20" i="1" s="1"/>
  <c r="AJ30" i="1"/>
  <c r="AL30" i="1" s="1"/>
  <c r="AJ69" i="1"/>
  <c r="AL69" i="1" s="1"/>
  <c r="AJ66" i="1"/>
  <c r="AL66" i="1" s="1"/>
  <c r="AJ56" i="1"/>
  <c r="AL56" i="1" s="1"/>
  <c r="AJ47" i="1"/>
  <c r="AL47" i="1" s="1"/>
  <c r="AJ57" i="1"/>
  <c r="AL57" i="1" s="1"/>
  <c r="AJ52" i="1"/>
  <c r="AL52" i="1" s="1"/>
  <c r="AJ16" i="1"/>
  <c r="AL16" i="1" s="1"/>
  <c r="AJ6" i="1"/>
  <c r="AL6" i="1" s="1"/>
  <c r="AJ53" i="1"/>
  <c r="AL53" i="1" s="1"/>
  <c r="AJ50" i="1"/>
  <c r="AL50" i="1" s="1"/>
  <c r="AJ23" i="1"/>
  <c r="AL23" i="1" s="1"/>
  <c r="AJ46" i="1"/>
  <c r="AL46" i="1" s="1"/>
  <c r="AJ41" i="1"/>
  <c r="AL41" i="1" s="1"/>
  <c r="AJ37" i="1"/>
  <c r="AL37" i="1" s="1"/>
  <c r="AJ32" i="1"/>
  <c r="AL32" i="1" s="1"/>
  <c r="AJ59" i="1"/>
  <c r="AL59" i="1" s="1"/>
  <c r="AJ25" i="1"/>
  <c r="AL25" i="1" s="1"/>
  <c r="AJ34" i="1"/>
  <c r="AL34" i="1" s="1"/>
  <c r="AJ21" i="1"/>
  <c r="AL21" i="1" s="1"/>
  <c r="AJ18" i="1"/>
  <c r="AL18" i="1" s="1"/>
  <c r="AJ63" i="1"/>
  <c r="AL63" i="1" s="1"/>
  <c r="AJ43" i="1"/>
  <c r="AL43" i="1" s="1"/>
  <c r="AC17" i="1"/>
  <c r="AC16" i="1"/>
  <c r="K41" i="1"/>
  <c r="M41" i="1" s="1"/>
  <c r="T7" i="1"/>
  <c r="Y7" i="1" s="1"/>
  <c r="AA7" i="1" s="1"/>
  <c r="AA10" i="1"/>
  <c r="T8" i="1"/>
  <c r="Y8" i="1" s="1"/>
  <c r="AA8" i="1" s="1"/>
  <c r="AB8" i="1" s="1"/>
  <c r="T6" i="1"/>
  <c r="T9" i="1"/>
  <c r="Y9" i="1" s="1"/>
  <c r="AA9" i="1" s="1"/>
  <c r="L24" i="1"/>
  <c r="Q24" i="1" s="1"/>
  <c r="T5" i="1"/>
  <c r="Y5" i="1" s="1"/>
  <c r="AA5" i="1" s="1"/>
  <c r="T3" i="1"/>
  <c r="T4" i="1"/>
  <c r="O16" i="1"/>
  <c r="P16" i="1"/>
  <c r="M23" i="1"/>
  <c r="N23" i="1" s="1"/>
  <c r="Q23" i="1"/>
  <c r="R23" i="1"/>
  <c r="Q20" i="1"/>
  <c r="R20" i="1"/>
  <c r="M20" i="1"/>
  <c r="N20" i="1" s="1"/>
  <c r="L21" i="1"/>
  <c r="M22" i="1"/>
  <c r="N22" i="1" s="1"/>
  <c r="Q22" i="1"/>
  <c r="R22" i="1"/>
  <c r="AM37" i="1" l="1"/>
  <c r="AM41" i="1"/>
  <c r="AM23" i="1"/>
  <c r="AM46" i="1"/>
  <c r="AM14" i="1"/>
  <c r="AM15" i="1"/>
  <c r="AM20" i="1"/>
  <c r="AM31" i="1"/>
  <c r="AM44" i="1"/>
  <c r="AM10" i="1"/>
  <c r="AM67" i="1"/>
  <c r="AM65" i="1"/>
  <c r="AM7" i="1"/>
  <c r="AM11" i="1"/>
  <c r="AM58" i="1"/>
  <c r="AN58" i="1" s="1"/>
  <c r="AM12" i="1"/>
  <c r="AN12" i="1" s="1"/>
  <c r="AM13" i="1"/>
  <c r="AM40" i="1"/>
  <c r="AM60" i="1"/>
  <c r="AM53" i="1"/>
  <c r="AM71" i="1"/>
  <c r="AM19" i="1"/>
  <c r="AI75" i="1"/>
  <c r="AN15" i="1" s="1"/>
  <c r="AI74" i="1"/>
  <c r="AN46" i="1" s="1"/>
  <c r="AM2" i="1"/>
  <c r="AM6" i="1"/>
  <c r="AN6" i="1" s="1"/>
  <c r="AM73" i="1"/>
  <c r="AN73" i="1" s="1"/>
  <c r="AM62" i="1"/>
  <c r="AN62" i="1" s="1"/>
  <c r="AM38" i="1"/>
  <c r="AN38" i="1" s="1"/>
  <c r="AN23" i="1"/>
  <c r="AM16" i="1"/>
  <c r="AN16" i="1" s="1"/>
  <c r="AM64" i="1"/>
  <c r="AN64" i="1" s="1"/>
  <c r="AM35" i="1"/>
  <c r="AM61" i="1"/>
  <c r="AM52" i="1"/>
  <c r="AM24" i="1"/>
  <c r="AM49" i="1"/>
  <c r="AM48" i="1"/>
  <c r="AM43" i="1"/>
  <c r="AN43" i="1" s="1"/>
  <c r="AM63" i="1"/>
  <c r="AN63" i="1" s="1"/>
  <c r="AM27" i="1"/>
  <c r="AN27" i="1" s="1"/>
  <c r="AM55" i="1"/>
  <c r="AN55" i="1" s="1"/>
  <c r="AM45" i="1"/>
  <c r="AN45" i="1" s="1"/>
  <c r="AM33" i="1"/>
  <c r="AN33" i="1" s="1"/>
  <c r="AM57" i="1"/>
  <c r="AN57" i="1" s="1"/>
  <c r="AM54" i="1"/>
  <c r="AN54" i="1" s="1"/>
  <c r="AM68" i="1"/>
  <c r="AN68" i="1" s="1"/>
  <c r="AM36" i="1"/>
  <c r="AN36" i="1" s="1"/>
  <c r="AM47" i="1"/>
  <c r="AN47" i="1" s="1"/>
  <c r="AM22" i="1"/>
  <c r="AN22" i="1" s="1"/>
  <c r="AM26" i="1"/>
  <c r="AM4" i="1"/>
  <c r="AN4" i="1" s="1"/>
  <c r="AM34" i="1"/>
  <c r="AN34" i="1" s="1"/>
  <c r="AM56" i="1"/>
  <c r="AN56" i="1" s="1"/>
  <c r="AM72" i="1"/>
  <c r="AN72" i="1" s="1"/>
  <c r="AM17" i="1"/>
  <c r="AN17" i="1" s="1"/>
  <c r="AM29" i="1"/>
  <c r="AN29" i="1" s="1"/>
  <c r="AM50" i="1"/>
  <c r="AN50" i="1" s="1"/>
  <c r="AM18" i="1"/>
  <c r="AN18" i="1" s="1"/>
  <c r="AM25" i="1"/>
  <c r="AN25" i="1" s="1"/>
  <c r="AM66" i="1"/>
  <c r="AN66" i="1" s="1"/>
  <c r="AM28" i="1"/>
  <c r="AN28" i="1" s="1"/>
  <c r="AM51" i="1"/>
  <c r="AN51" i="1" s="1"/>
  <c r="AM5" i="1"/>
  <c r="AN5" i="1" s="1"/>
  <c r="Y18" i="1"/>
  <c r="AA18" i="1" s="1"/>
  <c r="AM59" i="1"/>
  <c r="AN59" i="1" s="1"/>
  <c r="AM69" i="1"/>
  <c r="AN69" i="1" s="1"/>
  <c r="AM8" i="1"/>
  <c r="AN8" i="1" s="1"/>
  <c r="AM39" i="1"/>
  <c r="AN39" i="1" s="1"/>
  <c r="AM3" i="1"/>
  <c r="AN3" i="1" s="1"/>
  <c r="AM21" i="1"/>
  <c r="AN21" i="1" s="1"/>
  <c r="AM32" i="1"/>
  <c r="AN32" i="1" s="1"/>
  <c r="AM30" i="1"/>
  <c r="AN30" i="1" s="1"/>
  <c r="AM42" i="1"/>
  <c r="AN42" i="1" s="1"/>
  <c r="AM70" i="1"/>
  <c r="AN70" i="1" s="1"/>
  <c r="AM9" i="1"/>
  <c r="AN9" i="1" s="1"/>
  <c r="Y4" i="1"/>
  <c r="AA4" i="1" s="1"/>
  <c r="AB4" i="1" s="1"/>
  <c r="Y16" i="1"/>
  <c r="Y6" i="1"/>
  <c r="AA6" i="1" s="1"/>
  <c r="AB6" i="1" s="1"/>
  <c r="Y17" i="1"/>
  <c r="AA17" i="1" s="1"/>
  <c r="AB5" i="1"/>
  <c r="AB9" i="1"/>
  <c r="M24" i="1"/>
  <c r="N24" i="1" s="1"/>
  <c r="R24" i="1"/>
  <c r="AB7" i="1"/>
  <c r="U18" i="1"/>
  <c r="Y3" i="1"/>
  <c r="M21" i="1"/>
  <c r="N21" i="1" s="1"/>
  <c r="Q21" i="1"/>
  <c r="R21" i="1"/>
  <c r="AN7" i="1" l="1"/>
  <c r="AN65" i="1"/>
  <c r="AN49" i="1"/>
  <c r="AN26" i="1"/>
  <c r="AN35" i="1"/>
  <c r="AN13" i="1"/>
  <c r="AN61" i="1"/>
  <c r="AN40" i="1"/>
  <c r="AN14" i="1"/>
  <c r="AB17" i="1"/>
  <c r="AN11" i="1"/>
  <c r="AN67" i="1"/>
  <c r="AN2" i="1"/>
  <c r="AN10" i="1"/>
  <c r="AN41" i="1"/>
  <c r="AN44" i="1"/>
  <c r="AN48" i="1"/>
  <c r="AN19" i="1"/>
  <c r="AN31" i="1"/>
  <c r="AN71" i="1"/>
  <c r="AN20" i="1"/>
  <c r="AN24" i="1"/>
  <c r="AN53" i="1"/>
  <c r="AN37" i="1"/>
  <c r="AN52" i="1"/>
  <c r="AN60" i="1"/>
  <c r="AA16" i="1"/>
  <c r="AB16" i="1" s="1"/>
  <c r="Y19" i="1"/>
  <c r="AA3" i="1"/>
  <c r="AB3" i="1" s="1"/>
  <c r="Y11" i="1"/>
  <c r="Y20" i="1" l="1"/>
  <c r="Y21" i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<sst xmlns="http://schemas.openxmlformats.org/spreadsheetml/2006/main" count="251" uniqueCount="116">
  <si>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</si>
  <si>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</si>
  <si>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</si>
  <si>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</si>
  <si>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run1</t>
    <phoneticPr fontId="1" type="noConversion"/>
  </si>
  <si>
    <t>run2</t>
    <phoneticPr fontId="1" type="noConversion"/>
  </si>
  <si>
    <t>run3</t>
    <phoneticPr fontId="1" type="noConversion"/>
  </si>
  <si>
    <t>width-height ratio</t>
    <phoneticPr fontId="1" type="noConversion"/>
  </si>
  <si>
    <t>paper height(mm)</t>
    <phoneticPr fontId="1" type="noConversion"/>
  </si>
  <si>
    <t>leg length(mm)</t>
    <phoneticPr fontId="1" type="noConversion"/>
  </si>
  <si>
    <t>code</t>
    <phoneticPr fontId="1" type="noConversion"/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</si>
  <si>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</si>
  <si>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</si>
  <si>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</si>
  <si>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</si>
  <si>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y_bar</t>
    <phoneticPr fontId="1" type="noConversion"/>
  </si>
  <si>
    <t>y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</si>
  <si>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</si>
  <si>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</si>
  <si>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</si>
  <si>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E13</t>
    <phoneticPr fontId="1" type="noConversion"/>
  </si>
  <si>
    <t>E23</t>
    <phoneticPr fontId="1" type="noConversion"/>
  </si>
  <si>
    <t>E123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</si>
  <si>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</si>
  <si>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</si>
  <si>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</si>
  <si>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y_bar_bar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</si>
  <si>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</si>
  <si>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</si>
  <si>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</si>
  <si>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b13</t>
    <phoneticPr fontId="1" type="noConversion"/>
  </si>
  <si>
    <t>b12</t>
    <phoneticPr fontId="1" type="noConversion"/>
  </si>
  <si>
    <t>b3</t>
    <phoneticPr fontId="1" type="noConversion"/>
  </si>
  <si>
    <t>E12</t>
    <phoneticPr fontId="1" type="noConversion"/>
  </si>
  <si>
    <t>b23</t>
    <phoneticPr fontId="1" type="noConversion"/>
  </si>
  <si>
    <t>b123</t>
    <phoneticPr fontId="1" type="noConversion"/>
  </si>
  <si>
    <t>s_i^2</t>
    <phoneticPr fontId="1" type="noConversion"/>
  </si>
  <si>
    <t>s_p^2</t>
    <phoneticPr fontId="1" type="noConversion"/>
  </si>
  <si>
    <t>s_effect^2</t>
    <phoneticPr fontId="1" type="noConversion"/>
  </si>
  <si>
    <t>t-test</t>
    <phoneticPr fontId="1" type="noConversion"/>
  </si>
  <si>
    <t>s_effect</t>
    <phoneticPr fontId="1" type="noConversion"/>
  </si>
  <si>
    <t>dof</t>
    <phoneticPr fontId="1" type="noConversion"/>
  </si>
  <si>
    <t>t_64,0.025</t>
    <phoneticPr fontId="1" type="noConversion"/>
  </si>
  <si>
    <t>t_64,0.975</t>
    <phoneticPr fontId="1" type="noConversion"/>
  </si>
  <si>
    <t>(-)</t>
    <phoneticPr fontId="1" type="noConversion"/>
  </si>
  <si>
    <t>(+)</t>
    <phoneticPr fontId="1" type="noConversion"/>
  </si>
  <si>
    <t>p-value</t>
    <phoneticPr fontId="1" type="noConversion"/>
  </si>
  <si>
    <t>SST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</si>
  <si>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</si>
  <si>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</si>
  <si>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</si>
  <si>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SSE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</si>
  <si>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</si>
  <si>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</si>
  <si>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</si>
  <si>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</si>
  <si>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source of variation</t>
    <phoneticPr fontId="1" type="noConversion"/>
  </si>
  <si>
    <t>SS</t>
    <phoneticPr fontId="1" type="noConversion"/>
  </si>
  <si>
    <t>DOF</t>
    <phoneticPr fontId="1" type="noConversion"/>
  </si>
  <si>
    <t>MS</t>
    <phoneticPr fontId="1" type="noConversion"/>
  </si>
  <si>
    <t>F</t>
    <phoneticPr fontId="1" type="noConversion"/>
  </si>
  <si>
    <t>F_0.05</t>
    <phoneticPr fontId="1" type="noConversion"/>
  </si>
  <si>
    <t>E2</t>
  </si>
  <si>
    <t>E3</t>
  </si>
  <si>
    <t>error</t>
    <phoneticPr fontId="1" type="noConversion"/>
  </si>
  <si>
    <t>total</t>
    <phoneticPr fontId="1" type="noConversion"/>
  </si>
  <si>
    <t>R^2</t>
    <phoneticPr fontId="1" type="noConversion"/>
  </si>
  <si>
    <t>adjusted R^2</t>
    <phoneticPr fontId="1" type="noConversion"/>
  </si>
  <si>
    <t>replication 1</t>
    <phoneticPr fontId="1" type="noConversion"/>
  </si>
  <si>
    <t>replication 2</t>
  </si>
  <si>
    <t>replication 3</t>
  </si>
  <si>
    <t>6--1</t>
    <phoneticPr fontId="1" type="noConversion"/>
  </si>
  <si>
    <t>2--1</t>
    <phoneticPr fontId="1" type="noConversion"/>
  </si>
  <si>
    <t>8--2</t>
    <phoneticPr fontId="1" type="noConversion"/>
  </si>
  <si>
    <t>2--2</t>
    <phoneticPr fontId="1" type="noConversion"/>
  </si>
  <si>
    <t>8--3</t>
    <phoneticPr fontId="1" type="noConversion"/>
  </si>
  <si>
    <t>7--2</t>
    <phoneticPr fontId="1" type="noConversion"/>
  </si>
  <si>
    <t>4--2</t>
    <phoneticPr fontId="1" type="noConversion"/>
  </si>
  <si>
    <t>4--1</t>
    <phoneticPr fontId="1" type="noConversion"/>
  </si>
  <si>
    <t>2--3</t>
    <phoneticPr fontId="1" type="noConversion"/>
  </si>
  <si>
    <t>3--3</t>
    <phoneticPr fontId="1" type="noConversion"/>
  </si>
  <si>
    <t>3--1</t>
    <phoneticPr fontId="1" type="noConversion"/>
  </si>
  <si>
    <t>6--3</t>
    <phoneticPr fontId="1" type="noConversion"/>
  </si>
  <si>
    <t>8--1</t>
    <phoneticPr fontId="1" type="noConversion"/>
  </si>
  <si>
    <t>7--3</t>
    <phoneticPr fontId="1" type="noConversion"/>
  </si>
  <si>
    <t>1--3</t>
    <phoneticPr fontId="1" type="noConversion"/>
  </si>
  <si>
    <t>1--1</t>
    <phoneticPr fontId="1" type="noConversion"/>
  </si>
  <si>
    <t>5--3</t>
    <phoneticPr fontId="1" type="noConversion"/>
  </si>
  <si>
    <t>5--2</t>
    <phoneticPr fontId="1" type="noConversion"/>
  </si>
  <si>
    <t>6--2</t>
    <phoneticPr fontId="1" type="noConversion"/>
  </si>
  <si>
    <t>3--2</t>
    <phoneticPr fontId="1" type="noConversion"/>
  </si>
  <si>
    <t>1--2</t>
    <phoneticPr fontId="1" type="noConversion"/>
  </si>
  <si>
    <t>5--1</t>
    <phoneticPr fontId="1" type="noConversion"/>
  </si>
  <si>
    <t>4--3</t>
    <phoneticPr fontId="1" type="noConversion"/>
  </si>
  <si>
    <t>7--1</t>
    <phoneticPr fontId="1" type="noConversion"/>
  </si>
  <si>
    <t>average</t>
    <phoneticPr fontId="1" type="noConversion"/>
  </si>
  <si>
    <t>replicate 1</t>
    <phoneticPr fontId="1" type="noConversion"/>
  </si>
  <si>
    <t>replicate 2</t>
  </si>
  <si>
    <t>replicate 3</t>
  </si>
  <si>
    <t>bartlett's test</t>
    <phoneticPr fontId="1" type="noConversion"/>
  </si>
  <si>
    <t>(n_i-1)ln(s_i^2)</t>
    <phoneticPr fontId="1" type="noConversion"/>
  </si>
  <si>
    <t>1/(n_i-1)</t>
    <phoneticPr fontId="1" type="noConversion"/>
  </si>
  <si>
    <t>M</t>
    <phoneticPr fontId="1" type="noConversion"/>
  </si>
  <si>
    <t>c</t>
    <phoneticPr fontId="1" type="noConversion"/>
  </si>
  <si>
    <t>M/c</t>
    <phoneticPr fontId="1" type="noConversion"/>
  </si>
  <si>
    <t>chisq</t>
    <phoneticPr fontId="1" type="noConversion"/>
  </si>
  <si>
    <t>H_0</t>
    <phoneticPr fontId="1" type="noConversion"/>
  </si>
  <si>
    <t>y</t>
  </si>
  <si>
    <t>y_hat</t>
    <phoneticPr fontId="1" type="noConversion"/>
  </si>
  <si>
    <t>e_ij</t>
    <phoneticPr fontId="1" type="noConversion"/>
  </si>
  <si>
    <t>e_average</t>
    <phoneticPr fontId="1" type="noConversion"/>
  </si>
  <si>
    <t>e_std</t>
    <phoneticPr fontId="1" type="noConversion"/>
  </si>
  <si>
    <t>percentile</t>
    <phoneticPr fontId="1" type="noConversion"/>
  </si>
  <si>
    <t>norm.inv</t>
    <phoneticPr fontId="1" type="noConversion"/>
  </si>
  <si>
    <t>order</t>
  </si>
  <si>
    <t>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</si>
</sst>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design'!$K$18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design'!$Q$18,'experiment design'!$L$18,'experiment design'!$R$18)</c:f>
              <c:numCache>
                <c:formatCode>General</c:formatCode>
                <c:ptCount val="3"/>
                <c:pt idx="0">
                  <c:v>-47.489168787853536</c:v>
                </c:pt>
                <c:pt idx="1">
                  <c:v>-20.416666666666668</c:v>
                </c:pt>
                <c:pt idx="2">
                  <c:v>6.6558354545202008</c:v>
                </c:pt>
              </c:numCache>
            </c:numRef>
          </c:xVal>
          <c:yVal>
            <c:numRef>
              <c:f>('experiment design'!$J$18,'experiment design'!$J$18,'experiment design'!$J$18)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E-4871-A287-F9F9A3B8A6E2}"/>
            </c:ext>
          </c:extLst>
        </c:ser>
        <c:ser>
          <c:idx val="1"/>
          <c:order val="1"/>
          <c:tx>
            <c:strRef>
              <c:f>'experiment design'!$K$19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design'!$Q$19,'experiment design'!$L$19,'experiment design'!$R$19)</c:f>
              <c:numCache>
                <c:formatCode>General</c:formatCode>
                <c:ptCount val="3"/>
                <c:pt idx="0">
                  <c:v>-65.544724343409086</c:v>
                </c:pt>
                <c:pt idx="1">
                  <c:v>-38.472222222222221</c:v>
                </c:pt>
                <c:pt idx="2">
                  <c:v>-11.399720101035353</c:v>
                </c:pt>
              </c:numCache>
            </c:numRef>
          </c:xVal>
          <c:yVal>
            <c:numRef>
              <c:f>('experiment design'!$J$19,'experiment design'!$J$19,'experiment design'!$J$19)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E-4871-A287-F9F9A3B8A6E2}"/>
            </c:ext>
          </c:extLst>
        </c:ser>
        <c:ser>
          <c:idx val="2"/>
          <c:order val="2"/>
          <c:tx>
            <c:strRef>
              <c:f>'experiment design'!$K$20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design'!$Q$20,'experiment design'!$L$20,'experiment design'!$R$20)</c:f>
              <c:numCache>
                <c:formatCode>General</c:formatCode>
                <c:ptCount val="3"/>
                <c:pt idx="0">
                  <c:v>-14.155835454520203</c:v>
                </c:pt>
                <c:pt idx="1">
                  <c:v>12.916666666666666</c:v>
                </c:pt>
                <c:pt idx="2">
                  <c:v>39.989168787853536</c:v>
                </c:pt>
              </c:numCache>
            </c:numRef>
          </c:xVal>
          <c:yVal>
            <c:numRef>
              <c:f>('experiment design'!$J$20,'experiment design'!$J$20,'experiment design'!$J$20)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E-4871-A287-F9F9A3B8A6E2}"/>
            </c:ext>
          </c:extLst>
        </c:ser>
        <c:ser>
          <c:idx val="3"/>
          <c:order val="3"/>
          <c:tx>
            <c:strRef>
              <c:f>'experiment design'!$K$21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design'!$Q$21,'experiment design'!$L$21,'experiment design'!$R$21)</c:f>
              <c:numCache>
                <c:formatCode>General</c:formatCode>
                <c:ptCount val="3"/>
                <c:pt idx="0">
                  <c:v>26.677497878813131</c:v>
                </c:pt>
                <c:pt idx="1">
                  <c:v>53.75</c:v>
                </c:pt>
                <c:pt idx="2">
                  <c:v>80.822502121186872</c:v>
                </c:pt>
              </c:numCache>
            </c:numRef>
          </c:xVal>
          <c:yVal>
            <c:numRef>
              <c:f>('experiment design'!$J$21,'experiment design'!$J$21,'experiment design'!$J$21)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BE-4871-A287-F9F9A3B8A6E2}"/>
            </c:ext>
          </c:extLst>
        </c:ser>
        <c:ser>
          <c:idx val="4"/>
          <c:order val="4"/>
          <c:tx>
            <c:strRef>
              <c:f>'experiment design'!$K$22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design'!$Q$22,'experiment design'!$L$22,'experiment design'!$R$22)</c:f>
              <c:numCache>
                <c:formatCode>General</c:formatCode>
                <c:ptCount val="3"/>
                <c:pt idx="0">
                  <c:v>-16.655835454520201</c:v>
                </c:pt>
                <c:pt idx="1">
                  <c:v>10.416666666666666</c:v>
                </c:pt>
                <c:pt idx="2">
                  <c:v>37.489168787853536</c:v>
                </c:pt>
              </c:numCache>
            </c:numRef>
          </c:xVal>
          <c:yVal>
            <c:numRef>
              <c:f>('experiment design'!$J$22,'experiment design'!$J$22,'experiment design'!$J$22)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BE-4871-A287-F9F9A3B8A6E2}"/>
            </c:ext>
          </c:extLst>
        </c:ser>
        <c:ser>
          <c:idx val="5"/>
          <c:order val="5"/>
          <c:tx>
            <c:strRef>
              <c:f>'experiment design'!$K$23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design'!$Q$23,'experiment design'!$L$23,'experiment design'!$R$23)</c:f>
              <c:numCache>
                <c:formatCode>General</c:formatCode>
                <c:ptCount val="3"/>
                <c:pt idx="0">
                  <c:v>-24.711391010075758</c:v>
                </c:pt>
                <c:pt idx="1">
                  <c:v>2.3611111111111112</c:v>
                </c:pt>
                <c:pt idx="2">
                  <c:v>29.433613232297979</c:v>
                </c:pt>
              </c:numCache>
            </c:numRef>
          </c:xVal>
          <c:yVal>
            <c:numRef>
              <c:f>('experiment design'!$J$23,'experiment design'!$J$23,'experiment design'!$J$23)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BE-4871-A287-F9F9A3B8A6E2}"/>
            </c:ext>
          </c:extLst>
        </c:ser>
        <c:ser>
          <c:idx val="6"/>
          <c:order val="6"/>
          <c:tx>
            <c:strRef>
              <c:f>'experiment design'!$K$24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design'!$Q$24,'experiment design'!$L$24,'experiment design'!$R$24)</c:f>
              <c:numCache>
                <c:formatCode>General</c:formatCode>
                <c:ptCount val="3"/>
                <c:pt idx="0">
                  <c:v>-24.433613232297979</c:v>
                </c:pt>
                <c:pt idx="1">
                  <c:v>2.6388888888888888</c:v>
                </c:pt>
                <c:pt idx="2">
                  <c:v>29.711391010075758</c:v>
                </c:pt>
              </c:numCache>
            </c:numRef>
          </c:xVal>
          <c:yVal>
            <c:numRef>
              <c:f>('experiment design'!$J$24,'experiment design'!$J$24,'experiment design'!$J$24)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E-4871-A287-F9F9A3B8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8047"/>
        <c:axId val="529324287"/>
      </c:scatterChart>
      <c:valAx>
        <c:axId val="52931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24287"/>
        <c:crosses val="autoZero"/>
        <c:crossBetween val="midCat"/>
      </c:valAx>
      <c:valAx>
        <c:axId val="52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1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438466025080198"/>
          <c:w val="0.13354177602799649"/>
          <c:h val="0.75058253135024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design'!$AN$2:$AN$73</c:f>
              <c:numCache>
                <c:formatCode>General</c:formatCode>
                <c:ptCount val="72"/>
                <c:pt idx="0">
                  <c:v>41.677300959278639</c:v>
                </c:pt>
                <c:pt idx="1">
                  <c:v>-6.864956766357027</c:v>
                </c:pt>
                <c:pt idx="2">
                  <c:v>-16.881125046762101</c:v>
                </c:pt>
                <c:pt idx="3">
                  <c:v>-23.137671151497702</c:v>
                </c:pt>
                <c:pt idx="4">
                  <c:v>29.695838171192797</c:v>
                </c:pt>
                <c:pt idx="5">
                  <c:v>-114.46929733823737</c:v>
                </c:pt>
                <c:pt idx="6">
                  <c:v>-16.881125046762101</c:v>
                </c:pt>
                <c:pt idx="7">
                  <c:v>-12.828100970816644</c:v>
                </c:pt>
                <c:pt idx="8">
                  <c:v>55.952348759960444</c:v>
                </c:pt>
                <c:pt idx="9">
                  <c:v>66.583234126221782</c:v>
                </c:pt>
                <c:pt idx="10">
                  <c:v>-31.97026939576298</c:v>
                </c:pt>
                <c:pt idx="11">
                  <c:v>44.29886080979599</c:v>
                </c:pt>
                <c:pt idx="12">
                  <c:v>14.844958831294774</c:v>
                </c:pt>
                <c:pt idx="13">
                  <c:v>-10.827635532185878</c:v>
                </c:pt>
                <c:pt idx="14">
                  <c:v>138.25804463025159</c:v>
                </c:pt>
                <c:pt idx="15">
                  <c:v>-70.708197388940249</c:v>
                </c:pt>
                <c:pt idx="16">
                  <c:v>-0.97832404884647162</c:v>
                </c:pt>
                <c:pt idx="17">
                  <c:v>39.14345007191109</c:v>
                </c:pt>
                <c:pt idx="18">
                  <c:v>-44.298860809795983</c:v>
                </c:pt>
                <c:pt idx="19">
                  <c:v>102.03137820742735</c:v>
                </c:pt>
                <c:pt idx="20">
                  <c:v>114.46929733823744</c:v>
                </c:pt>
                <c:pt idx="21">
                  <c:v>-34.298323123144158</c:v>
                </c:pt>
                <c:pt idx="22">
                  <c:v>23.137671151497734</c:v>
                </c:pt>
                <c:pt idx="23">
                  <c:v>-8.8408001667183704</c:v>
                </c:pt>
                <c:pt idx="24">
                  <c:v>-36.686790262191934</c:v>
                </c:pt>
                <c:pt idx="25">
                  <c:v>-59.26094753519299</c:v>
                </c:pt>
                <c:pt idx="26">
                  <c:v>27.469046921884669</c:v>
                </c:pt>
                <c:pt idx="27">
                  <c:v>-41.677300959278618</c:v>
                </c:pt>
                <c:pt idx="28">
                  <c:v>70.708197388940263</c:v>
                </c:pt>
                <c:pt idx="29">
                  <c:v>10.827635532185889</c:v>
                </c:pt>
                <c:pt idx="30">
                  <c:v>16.881125046762115</c:v>
                </c:pt>
                <c:pt idx="31">
                  <c:v>21.024018635735974</c:v>
                </c:pt>
                <c:pt idx="32">
                  <c:v>-75.253896484716591</c:v>
                </c:pt>
                <c:pt idx="33">
                  <c:v>-114.46929733823737</c:v>
                </c:pt>
                <c:pt idx="34">
                  <c:v>6.8649567663570377</c:v>
                </c:pt>
                <c:pt idx="35">
                  <c:v>-41.677300959278618</c:v>
                </c:pt>
                <c:pt idx="36">
                  <c:v>59.260947535193026</c:v>
                </c:pt>
                <c:pt idx="37">
                  <c:v>86.216986455103068</c:v>
                </c:pt>
                <c:pt idx="38">
                  <c:v>31.970269395762969</c:v>
                </c:pt>
                <c:pt idx="39">
                  <c:v>93.205494019912052</c:v>
                </c:pt>
                <c:pt idx="40">
                  <c:v>-52.827128899679899</c:v>
                </c:pt>
                <c:pt idx="41">
                  <c:v>34.298323123144179</c:v>
                </c:pt>
                <c:pt idx="42">
                  <c:v>47.020564112040297</c:v>
                </c:pt>
                <c:pt idx="43">
                  <c:v>-23.137671151497702</c:v>
                </c:pt>
                <c:pt idx="44">
                  <c:v>4.8975651567612397</c:v>
                </c:pt>
                <c:pt idx="45">
                  <c:v>-2.9361591078345777</c:v>
                </c:pt>
                <c:pt idx="46">
                  <c:v>80.353556340583722</c:v>
                </c:pt>
                <c:pt idx="47">
                  <c:v>75.253896484716591</c:v>
                </c:pt>
                <c:pt idx="48">
                  <c:v>25.2845792688282</c:v>
                </c:pt>
                <c:pt idx="49">
                  <c:v>-59.26094753519299</c:v>
                </c:pt>
                <c:pt idx="50">
                  <c:v>-4.8975651567612291</c:v>
                </c:pt>
                <c:pt idx="51">
                  <c:v>-93.205494019912081</c:v>
                </c:pt>
                <c:pt idx="52">
                  <c:v>-27.469046921884654</c:v>
                </c:pt>
                <c:pt idx="53">
                  <c:v>-18.93970238063876</c:v>
                </c:pt>
                <c:pt idx="54">
                  <c:v>-49.857296510491622</c:v>
                </c:pt>
                <c:pt idx="55">
                  <c:v>-62.788832165814846</c:v>
                </c:pt>
                <c:pt idx="56">
                  <c:v>62.78883216581486</c:v>
                </c:pt>
                <c:pt idx="57">
                  <c:v>-29.695838171192793</c:v>
                </c:pt>
                <c:pt idx="58">
                  <c:v>36.686790262191948</c:v>
                </c:pt>
                <c:pt idx="59">
                  <c:v>-70.708197388940249</c:v>
                </c:pt>
                <c:pt idx="60">
                  <c:v>-138.2580446302515</c:v>
                </c:pt>
                <c:pt idx="61">
                  <c:v>-47.020564112040276</c:v>
                </c:pt>
                <c:pt idx="62">
                  <c:v>-25.284579268828185</c:v>
                </c:pt>
                <c:pt idx="63">
                  <c:v>0.97832404884648272</c:v>
                </c:pt>
                <c:pt idx="64">
                  <c:v>49.857296510491636</c:v>
                </c:pt>
                <c:pt idx="65">
                  <c:v>10.827635532185889</c:v>
                </c:pt>
                <c:pt idx="66">
                  <c:v>6.8649567663570377</c:v>
                </c:pt>
                <c:pt idx="67">
                  <c:v>-80.353556340583637</c:v>
                </c:pt>
                <c:pt idx="68">
                  <c:v>-86.216986455103026</c:v>
                </c:pt>
                <c:pt idx="69">
                  <c:v>52.827128899679906</c:v>
                </c:pt>
                <c:pt idx="70">
                  <c:v>16.881125046762115</c:v>
                </c:pt>
                <c:pt idx="71">
                  <c:v>0.97832404884648272</c:v>
                </c:pt>
              </c:numCache>
            </c:numRef>
          </c:xVal>
          <c:yVal>
            <c:numRef>
              <c:f>'experiment design'!$AL$2:$AL$73</c:f>
              <c:numCache>
                <c:formatCode>General</c:formatCode>
                <c:ptCount val="72"/>
                <c:pt idx="0">
                  <c:v>40.486111111111114</c:v>
                </c:pt>
                <c:pt idx="1">
                  <c:v>-15.763888888888886</c:v>
                </c:pt>
                <c:pt idx="2">
                  <c:v>-27.291666666666657</c:v>
                </c:pt>
                <c:pt idx="3">
                  <c:v>-31.041666666666657</c:v>
                </c:pt>
                <c:pt idx="4">
                  <c:v>30.486111111111114</c:v>
                </c:pt>
                <c:pt idx="5">
                  <c:v>-90.763888888888886</c:v>
                </c:pt>
                <c:pt idx="6">
                  <c:v>-27.291666666666657</c:v>
                </c:pt>
                <c:pt idx="7">
                  <c:v>-26.041666666666657</c:v>
                </c:pt>
                <c:pt idx="8">
                  <c:v>60.486111111111114</c:v>
                </c:pt>
                <c:pt idx="9">
                  <c:v>79.236111111111114</c:v>
                </c:pt>
                <c:pt idx="10">
                  <c:v>-37.291666666666657</c:v>
                </c:pt>
                <c:pt idx="11">
                  <c:v>43.958333333333343</c:v>
                </c:pt>
                <c:pt idx="12">
                  <c:v>10.486111111111114</c:v>
                </c:pt>
                <c:pt idx="13">
                  <c:v>-20.763888888888886</c:v>
                </c:pt>
                <c:pt idx="14">
                  <c:v>122.70833333333334</c:v>
                </c:pt>
                <c:pt idx="15">
                  <c:v>-66.041666666666657</c:v>
                </c:pt>
                <c:pt idx="16">
                  <c:v>-4.5138888888888857</c:v>
                </c:pt>
                <c:pt idx="17">
                  <c:v>39.236111111111114</c:v>
                </c:pt>
                <c:pt idx="18">
                  <c:v>-47.291666666666657</c:v>
                </c:pt>
                <c:pt idx="19">
                  <c:v>118.95833333333334</c:v>
                </c:pt>
                <c:pt idx="20">
                  <c:v>120.48611111111111</c:v>
                </c:pt>
                <c:pt idx="21">
                  <c:v>-40.763888888888886</c:v>
                </c:pt>
                <c:pt idx="22">
                  <c:v>17.708333333333343</c:v>
                </c:pt>
                <c:pt idx="23">
                  <c:v>-16.041666666666657</c:v>
                </c:pt>
                <c:pt idx="24">
                  <c:v>-44.513888888888886</c:v>
                </c:pt>
                <c:pt idx="25">
                  <c:v>-60.763888888888886</c:v>
                </c:pt>
                <c:pt idx="26">
                  <c:v>27.708333333333343</c:v>
                </c:pt>
                <c:pt idx="27">
                  <c:v>-46.041666666666657</c:v>
                </c:pt>
                <c:pt idx="28">
                  <c:v>80.486111111111114</c:v>
                </c:pt>
                <c:pt idx="29">
                  <c:v>9.2361111111111143</c:v>
                </c:pt>
                <c:pt idx="30">
                  <c:v>12.708333333333343</c:v>
                </c:pt>
                <c:pt idx="31">
                  <c:v>13.958333333333343</c:v>
                </c:pt>
                <c:pt idx="32">
                  <c:v>-69.513888888888886</c:v>
                </c:pt>
                <c:pt idx="33">
                  <c:v>-90.763888888888886</c:v>
                </c:pt>
                <c:pt idx="34">
                  <c:v>7.7083333333333428</c:v>
                </c:pt>
                <c:pt idx="35">
                  <c:v>-46.041666666666657</c:v>
                </c:pt>
                <c:pt idx="36">
                  <c:v>65.486111111111114</c:v>
                </c:pt>
                <c:pt idx="37">
                  <c:v>94.236111111111114</c:v>
                </c:pt>
                <c:pt idx="38">
                  <c:v>32.708333333333343</c:v>
                </c:pt>
                <c:pt idx="39">
                  <c:v>98.958333333333343</c:v>
                </c:pt>
                <c:pt idx="40">
                  <c:v>-54.513888888888886</c:v>
                </c:pt>
                <c:pt idx="41">
                  <c:v>34.236111111111114</c:v>
                </c:pt>
                <c:pt idx="42">
                  <c:v>52.708333333333343</c:v>
                </c:pt>
                <c:pt idx="43">
                  <c:v>-31.041666666666657</c:v>
                </c:pt>
                <c:pt idx="44">
                  <c:v>5.4861111111111143</c:v>
                </c:pt>
                <c:pt idx="45">
                  <c:v>-10.763888888888886</c:v>
                </c:pt>
                <c:pt idx="46">
                  <c:v>87.708333333333343</c:v>
                </c:pt>
                <c:pt idx="47">
                  <c:v>83.958333333333343</c:v>
                </c:pt>
                <c:pt idx="48">
                  <c:v>20.486111111111114</c:v>
                </c:pt>
                <c:pt idx="49">
                  <c:v>-60.763888888888886</c:v>
                </c:pt>
                <c:pt idx="50">
                  <c:v>-12.291666666666657</c:v>
                </c:pt>
                <c:pt idx="51">
                  <c:v>-86.041666666666657</c:v>
                </c:pt>
                <c:pt idx="52">
                  <c:v>-34.513888888888886</c:v>
                </c:pt>
                <c:pt idx="53">
                  <c:v>-30.763888888888886</c:v>
                </c:pt>
                <c:pt idx="54">
                  <c:v>-52.291666666666657</c:v>
                </c:pt>
                <c:pt idx="55">
                  <c:v>-61.041666666666657</c:v>
                </c:pt>
                <c:pt idx="56">
                  <c:v>75.486111111111114</c:v>
                </c:pt>
                <c:pt idx="57">
                  <c:v>-35.763888888888886</c:v>
                </c:pt>
                <c:pt idx="58">
                  <c:v>37.708333333333343</c:v>
                </c:pt>
                <c:pt idx="59">
                  <c:v>-66.041666666666657</c:v>
                </c:pt>
                <c:pt idx="60">
                  <c:v>-94.513888888888886</c:v>
                </c:pt>
                <c:pt idx="61">
                  <c:v>-50.763888888888886</c:v>
                </c:pt>
                <c:pt idx="62">
                  <c:v>-32.291666666666657</c:v>
                </c:pt>
                <c:pt idx="63">
                  <c:v>3.9583333333333428</c:v>
                </c:pt>
                <c:pt idx="64">
                  <c:v>55.486111111111114</c:v>
                </c:pt>
                <c:pt idx="65">
                  <c:v>9.2361111111111143</c:v>
                </c:pt>
                <c:pt idx="66">
                  <c:v>7.7083333333333428</c:v>
                </c:pt>
                <c:pt idx="67">
                  <c:v>-76.041666666666657</c:v>
                </c:pt>
                <c:pt idx="68">
                  <c:v>-79.513888888888886</c:v>
                </c:pt>
                <c:pt idx="69">
                  <c:v>59.236111111111114</c:v>
                </c:pt>
                <c:pt idx="70">
                  <c:v>12.708333333333343</c:v>
                </c:pt>
                <c:pt idx="71">
                  <c:v>3.9583333333333428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0-43B1-9B3D-E4FB9DFFDB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design'!$AN$2:$AN$73</c:f>
              <c:numCache>
                <c:formatCode>General</c:formatCode>
                <c:ptCount val="72"/>
                <c:pt idx="0">
                  <c:v>41.677300959278639</c:v>
                </c:pt>
                <c:pt idx="1">
                  <c:v>-6.864956766357027</c:v>
                </c:pt>
                <c:pt idx="2">
                  <c:v>-16.881125046762101</c:v>
                </c:pt>
                <c:pt idx="3">
                  <c:v>-23.137671151497702</c:v>
                </c:pt>
                <c:pt idx="4">
                  <c:v>29.695838171192797</c:v>
                </c:pt>
                <c:pt idx="5">
                  <c:v>-114.46929733823737</c:v>
                </c:pt>
                <c:pt idx="6">
                  <c:v>-16.881125046762101</c:v>
                </c:pt>
                <c:pt idx="7">
                  <c:v>-12.828100970816644</c:v>
                </c:pt>
                <c:pt idx="8">
                  <c:v>55.952348759960444</c:v>
                </c:pt>
                <c:pt idx="9">
                  <c:v>66.583234126221782</c:v>
                </c:pt>
                <c:pt idx="10">
                  <c:v>-31.97026939576298</c:v>
                </c:pt>
                <c:pt idx="11">
                  <c:v>44.29886080979599</c:v>
                </c:pt>
                <c:pt idx="12">
                  <c:v>14.844958831294774</c:v>
                </c:pt>
                <c:pt idx="13">
                  <c:v>-10.827635532185878</c:v>
                </c:pt>
                <c:pt idx="14">
                  <c:v>138.25804463025159</c:v>
                </c:pt>
                <c:pt idx="15">
                  <c:v>-70.708197388940249</c:v>
                </c:pt>
                <c:pt idx="16">
                  <c:v>-0.97832404884647162</c:v>
                </c:pt>
                <c:pt idx="17">
                  <c:v>39.14345007191109</c:v>
                </c:pt>
                <c:pt idx="18">
                  <c:v>-44.298860809795983</c:v>
                </c:pt>
                <c:pt idx="19">
                  <c:v>102.03137820742735</c:v>
                </c:pt>
                <c:pt idx="20">
                  <c:v>114.46929733823744</c:v>
                </c:pt>
                <c:pt idx="21">
                  <c:v>-34.298323123144158</c:v>
                </c:pt>
                <c:pt idx="22">
                  <c:v>23.137671151497734</c:v>
                </c:pt>
                <c:pt idx="23">
                  <c:v>-8.8408001667183704</c:v>
                </c:pt>
                <c:pt idx="24">
                  <c:v>-36.686790262191934</c:v>
                </c:pt>
                <c:pt idx="25">
                  <c:v>-59.26094753519299</c:v>
                </c:pt>
                <c:pt idx="26">
                  <c:v>27.469046921884669</c:v>
                </c:pt>
                <c:pt idx="27">
                  <c:v>-41.677300959278618</c:v>
                </c:pt>
                <c:pt idx="28">
                  <c:v>70.708197388940263</c:v>
                </c:pt>
                <c:pt idx="29">
                  <c:v>10.827635532185889</c:v>
                </c:pt>
                <c:pt idx="30">
                  <c:v>16.881125046762115</c:v>
                </c:pt>
                <c:pt idx="31">
                  <c:v>21.024018635735974</c:v>
                </c:pt>
                <c:pt idx="32">
                  <c:v>-75.253896484716591</c:v>
                </c:pt>
                <c:pt idx="33">
                  <c:v>-114.46929733823737</c:v>
                </c:pt>
                <c:pt idx="34">
                  <c:v>6.8649567663570377</c:v>
                </c:pt>
                <c:pt idx="35">
                  <c:v>-41.677300959278618</c:v>
                </c:pt>
                <c:pt idx="36">
                  <c:v>59.260947535193026</c:v>
                </c:pt>
                <c:pt idx="37">
                  <c:v>86.216986455103068</c:v>
                </c:pt>
                <c:pt idx="38">
                  <c:v>31.970269395762969</c:v>
                </c:pt>
                <c:pt idx="39">
                  <c:v>93.205494019912052</c:v>
                </c:pt>
                <c:pt idx="40">
                  <c:v>-52.827128899679899</c:v>
                </c:pt>
                <c:pt idx="41">
                  <c:v>34.298323123144179</c:v>
                </c:pt>
                <c:pt idx="42">
                  <c:v>47.020564112040297</c:v>
                </c:pt>
                <c:pt idx="43">
                  <c:v>-23.137671151497702</c:v>
                </c:pt>
                <c:pt idx="44">
                  <c:v>4.8975651567612397</c:v>
                </c:pt>
                <c:pt idx="45">
                  <c:v>-2.9361591078345777</c:v>
                </c:pt>
                <c:pt idx="46">
                  <c:v>80.353556340583722</c:v>
                </c:pt>
                <c:pt idx="47">
                  <c:v>75.253896484716591</c:v>
                </c:pt>
                <c:pt idx="48">
                  <c:v>25.2845792688282</c:v>
                </c:pt>
                <c:pt idx="49">
                  <c:v>-59.26094753519299</c:v>
                </c:pt>
                <c:pt idx="50">
                  <c:v>-4.8975651567612291</c:v>
                </c:pt>
                <c:pt idx="51">
                  <c:v>-93.205494019912081</c:v>
                </c:pt>
                <c:pt idx="52">
                  <c:v>-27.469046921884654</c:v>
                </c:pt>
                <c:pt idx="53">
                  <c:v>-18.93970238063876</c:v>
                </c:pt>
                <c:pt idx="54">
                  <c:v>-49.857296510491622</c:v>
                </c:pt>
                <c:pt idx="55">
                  <c:v>-62.788832165814846</c:v>
                </c:pt>
                <c:pt idx="56">
                  <c:v>62.78883216581486</c:v>
                </c:pt>
                <c:pt idx="57">
                  <c:v>-29.695838171192793</c:v>
                </c:pt>
                <c:pt idx="58">
                  <c:v>36.686790262191948</c:v>
                </c:pt>
                <c:pt idx="59">
                  <c:v>-70.708197388940249</c:v>
                </c:pt>
                <c:pt idx="60">
                  <c:v>-138.2580446302515</c:v>
                </c:pt>
                <c:pt idx="61">
                  <c:v>-47.020564112040276</c:v>
                </c:pt>
                <c:pt idx="62">
                  <c:v>-25.284579268828185</c:v>
                </c:pt>
                <c:pt idx="63">
                  <c:v>0.97832404884648272</c:v>
                </c:pt>
                <c:pt idx="64">
                  <c:v>49.857296510491636</c:v>
                </c:pt>
                <c:pt idx="65">
                  <c:v>10.827635532185889</c:v>
                </c:pt>
                <c:pt idx="66">
                  <c:v>6.8649567663570377</c:v>
                </c:pt>
                <c:pt idx="67">
                  <c:v>-80.353556340583637</c:v>
                </c:pt>
                <c:pt idx="68">
                  <c:v>-86.216986455103026</c:v>
                </c:pt>
                <c:pt idx="69">
                  <c:v>52.827128899679906</c:v>
                </c:pt>
                <c:pt idx="70">
                  <c:v>16.881125046762115</c:v>
                </c:pt>
                <c:pt idx="71">
                  <c:v>0.97832404884648272</c:v>
                </c:pt>
              </c:numCache>
            </c:numRef>
          </c:xVal>
          <c:yVal>
            <c:numRef>
              <c:f>'experiment design'!$AN$2:$AN$73</c:f>
              <c:numCache>
                <c:formatCode>General</c:formatCode>
                <c:ptCount val="72"/>
                <c:pt idx="0">
                  <c:v>41.677300959278639</c:v>
                </c:pt>
                <c:pt idx="1">
                  <c:v>-6.864956766357027</c:v>
                </c:pt>
                <c:pt idx="2">
                  <c:v>-16.881125046762101</c:v>
                </c:pt>
                <c:pt idx="3">
                  <c:v>-23.137671151497702</c:v>
                </c:pt>
                <c:pt idx="4">
                  <c:v>29.695838171192797</c:v>
                </c:pt>
                <c:pt idx="5">
                  <c:v>-114.46929733823737</c:v>
                </c:pt>
                <c:pt idx="6">
                  <c:v>-16.881125046762101</c:v>
                </c:pt>
                <c:pt idx="7">
                  <c:v>-12.828100970816644</c:v>
                </c:pt>
                <c:pt idx="8">
                  <c:v>55.952348759960444</c:v>
                </c:pt>
                <c:pt idx="9">
                  <c:v>66.583234126221782</c:v>
                </c:pt>
                <c:pt idx="10">
                  <c:v>-31.97026939576298</c:v>
                </c:pt>
                <c:pt idx="11">
                  <c:v>44.29886080979599</c:v>
                </c:pt>
                <c:pt idx="12">
                  <c:v>14.844958831294774</c:v>
                </c:pt>
                <c:pt idx="13">
                  <c:v>-10.827635532185878</c:v>
                </c:pt>
                <c:pt idx="14">
                  <c:v>138.25804463025159</c:v>
                </c:pt>
                <c:pt idx="15">
                  <c:v>-70.708197388940249</c:v>
                </c:pt>
                <c:pt idx="16">
                  <c:v>-0.97832404884647162</c:v>
                </c:pt>
                <c:pt idx="17">
                  <c:v>39.14345007191109</c:v>
                </c:pt>
                <c:pt idx="18">
                  <c:v>-44.298860809795983</c:v>
                </c:pt>
                <c:pt idx="19">
                  <c:v>102.03137820742735</c:v>
                </c:pt>
                <c:pt idx="20">
                  <c:v>114.46929733823744</c:v>
                </c:pt>
                <c:pt idx="21">
                  <c:v>-34.298323123144158</c:v>
                </c:pt>
                <c:pt idx="22">
                  <c:v>23.137671151497734</c:v>
                </c:pt>
                <c:pt idx="23">
                  <c:v>-8.8408001667183704</c:v>
                </c:pt>
                <c:pt idx="24">
                  <c:v>-36.686790262191934</c:v>
                </c:pt>
                <c:pt idx="25">
                  <c:v>-59.26094753519299</c:v>
                </c:pt>
                <c:pt idx="26">
                  <c:v>27.469046921884669</c:v>
                </c:pt>
                <c:pt idx="27">
                  <c:v>-41.677300959278618</c:v>
                </c:pt>
                <c:pt idx="28">
                  <c:v>70.708197388940263</c:v>
                </c:pt>
                <c:pt idx="29">
                  <c:v>10.827635532185889</c:v>
                </c:pt>
                <c:pt idx="30">
                  <c:v>16.881125046762115</c:v>
                </c:pt>
                <c:pt idx="31">
                  <c:v>21.024018635735974</c:v>
                </c:pt>
                <c:pt idx="32">
                  <c:v>-75.253896484716591</c:v>
                </c:pt>
                <c:pt idx="33">
                  <c:v>-114.46929733823737</c:v>
                </c:pt>
                <c:pt idx="34">
                  <c:v>6.8649567663570377</c:v>
                </c:pt>
                <c:pt idx="35">
                  <c:v>-41.677300959278618</c:v>
                </c:pt>
                <c:pt idx="36">
                  <c:v>59.260947535193026</c:v>
                </c:pt>
                <c:pt idx="37">
                  <c:v>86.216986455103068</c:v>
                </c:pt>
                <c:pt idx="38">
                  <c:v>31.970269395762969</c:v>
                </c:pt>
                <c:pt idx="39">
                  <c:v>93.205494019912052</c:v>
                </c:pt>
                <c:pt idx="40">
                  <c:v>-52.827128899679899</c:v>
                </c:pt>
                <c:pt idx="41">
                  <c:v>34.298323123144179</c:v>
                </c:pt>
                <c:pt idx="42">
                  <c:v>47.020564112040297</c:v>
                </c:pt>
                <c:pt idx="43">
                  <c:v>-23.137671151497702</c:v>
                </c:pt>
                <c:pt idx="44">
                  <c:v>4.8975651567612397</c:v>
                </c:pt>
                <c:pt idx="45">
                  <c:v>-2.9361591078345777</c:v>
                </c:pt>
                <c:pt idx="46">
                  <c:v>80.353556340583722</c:v>
                </c:pt>
                <c:pt idx="47">
                  <c:v>75.253896484716591</c:v>
                </c:pt>
                <c:pt idx="48">
                  <c:v>25.2845792688282</c:v>
                </c:pt>
                <c:pt idx="49">
                  <c:v>-59.26094753519299</c:v>
                </c:pt>
                <c:pt idx="50">
                  <c:v>-4.8975651567612291</c:v>
                </c:pt>
                <c:pt idx="51">
                  <c:v>-93.205494019912081</c:v>
                </c:pt>
                <c:pt idx="52">
                  <c:v>-27.469046921884654</c:v>
                </c:pt>
                <c:pt idx="53">
                  <c:v>-18.93970238063876</c:v>
                </c:pt>
                <c:pt idx="54">
                  <c:v>-49.857296510491622</c:v>
                </c:pt>
                <c:pt idx="55">
                  <c:v>-62.788832165814846</c:v>
                </c:pt>
                <c:pt idx="56">
                  <c:v>62.78883216581486</c:v>
                </c:pt>
                <c:pt idx="57">
                  <c:v>-29.695838171192793</c:v>
                </c:pt>
                <c:pt idx="58">
                  <c:v>36.686790262191948</c:v>
                </c:pt>
                <c:pt idx="59">
                  <c:v>-70.708197388940249</c:v>
                </c:pt>
                <c:pt idx="60">
                  <c:v>-138.2580446302515</c:v>
                </c:pt>
                <c:pt idx="61">
                  <c:v>-47.020564112040276</c:v>
                </c:pt>
                <c:pt idx="62">
                  <c:v>-25.284579268828185</c:v>
                </c:pt>
                <c:pt idx="63">
                  <c:v>0.97832404884648272</c:v>
                </c:pt>
                <c:pt idx="64">
                  <c:v>49.857296510491636</c:v>
                </c:pt>
                <c:pt idx="65">
                  <c:v>10.827635532185889</c:v>
                </c:pt>
                <c:pt idx="66">
                  <c:v>6.8649567663570377</c:v>
                </c:pt>
                <c:pt idx="67">
                  <c:v>-80.353556340583637</c:v>
                </c:pt>
                <c:pt idx="68">
                  <c:v>-86.216986455103026</c:v>
                </c:pt>
                <c:pt idx="69">
                  <c:v>52.827128899679906</c:v>
                </c:pt>
                <c:pt idx="70">
                  <c:v>16.881125046762115</c:v>
                </c:pt>
                <c:pt idx="71">
                  <c:v>0.97832404884648272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E0-43B1-9B3D-E4FB9DFF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140223"/>
        <c:axId val="1333138975"/>
      </c:scatterChart>
      <c:valAx>
        <c:axId val="133314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38975"/>
        <c:crosses val="autoZero"/>
        <c:crossBetween val="midCat"/>
      </c:valAx>
      <c:valAx>
        <c:axId val="13331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4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design'!$AF$2:$AF$73</c:f>
              <c:numCache>
                <c:formatCode>General</c:formatCode>
                <c:ptCount val="72"/>
                <c:pt idx="0">
                  <c:v>17</c:v>
                </c:pt>
                <c:pt idx="1">
                  <c:v>4</c:v>
                </c:pt>
                <c:pt idx="2">
                  <c:v>12</c:v>
                </c:pt>
                <c:pt idx="3">
                  <c:v>9</c:v>
                </c:pt>
                <c:pt idx="4">
                  <c:v>23</c:v>
                </c:pt>
                <c:pt idx="5">
                  <c:v>1</c:v>
                </c:pt>
                <c:pt idx="6">
                  <c:v>3</c:v>
                </c:pt>
                <c:pt idx="7">
                  <c:v>14</c:v>
                </c:pt>
                <c:pt idx="8">
                  <c:v>43</c:v>
                </c:pt>
                <c:pt idx="9">
                  <c:v>26</c:v>
                </c:pt>
                <c:pt idx="10">
                  <c:v>39</c:v>
                </c:pt>
                <c:pt idx="11">
                  <c:v>38</c:v>
                </c:pt>
                <c:pt idx="12">
                  <c:v>30</c:v>
                </c:pt>
                <c:pt idx="13">
                  <c:v>31</c:v>
                </c:pt>
                <c:pt idx="14">
                  <c:v>45</c:v>
                </c:pt>
                <c:pt idx="15">
                  <c:v>34</c:v>
                </c:pt>
                <c:pt idx="16">
                  <c:v>61</c:v>
                </c:pt>
                <c:pt idx="17">
                  <c:v>67</c:v>
                </c:pt>
                <c:pt idx="18">
                  <c:v>50</c:v>
                </c:pt>
                <c:pt idx="19">
                  <c:v>64</c:v>
                </c:pt>
                <c:pt idx="20">
                  <c:v>63</c:v>
                </c:pt>
                <c:pt idx="21">
                  <c:v>62</c:v>
                </c:pt>
                <c:pt idx="22">
                  <c:v>59</c:v>
                </c:pt>
                <c:pt idx="23">
                  <c:v>54</c:v>
                </c:pt>
                <c:pt idx="24">
                  <c:v>22</c:v>
                </c:pt>
                <c:pt idx="25">
                  <c:v>5</c:v>
                </c:pt>
                <c:pt idx="26">
                  <c:v>21</c:v>
                </c:pt>
                <c:pt idx="27">
                  <c:v>8</c:v>
                </c:pt>
                <c:pt idx="28">
                  <c:v>19</c:v>
                </c:pt>
                <c:pt idx="29">
                  <c:v>20</c:v>
                </c:pt>
                <c:pt idx="30">
                  <c:v>7</c:v>
                </c:pt>
                <c:pt idx="31">
                  <c:v>2</c:v>
                </c:pt>
                <c:pt idx="32">
                  <c:v>48</c:v>
                </c:pt>
                <c:pt idx="33">
                  <c:v>32</c:v>
                </c:pt>
                <c:pt idx="34">
                  <c:v>29</c:v>
                </c:pt>
                <c:pt idx="35">
                  <c:v>25</c:v>
                </c:pt>
                <c:pt idx="36">
                  <c:v>44</c:v>
                </c:pt>
                <c:pt idx="37">
                  <c:v>37</c:v>
                </c:pt>
                <c:pt idx="38">
                  <c:v>41</c:v>
                </c:pt>
                <c:pt idx="39">
                  <c:v>42</c:v>
                </c:pt>
                <c:pt idx="40">
                  <c:v>60</c:v>
                </c:pt>
                <c:pt idx="41">
                  <c:v>70</c:v>
                </c:pt>
                <c:pt idx="42">
                  <c:v>51</c:v>
                </c:pt>
                <c:pt idx="43">
                  <c:v>65</c:v>
                </c:pt>
                <c:pt idx="44">
                  <c:v>72</c:v>
                </c:pt>
                <c:pt idx="45">
                  <c:v>71</c:v>
                </c:pt>
                <c:pt idx="46">
                  <c:v>53</c:v>
                </c:pt>
                <c:pt idx="47">
                  <c:v>58</c:v>
                </c:pt>
                <c:pt idx="48">
                  <c:v>16</c:v>
                </c:pt>
                <c:pt idx="49">
                  <c:v>10</c:v>
                </c:pt>
                <c:pt idx="50">
                  <c:v>11</c:v>
                </c:pt>
                <c:pt idx="51">
                  <c:v>24</c:v>
                </c:pt>
                <c:pt idx="52">
                  <c:v>18</c:v>
                </c:pt>
                <c:pt idx="53">
                  <c:v>13</c:v>
                </c:pt>
                <c:pt idx="54">
                  <c:v>15</c:v>
                </c:pt>
                <c:pt idx="55">
                  <c:v>6</c:v>
                </c:pt>
                <c:pt idx="56">
                  <c:v>40</c:v>
                </c:pt>
                <c:pt idx="57">
                  <c:v>28</c:v>
                </c:pt>
                <c:pt idx="58">
                  <c:v>35</c:v>
                </c:pt>
                <c:pt idx="59">
                  <c:v>36</c:v>
                </c:pt>
                <c:pt idx="60">
                  <c:v>33</c:v>
                </c:pt>
                <c:pt idx="61">
                  <c:v>46</c:v>
                </c:pt>
                <c:pt idx="62">
                  <c:v>27</c:v>
                </c:pt>
                <c:pt idx="63">
                  <c:v>47</c:v>
                </c:pt>
                <c:pt idx="64">
                  <c:v>68</c:v>
                </c:pt>
                <c:pt idx="65">
                  <c:v>55</c:v>
                </c:pt>
                <c:pt idx="66">
                  <c:v>57</c:v>
                </c:pt>
                <c:pt idx="67">
                  <c:v>49</c:v>
                </c:pt>
                <c:pt idx="68">
                  <c:v>52</c:v>
                </c:pt>
                <c:pt idx="69">
                  <c:v>66</c:v>
                </c:pt>
                <c:pt idx="70">
                  <c:v>56</c:v>
                </c:pt>
                <c:pt idx="71">
                  <c:v>69</c:v>
                </c:pt>
              </c:numCache>
            </c:numRef>
          </c:xVal>
          <c:yVal>
            <c:numRef>
              <c:f>'experiment design'!$AL$2:$AL$73</c:f>
              <c:numCache>
                <c:formatCode>General</c:formatCode>
                <c:ptCount val="72"/>
                <c:pt idx="0">
                  <c:v>40.486111111111114</c:v>
                </c:pt>
                <c:pt idx="1">
                  <c:v>-15.763888888888886</c:v>
                </c:pt>
                <c:pt idx="2">
                  <c:v>-27.291666666666657</c:v>
                </c:pt>
                <c:pt idx="3">
                  <c:v>-31.041666666666657</c:v>
                </c:pt>
                <c:pt idx="4">
                  <c:v>30.486111111111114</c:v>
                </c:pt>
                <c:pt idx="5">
                  <c:v>-90.763888888888886</c:v>
                </c:pt>
                <c:pt idx="6">
                  <c:v>-27.291666666666657</c:v>
                </c:pt>
                <c:pt idx="7">
                  <c:v>-26.041666666666657</c:v>
                </c:pt>
                <c:pt idx="8">
                  <c:v>60.486111111111114</c:v>
                </c:pt>
                <c:pt idx="9">
                  <c:v>79.236111111111114</c:v>
                </c:pt>
                <c:pt idx="10">
                  <c:v>-37.291666666666657</c:v>
                </c:pt>
                <c:pt idx="11">
                  <c:v>43.958333333333343</c:v>
                </c:pt>
                <c:pt idx="12">
                  <c:v>10.486111111111114</c:v>
                </c:pt>
                <c:pt idx="13">
                  <c:v>-20.763888888888886</c:v>
                </c:pt>
                <c:pt idx="14">
                  <c:v>122.70833333333334</c:v>
                </c:pt>
                <c:pt idx="15">
                  <c:v>-66.041666666666657</c:v>
                </c:pt>
                <c:pt idx="16">
                  <c:v>-4.5138888888888857</c:v>
                </c:pt>
                <c:pt idx="17">
                  <c:v>39.236111111111114</c:v>
                </c:pt>
                <c:pt idx="18">
                  <c:v>-47.291666666666657</c:v>
                </c:pt>
                <c:pt idx="19">
                  <c:v>118.95833333333334</c:v>
                </c:pt>
                <c:pt idx="20">
                  <c:v>120.48611111111111</c:v>
                </c:pt>
                <c:pt idx="21">
                  <c:v>-40.763888888888886</c:v>
                </c:pt>
                <c:pt idx="22">
                  <c:v>17.708333333333343</c:v>
                </c:pt>
                <c:pt idx="23">
                  <c:v>-16.041666666666657</c:v>
                </c:pt>
                <c:pt idx="24">
                  <c:v>-44.513888888888886</c:v>
                </c:pt>
                <c:pt idx="25">
                  <c:v>-60.763888888888886</c:v>
                </c:pt>
                <c:pt idx="26">
                  <c:v>27.708333333333343</c:v>
                </c:pt>
                <c:pt idx="27">
                  <c:v>-46.041666666666657</c:v>
                </c:pt>
                <c:pt idx="28">
                  <c:v>80.486111111111114</c:v>
                </c:pt>
                <c:pt idx="29">
                  <c:v>9.2361111111111143</c:v>
                </c:pt>
                <c:pt idx="30">
                  <c:v>12.708333333333343</c:v>
                </c:pt>
                <c:pt idx="31">
                  <c:v>13.958333333333343</c:v>
                </c:pt>
                <c:pt idx="32">
                  <c:v>-69.513888888888886</c:v>
                </c:pt>
                <c:pt idx="33">
                  <c:v>-90.763888888888886</c:v>
                </c:pt>
                <c:pt idx="34">
                  <c:v>7.7083333333333428</c:v>
                </c:pt>
                <c:pt idx="35">
                  <c:v>-46.041666666666657</c:v>
                </c:pt>
                <c:pt idx="36">
                  <c:v>65.486111111111114</c:v>
                </c:pt>
                <c:pt idx="37">
                  <c:v>94.236111111111114</c:v>
                </c:pt>
                <c:pt idx="38">
                  <c:v>32.708333333333343</c:v>
                </c:pt>
                <c:pt idx="39">
                  <c:v>98.958333333333343</c:v>
                </c:pt>
                <c:pt idx="40">
                  <c:v>-54.513888888888886</c:v>
                </c:pt>
                <c:pt idx="41">
                  <c:v>34.236111111111114</c:v>
                </c:pt>
                <c:pt idx="42">
                  <c:v>52.708333333333343</c:v>
                </c:pt>
                <c:pt idx="43">
                  <c:v>-31.041666666666657</c:v>
                </c:pt>
                <c:pt idx="44">
                  <c:v>5.4861111111111143</c:v>
                </c:pt>
                <c:pt idx="45">
                  <c:v>-10.763888888888886</c:v>
                </c:pt>
                <c:pt idx="46">
                  <c:v>87.708333333333343</c:v>
                </c:pt>
                <c:pt idx="47">
                  <c:v>83.958333333333343</c:v>
                </c:pt>
                <c:pt idx="48">
                  <c:v>20.486111111111114</c:v>
                </c:pt>
                <c:pt idx="49">
                  <c:v>-60.763888888888886</c:v>
                </c:pt>
                <c:pt idx="50">
                  <c:v>-12.291666666666657</c:v>
                </c:pt>
                <c:pt idx="51">
                  <c:v>-86.041666666666657</c:v>
                </c:pt>
                <c:pt idx="52">
                  <c:v>-34.513888888888886</c:v>
                </c:pt>
                <c:pt idx="53">
                  <c:v>-30.763888888888886</c:v>
                </c:pt>
                <c:pt idx="54">
                  <c:v>-52.291666666666657</c:v>
                </c:pt>
                <c:pt idx="55">
                  <c:v>-61.041666666666657</c:v>
                </c:pt>
                <c:pt idx="56">
                  <c:v>75.486111111111114</c:v>
                </c:pt>
                <c:pt idx="57">
                  <c:v>-35.763888888888886</c:v>
                </c:pt>
                <c:pt idx="58">
                  <c:v>37.708333333333343</c:v>
                </c:pt>
                <c:pt idx="59">
                  <c:v>-66.041666666666657</c:v>
                </c:pt>
                <c:pt idx="60">
                  <c:v>-94.513888888888886</c:v>
                </c:pt>
                <c:pt idx="61">
                  <c:v>-50.763888888888886</c:v>
                </c:pt>
                <c:pt idx="62">
                  <c:v>-32.291666666666657</c:v>
                </c:pt>
                <c:pt idx="63">
                  <c:v>3.9583333333333428</c:v>
                </c:pt>
                <c:pt idx="64">
                  <c:v>55.486111111111114</c:v>
                </c:pt>
                <c:pt idx="65">
                  <c:v>9.2361111111111143</c:v>
                </c:pt>
                <c:pt idx="66">
                  <c:v>7.7083333333333428</c:v>
                </c:pt>
                <c:pt idx="67">
                  <c:v>-76.041666666666657</c:v>
                </c:pt>
                <c:pt idx="68">
                  <c:v>-79.513888888888886</c:v>
                </c:pt>
                <c:pt idx="69">
                  <c:v>59.236111111111114</c:v>
                </c:pt>
                <c:pt idx="70">
                  <c:v>12.708333333333343</c:v>
                </c:pt>
                <c:pt idx="71">
                  <c:v>3.9583333333333428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F-40FD-8BB4-139A8D47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design'!$AJ$2:$AJ$73</c:f>
              <c:numCache>
                <c:formatCode>General</c:formatCode>
                <c:ptCount val="72"/>
                <c:pt idx="0">
                  <c:v>214.51388888888889</c:v>
                </c:pt>
                <c:pt idx="1">
                  <c:v>160.76388888888889</c:v>
                </c:pt>
                <c:pt idx="2">
                  <c:v>122.29166666666666</c:v>
                </c:pt>
                <c:pt idx="3">
                  <c:v>176.04166666666666</c:v>
                </c:pt>
                <c:pt idx="4">
                  <c:v>214.51388888888889</c:v>
                </c:pt>
                <c:pt idx="5">
                  <c:v>160.76388888888889</c:v>
                </c:pt>
                <c:pt idx="6">
                  <c:v>122.29166666666666</c:v>
                </c:pt>
                <c:pt idx="7">
                  <c:v>176.04166666666666</c:v>
                </c:pt>
                <c:pt idx="8">
                  <c:v>214.51388888888889</c:v>
                </c:pt>
                <c:pt idx="9">
                  <c:v>160.76388888888889</c:v>
                </c:pt>
                <c:pt idx="10">
                  <c:v>122.29166666666666</c:v>
                </c:pt>
                <c:pt idx="11">
                  <c:v>176.04166666666666</c:v>
                </c:pt>
                <c:pt idx="12">
                  <c:v>214.51388888888889</c:v>
                </c:pt>
                <c:pt idx="13">
                  <c:v>160.76388888888889</c:v>
                </c:pt>
                <c:pt idx="14">
                  <c:v>122.29166666666666</c:v>
                </c:pt>
                <c:pt idx="15">
                  <c:v>176.04166666666666</c:v>
                </c:pt>
                <c:pt idx="16">
                  <c:v>214.51388888888889</c:v>
                </c:pt>
                <c:pt idx="17">
                  <c:v>160.76388888888889</c:v>
                </c:pt>
                <c:pt idx="18">
                  <c:v>122.29166666666666</c:v>
                </c:pt>
                <c:pt idx="19">
                  <c:v>176.04166666666666</c:v>
                </c:pt>
                <c:pt idx="20">
                  <c:v>214.51388888888889</c:v>
                </c:pt>
                <c:pt idx="21">
                  <c:v>160.76388888888889</c:v>
                </c:pt>
                <c:pt idx="22">
                  <c:v>122.29166666666666</c:v>
                </c:pt>
                <c:pt idx="23">
                  <c:v>176.04166666666666</c:v>
                </c:pt>
                <c:pt idx="24">
                  <c:v>214.51388888888889</c:v>
                </c:pt>
                <c:pt idx="25">
                  <c:v>160.76388888888889</c:v>
                </c:pt>
                <c:pt idx="26">
                  <c:v>122.29166666666666</c:v>
                </c:pt>
                <c:pt idx="27">
                  <c:v>176.04166666666666</c:v>
                </c:pt>
                <c:pt idx="28">
                  <c:v>214.51388888888889</c:v>
                </c:pt>
                <c:pt idx="29">
                  <c:v>160.76388888888889</c:v>
                </c:pt>
                <c:pt idx="30">
                  <c:v>122.29166666666666</c:v>
                </c:pt>
                <c:pt idx="31">
                  <c:v>176.04166666666666</c:v>
                </c:pt>
                <c:pt idx="32">
                  <c:v>214.51388888888889</c:v>
                </c:pt>
                <c:pt idx="33">
                  <c:v>160.76388888888889</c:v>
                </c:pt>
                <c:pt idx="34">
                  <c:v>122.29166666666666</c:v>
                </c:pt>
                <c:pt idx="35">
                  <c:v>176.04166666666666</c:v>
                </c:pt>
                <c:pt idx="36">
                  <c:v>214.51388888888889</c:v>
                </c:pt>
                <c:pt idx="37">
                  <c:v>160.76388888888889</c:v>
                </c:pt>
                <c:pt idx="38">
                  <c:v>122.29166666666666</c:v>
                </c:pt>
                <c:pt idx="39">
                  <c:v>176.04166666666666</c:v>
                </c:pt>
                <c:pt idx="40">
                  <c:v>214.51388888888889</c:v>
                </c:pt>
                <c:pt idx="41">
                  <c:v>160.76388888888889</c:v>
                </c:pt>
                <c:pt idx="42">
                  <c:v>122.29166666666666</c:v>
                </c:pt>
                <c:pt idx="43">
                  <c:v>176.04166666666666</c:v>
                </c:pt>
                <c:pt idx="44">
                  <c:v>214.51388888888889</c:v>
                </c:pt>
                <c:pt idx="45">
                  <c:v>160.76388888888889</c:v>
                </c:pt>
                <c:pt idx="46">
                  <c:v>122.29166666666666</c:v>
                </c:pt>
                <c:pt idx="47">
                  <c:v>176.04166666666666</c:v>
                </c:pt>
                <c:pt idx="48">
                  <c:v>214.51388888888889</c:v>
                </c:pt>
                <c:pt idx="49">
                  <c:v>160.76388888888889</c:v>
                </c:pt>
                <c:pt idx="50">
                  <c:v>122.29166666666666</c:v>
                </c:pt>
                <c:pt idx="51">
                  <c:v>176.04166666666666</c:v>
                </c:pt>
                <c:pt idx="52">
                  <c:v>214.51388888888889</c:v>
                </c:pt>
                <c:pt idx="53">
                  <c:v>160.76388888888889</c:v>
                </c:pt>
                <c:pt idx="54">
                  <c:v>122.29166666666666</c:v>
                </c:pt>
                <c:pt idx="55">
                  <c:v>176.04166666666666</c:v>
                </c:pt>
                <c:pt idx="56">
                  <c:v>214.51388888888889</c:v>
                </c:pt>
                <c:pt idx="57">
                  <c:v>160.76388888888889</c:v>
                </c:pt>
                <c:pt idx="58">
                  <c:v>122.29166666666666</c:v>
                </c:pt>
                <c:pt idx="59">
                  <c:v>176.04166666666666</c:v>
                </c:pt>
                <c:pt idx="60">
                  <c:v>214.51388888888889</c:v>
                </c:pt>
                <c:pt idx="61">
                  <c:v>160.76388888888889</c:v>
                </c:pt>
                <c:pt idx="62">
                  <c:v>122.29166666666666</c:v>
                </c:pt>
                <c:pt idx="63">
                  <c:v>176.04166666666666</c:v>
                </c:pt>
                <c:pt idx="64">
                  <c:v>214.51388888888889</c:v>
                </c:pt>
                <c:pt idx="65">
                  <c:v>160.76388888888889</c:v>
                </c:pt>
                <c:pt idx="66">
                  <c:v>122.29166666666666</c:v>
                </c:pt>
                <c:pt idx="67">
                  <c:v>176.04166666666666</c:v>
                </c:pt>
                <c:pt idx="68">
                  <c:v>214.51388888888889</c:v>
                </c:pt>
                <c:pt idx="69">
                  <c:v>160.76388888888889</c:v>
                </c:pt>
                <c:pt idx="70">
                  <c:v>122.29166666666666</c:v>
                </c:pt>
                <c:pt idx="71">
                  <c:v>176.04166666666666</c:v>
                </c:pt>
              </c:numCache>
            </c:numRef>
          </c:xVal>
          <c:yVal>
            <c:numRef>
              <c:f>'experiment design'!$AL$2:$AL$73</c:f>
              <c:numCache>
                <c:formatCode>General</c:formatCode>
                <c:ptCount val="72"/>
                <c:pt idx="0">
                  <c:v>40.486111111111114</c:v>
                </c:pt>
                <c:pt idx="1">
                  <c:v>-15.763888888888886</c:v>
                </c:pt>
                <c:pt idx="2">
                  <c:v>-27.291666666666657</c:v>
                </c:pt>
                <c:pt idx="3">
                  <c:v>-31.041666666666657</c:v>
                </c:pt>
                <c:pt idx="4">
                  <c:v>30.486111111111114</c:v>
                </c:pt>
                <c:pt idx="5">
                  <c:v>-90.763888888888886</c:v>
                </c:pt>
                <c:pt idx="6">
                  <c:v>-27.291666666666657</c:v>
                </c:pt>
                <c:pt idx="7">
                  <c:v>-26.041666666666657</c:v>
                </c:pt>
                <c:pt idx="8">
                  <c:v>60.486111111111114</c:v>
                </c:pt>
                <c:pt idx="9">
                  <c:v>79.236111111111114</c:v>
                </c:pt>
                <c:pt idx="10">
                  <c:v>-37.291666666666657</c:v>
                </c:pt>
                <c:pt idx="11">
                  <c:v>43.958333333333343</c:v>
                </c:pt>
                <c:pt idx="12">
                  <c:v>10.486111111111114</c:v>
                </c:pt>
                <c:pt idx="13">
                  <c:v>-20.763888888888886</c:v>
                </c:pt>
                <c:pt idx="14">
                  <c:v>122.70833333333334</c:v>
                </c:pt>
                <c:pt idx="15">
                  <c:v>-66.041666666666657</c:v>
                </c:pt>
                <c:pt idx="16">
                  <c:v>-4.5138888888888857</c:v>
                </c:pt>
                <c:pt idx="17">
                  <c:v>39.236111111111114</c:v>
                </c:pt>
                <c:pt idx="18">
                  <c:v>-47.291666666666657</c:v>
                </c:pt>
                <c:pt idx="19">
                  <c:v>118.95833333333334</c:v>
                </c:pt>
                <c:pt idx="20">
                  <c:v>120.48611111111111</c:v>
                </c:pt>
                <c:pt idx="21">
                  <c:v>-40.763888888888886</c:v>
                </c:pt>
                <c:pt idx="22">
                  <c:v>17.708333333333343</c:v>
                </c:pt>
                <c:pt idx="23">
                  <c:v>-16.041666666666657</c:v>
                </c:pt>
                <c:pt idx="24">
                  <c:v>-44.513888888888886</c:v>
                </c:pt>
                <c:pt idx="25">
                  <c:v>-60.763888888888886</c:v>
                </c:pt>
                <c:pt idx="26">
                  <c:v>27.708333333333343</c:v>
                </c:pt>
                <c:pt idx="27">
                  <c:v>-46.041666666666657</c:v>
                </c:pt>
                <c:pt idx="28">
                  <c:v>80.486111111111114</c:v>
                </c:pt>
                <c:pt idx="29">
                  <c:v>9.2361111111111143</c:v>
                </c:pt>
                <c:pt idx="30">
                  <c:v>12.708333333333343</c:v>
                </c:pt>
                <c:pt idx="31">
                  <c:v>13.958333333333343</c:v>
                </c:pt>
                <c:pt idx="32">
                  <c:v>-69.513888888888886</c:v>
                </c:pt>
                <c:pt idx="33">
                  <c:v>-90.763888888888886</c:v>
                </c:pt>
                <c:pt idx="34">
                  <c:v>7.7083333333333428</c:v>
                </c:pt>
                <c:pt idx="35">
                  <c:v>-46.041666666666657</c:v>
                </c:pt>
                <c:pt idx="36">
                  <c:v>65.486111111111114</c:v>
                </c:pt>
                <c:pt idx="37">
                  <c:v>94.236111111111114</c:v>
                </c:pt>
                <c:pt idx="38">
                  <c:v>32.708333333333343</c:v>
                </c:pt>
                <c:pt idx="39">
                  <c:v>98.958333333333343</c:v>
                </c:pt>
                <c:pt idx="40">
                  <c:v>-54.513888888888886</c:v>
                </c:pt>
                <c:pt idx="41">
                  <c:v>34.236111111111114</c:v>
                </c:pt>
                <c:pt idx="42">
                  <c:v>52.708333333333343</c:v>
                </c:pt>
                <c:pt idx="43">
                  <c:v>-31.041666666666657</c:v>
                </c:pt>
                <c:pt idx="44">
                  <c:v>5.4861111111111143</c:v>
                </c:pt>
                <c:pt idx="45">
                  <c:v>-10.763888888888886</c:v>
                </c:pt>
                <c:pt idx="46">
                  <c:v>87.708333333333343</c:v>
                </c:pt>
                <c:pt idx="47">
                  <c:v>83.958333333333343</c:v>
                </c:pt>
                <c:pt idx="48">
                  <c:v>20.486111111111114</c:v>
                </c:pt>
                <c:pt idx="49">
                  <c:v>-60.763888888888886</c:v>
                </c:pt>
                <c:pt idx="50">
                  <c:v>-12.291666666666657</c:v>
                </c:pt>
                <c:pt idx="51">
                  <c:v>-86.041666666666657</c:v>
                </c:pt>
                <c:pt idx="52">
                  <c:v>-34.513888888888886</c:v>
                </c:pt>
                <c:pt idx="53">
                  <c:v>-30.763888888888886</c:v>
                </c:pt>
                <c:pt idx="54">
                  <c:v>-52.291666666666657</c:v>
                </c:pt>
                <c:pt idx="55">
                  <c:v>-61.041666666666657</c:v>
                </c:pt>
                <c:pt idx="56">
                  <c:v>75.486111111111114</c:v>
                </c:pt>
                <c:pt idx="57">
                  <c:v>-35.763888888888886</c:v>
                </c:pt>
                <c:pt idx="58">
                  <c:v>37.708333333333343</c:v>
                </c:pt>
                <c:pt idx="59">
                  <c:v>-66.041666666666657</c:v>
                </c:pt>
                <c:pt idx="60">
                  <c:v>-94.513888888888886</c:v>
                </c:pt>
                <c:pt idx="61">
                  <c:v>-50.763888888888886</c:v>
                </c:pt>
                <c:pt idx="62">
                  <c:v>-32.291666666666657</c:v>
                </c:pt>
                <c:pt idx="63">
                  <c:v>3.9583333333333428</c:v>
                </c:pt>
                <c:pt idx="64">
                  <c:v>55.486111111111114</c:v>
                </c:pt>
                <c:pt idx="65">
                  <c:v>9.2361111111111143</c:v>
                </c:pt>
                <c:pt idx="66">
                  <c:v>7.7083333333333428</c:v>
                </c:pt>
                <c:pt idx="67">
                  <c:v>-76.041666666666657</c:v>
                </c:pt>
                <c:pt idx="68">
                  <c:v>-79.513888888888886</c:v>
                </c:pt>
                <c:pt idx="69">
                  <c:v>59.236111111111114</c:v>
                </c:pt>
                <c:pt idx="70">
                  <c:v>12.708333333333343</c:v>
                </c:pt>
                <c:pt idx="71">
                  <c:v>3.9583333333333428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A-4770-98EE-B65F857AE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design'!$AK$2:$AK$73</c:f>
              <c:numCache>
                <c:formatCode>General</c:formatCode>
                <c:ptCount val="72"/>
                <c:pt idx="0">
                  <c:v>223.33333333333334</c:v>
                </c:pt>
                <c:pt idx="1">
                  <c:v>149.44444444444446</c:v>
                </c:pt>
                <c:pt idx="2">
                  <c:v>123.33333333333333</c:v>
                </c:pt>
                <c:pt idx="3">
                  <c:v>151.66666666666666</c:v>
                </c:pt>
                <c:pt idx="4">
                  <c:v>226.11111111111111</c:v>
                </c:pt>
                <c:pt idx="5">
                  <c:v>151.66666666666666</c:v>
                </c:pt>
                <c:pt idx="6">
                  <c:v>141.66666666666666</c:v>
                </c:pt>
                <c:pt idx="7">
                  <c:v>180</c:v>
                </c:pt>
                <c:pt idx="8">
                  <c:v>223.33333333333334</c:v>
                </c:pt>
                <c:pt idx="9">
                  <c:v>149.44444444444446</c:v>
                </c:pt>
                <c:pt idx="10">
                  <c:v>123.33333333333333</c:v>
                </c:pt>
                <c:pt idx="11">
                  <c:v>151.66666666666666</c:v>
                </c:pt>
                <c:pt idx="12">
                  <c:v>226.11111111111111</c:v>
                </c:pt>
                <c:pt idx="13">
                  <c:v>151.66666666666666</c:v>
                </c:pt>
                <c:pt idx="14">
                  <c:v>141.66666666666666</c:v>
                </c:pt>
                <c:pt idx="15">
                  <c:v>180</c:v>
                </c:pt>
                <c:pt idx="16">
                  <c:v>223.33333333333334</c:v>
                </c:pt>
                <c:pt idx="17">
                  <c:v>149.44444444444446</c:v>
                </c:pt>
                <c:pt idx="18">
                  <c:v>123.33333333333333</c:v>
                </c:pt>
                <c:pt idx="19">
                  <c:v>151.66666666666666</c:v>
                </c:pt>
                <c:pt idx="20">
                  <c:v>226.11111111111111</c:v>
                </c:pt>
                <c:pt idx="21">
                  <c:v>151.66666666666666</c:v>
                </c:pt>
                <c:pt idx="22">
                  <c:v>141.66666666666666</c:v>
                </c:pt>
                <c:pt idx="23">
                  <c:v>180</c:v>
                </c:pt>
                <c:pt idx="24">
                  <c:v>223.33333333333334</c:v>
                </c:pt>
                <c:pt idx="25">
                  <c:v>149.44444444444446</c:v>
                </c:pt>
                <c:pt idx="26">
                  <c:v>123.33333333333333</c:v>
                </c:pt>
                <c:pt idx="27">
                  <c:v>151.66666666666666</c:v>
                </c:pt>
                <c:pt idx="28">
                  <c:v>226.11111111111111</c:v>
                </c:pt>
                <c:pt idx="29">
                  <c:v>151.66666666666666</c:v>
                </c:pt>
                <c:pt idx="30">
                  <c:v>141.66666666666666</c:v>
                </c:pt>
                <c:pt idx="31">
                  <c:v>180</c:v>
                </c:pt>
                <c:pt idx="32">
                  <c:v>223.33333333333334</c:v>
                </c:pt>
                <c:pt idx="33">
                  <c:v>149.44444444444446</c:v>
                </c:pt>
                <c:pt idx="34">
                  <c:v>123.33333333333333</c:v>
                </c:pt>
                <c:pt idx="35">
                  <c:v>151.66666666666666</c:v>
                </c:pt>
                <c:pt idx="36">
                  <c:v>226.11111111111111</c:v>
                </c:pt>
                <c:pt idx="37">
                  <c:v>151.66666666666666</c:v>
                </c:pt>
                <c:pt idx="38">
                  <c:v>141.66666666666666</c:v>
                </c:pt>
                <c:pt idx="39">
                  <c:v>180</c:v>
                </c:pt>
                <c:pt idx="40">
                  <c:v>223.33333333333334</c:v>
                </c:pt>
                <c:pt idx="41">
                  <c:v>149.44444444444446</c:v>
                </c:pt>
                <c:pt idx="42">
                  <c:v>123.33333333333333</c:v>
                </c:pt>
                <c:pt idx="43">
                  <c:v>151.66666666666666</c:v>
                </c:pt>
                <c:pt idx="44">
                  <c:v>226.11111111111111</c:v>
                </c:pt>
                <c:pt idx="45">
                  <c:v>151.66666666666666</c:v>
                </c:pt>
                <c:pt idx="46">
                  <c:v>141.66666666666666</c:v>
                </c:pt>
                <c:pt idx="47">
                  <c:v>180</c:v>
                </c:pt>
                <c:pt idx="48">
                  <c:v>223.33333333333334</c:v>
                </c:pt>
                <c:pt idx="49">
                  <c:v>149.44444444444446</c:v>
                </c:pt>
                <c:pt idx="50">
                  <c:v>123.33333333333333</c:v>
                </c:pt>
                <c:pt idx="51">
                  <c:v>151.66666666666666</c:v>
                </c:pt>
                <c:pt idx="52">
                  <c:v>226.11111111111111</c:v>
                </c:pt>
                <c:pt idx="53">
                  <c:v>151.66666666666666</c:v>
                </c:pt>
                <c:pt idx="54">
                  <c:v>141.66666666666666</c:v>
                </c:pt>
                <c:pt idx="55">
                  <c:v>180</c:v>
                </c:pt>
                <c:pt idx="56">
                  <c:v>223.33333333333334</c:v>
                </c:pt>
                <c:pt idx="57">
                  <c:v>149.44444444444446</c:v>
                </c:pt>
                <c:pt idx="58">
                  <c:v>123.33333333333333</c:v>
                </c:pt>
                <c:pt idx="59">
                  <c:v>151.66666666666666</c:v>
                </c:pt>
                <c:pt idx="60">
                  <c:v>226.11111111111111</c:v>
                </c:pt>
                <c:pt idx="61">
                  <c:v>151.66666666666666</c:v>
                </c:pt>
                <c:pt idx="62">
                  <c:v>141.66666666666666</c:v>
                </c:pt>
                <c:pt idx="63">
                  <c:v>180</c:v>
                </c:pt>
                <c:pt idx="64">
                  <c:v>223.33333333333334</c:v>
                </c:pt>
                <c:pt idx="65">
                  <c:v>149.44444444444446</c:v>
                </c:pt>
                <c:pt idx="66">
                  <c:v>123.33333333333333</c:v>
                </c:pt>
                <c:pt idx="67">
                  <c:v>151.66666666666666</c:v>
                </c:pt>
                <c:pt idx="68">
                  <c:v>226.11111111111111</c:v>
                </c:pt>
                <c:pt idx="69">
                  <c:v>151.66666666666666</c:v>
                </c:pt>
                <c:pt idx="70">
                  <c:v>141.66666666666666</c:v>
                </c:pt>
                <c:pt idx="71">
                  <c:v>180</c:v>
                </c:pt>
              </c:numCache>
            </c:numRef>
          </c:xVal>
          <c:yVal>
            <c:numRef>
              <c:f>'experiment design'!$AL$2:$AL$73</c:f>
              <c:numCache>
                <c:formatCode>General</c:formatCode>
                <c:ptCount val="72"/>
                <c:pt idx="0">
                  <c:v>40.486111111111114</c:v>
                </c:pt>
                <c:pt idx="1">
                  <c:v>-15.763888888888886</c:v>
                </c:pt>
                <c:pt idx="2">
                  <c:v>-27.291666666666657</c:v>
                </c:pt>
                <c:pt idx="3">
                  <c:v>-31.041666666666657</c:v>
                </c:pt>
                <c:pt idx="4">
                  <c:v>30.486111111111114</c:v>
                </c:pt>
                <c:pt idx="5">
                  <c:v>-90.763888888888886</c:v>
                </c:pt>
                <c:pt idx="6">
                  <c:v>-27.291666666666657</c:v>
                </c:pt>
                <c:pt idx="7">
                  <c:v>-26.041666666666657</c:v>
                </c:pt>
                <c:pt idx="8">
                  <c:v>60.486111111111114</c:v>
                </c:pt>
                <c:pt idx="9">
                  <c:v>79.236111111111114</c:v>
                </c:pt>
                <c:pt idx="10">
                  <c:v>-37.291666666666657</c:v>
                </c:pt>
                <c:pt idx="11">
                  <c:v>43.958333333333343</c:v>
                </c:pt>
                <c:pt idx="12">
                  <c:v>10.486111111111114</c:v>
                </c:pt>
                <c:pt idx="13">
                  <c:v>-20.763888888888886</c:v>
                </c:pt>
                <c:pt idx="14">
                  <c:v>122.70833333333334</c:v>
                </c:pt>
                <c:pt idx="15">
                  <c:v>-66.041666666666657</c:v>
                </c:pt>
                <c:pt idx="16">
                  <c:v>-4.5138888888888857</c:v>
                </c:pt>
                <c:pt idx="17">
                  <c:v>39.236111111111114</c:v>
                </c:pt>
                <c:pt idx="18">
                  <c:v>-47.291666666666657</c:v>
                </c:pt>
                <c:pt idx="19">
                  <c:v>118.95833333333334</c:v>
                </c:pt>
                <c:pt idx="20">
                  <c:v>120.48611111111111</c:v>
                </c:pt>
                <c:pt idx="21">
                  <c:v>-40.763888888888886</c:v>
                </c:pt>
                <c:pt idx="22">
                  <c:v>17.708333333333343</c:v>
                </c:pt>
                <c:pt idx="23">
                  <c:v>-16.041666666666657</c:v>
                </c:pt>
                <c:pt idx="24">
                  <c:v>-44.513888888888886</c:v>
                </c:pt>
                <c:pt idx="25">
                  <c:v>-60.763888888888886</c:v>
                </c:pt>
                <c:pt idx="26">
                  <c:v>27.708333333333343</c:v>
                </c:pt>
                <c:pt idx="27">
                  <c:v>-46.041666666666657</c:v>
                </c:pt>
                <c:pt idx="28">
                  <c:v>80.486111111111114</c:v>
                </c:pt>
                <c:pt idx="29">
                  <c:v>9.2361111111111143</c:v>
                </c:pt>
                <c:pt idx="30">
                  <c:v>12.708333333333343</c:v>
                </c:pt>
                <c:pt idx="31">
                  <c:v>13.958333333333343</c:v>
                </c:pt>
                <c:pt idx="32">
                  <c:v>-69.513888888888886</c:v>
                </c:pt>
                <c:pt idx="33">
                  <c:v>-90.763888888888886</c:v>
                </c:pt>
                <c:pt idx="34">
                  <c:v>7.7083333333333428</c:v>
                </c:pt>
                <c:pt idx="35">
                  <c:v>-46.041666666666657</c:v>
                </c:pt>
                <c:pt idx="36">
                  <c:v>65.486111111111114</c:v>
                </c:pt>
                <c:pt idx="37">
                  <c:v>94.236111111111114</c:v>
                </c:pt>
                <c:pt idx="38">
                  <c:v>32.708333333333343</c:v>
                </c:pt>
                <c:pt idx="39">
                  <c:v>98.958333333333343</c:v>
                </c:pt>
                <c:pt idx="40">
                  <c:v>-54.513888888888886</c:v>
                </c:pt>
                <c:pt idx="41">
                  <c:v>34.236111111111114</c:v>
                </c:pt>
                <c:pt idx="42">
                  <c:v>52.708333333333343</c:v>
                </c:pt>
                <c:pt idx="43">
                  <c:v>-31.041666666666657</c:v>
                </c:pt>
                <c:pt idx="44">
                  <c:v>5.4861111111111143</c:v>
                </c:pt>
                <c:pt idx="45">
                  <c:v>-10.763888888888886</c:v>
                </c:pt>
                <c:pt idx="46">
                  <c:v>87.708333333333343</c:v>
                </c:pt>
                <c:pt idx="47">
                  <c:v>83.958333333333343</c:v>
                </c:pt>
                <c:pt idx="48">
                  <c:v>20.486111111111114</c:v>
                </c:pt>
                <c:pt idx="49">
                  <c:v>-60.763888888888886</c:v>
                </c:pt>
                <c:pt idx="50">
                  <c:v>-12.291666666666657</c:v>
                </c:pt>
                <c:pt idx="51">
                  <c:v>-86.041666666666657</c:v>
                </c:pt>
                <c:pt idx="52">
                  <c:v>-34.513888888888886</c:v>
                </c:pt>
                <c:pt idx="53">
                  <c:v>-30.763888888888886</c:v>
                </c:pt>
                <c:pt idx="54">
                  <c:v>-52.291666666666657</c:v>
                </c:pt>
                <c:pt idx="55">
                  <c:v>-61.041666666666657</c:v>
                </c:pt>
                <c:pt idx="56">
                  <c:v>75.486111111111114</c:v>
                </c:pt>
                <c:pt idx="57">
                  <c:v>-35.763888888888886</c:v>
                </c:pt>
                <c:pt idx="58">
                  <c:v>37.708333333333343</c:v>
                </c:pt>
                <c:pt idx="59">
                  <c:v>-66.041666666666657</c:v>
                </c:pt>
                <c:pt idx="60">
                  <c:v>-94.513888888888886</c:v>
                </c:pt>
                <c:pt idx="61">
                  <c:v>-50.763888888888886</c:v>
                </c:pt>
                <c:pt idx="62">
                  <c:v>-32.291666666666657</c:v>
                </c:pt>
                <c:pt idx="63">
                  <c:v>3.9583333333333428</c:v>
                </c:pt>
                <c:pt idx="64">
                  <c:v>55.486111111111114</c:v>
                </c:pt>
                <c:pt idx="65">
                  <c:v>9.2361111111111143</c:v>
                </c:pt>
                <c:pt idx="66">
                  <c:v>7.7083333333333428</c:v>
                </c:pt>
                <c:pt idx="67">
                  <c:v>-76.041666666666657</c:v>
                </c:pt>
                <c:pt idx="68">
                  <c:v>-79.513888888888886</c:v>
                </c:pt>
                <c:pt idx="69">
                  <c:v>59.236111111111114</c:v>
                </c:pt>
                <c:pt idx="70">
                  <c:v>12.708333333333343</c:v>
                </c:pt>
                <c:pt idx="71">
                  <c:v>3.9583333333333428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4-43EA-86A7-D6F45D2A4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620486</xdr:colOff>
      <xdr:row>21</xdr:row>
      <xdr:rowOff>27214</xdr:rowOff>
    </xdr:from>
    <xdr:to>
      <xdr:col>7</xdr:col>
      <xdr:colOff>391886</xdr:colOff>
      <xdr:row>34</xdr:row>
      <xdr:rowOff>46264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57A30A-E760-4CDD-B6A1-FCFE4B25D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121227</xdr:colOff>
      <xdr:row>26</xdr:row>
      <xdr:rowOff>117763</xdr:rowOff>
    </xdr:from>
    <xdr:to>
      <xdr:col>20</xdr:col>
      <xdr:colOff>392544</xdr:colOff>
      <xdr:row>44</xdr:row>
      <xdr:rowOff>196273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18C0F9B-55CB-47DE-8C76-972493DB4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236682</xdr:colOff>
      <xdr:row>24</xdr:row>
      <xdr:rowOff>187037</xdr:rowOff>
    </xdr:from>
    <xdr:to>
      <xdr:col>27</xdr:col>
      <xdr:colOff>559954</xdr:colOff>
      <xdr:row>37</xdr:row>
      <xdr:rowOff>78509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A470E68-BC5F-40E0-AE5B-ABA66C03B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196273</xdr:colOff>
      <xdr:row>37</xdr:row>
      <xdr:rowOff>115454</xdr:rowOff>
    </xdr:from>
    <xdr:to>
      <xdr:col>27</xdr:col>
      <xdr:colOff>519545</xdr:colOff>
      <xdr:row>50</xdr:row>
      <xdr:rowOff>6927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ABC25DF-9C09-4DB1-A282-81339A45F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184727</xdr:colOff>
      <xdr:row>51</xdr:row>
      <xdr:rowOff>138546</xdr:rowOff>
    </xdr:from>
    <xdr:to>
      <xdr:col>27</xdr:col>
      <xdr:colOff>507999</xdr:colOff>
      <xdr:row>64</xdr:row>
      <xdr:rowOff>30018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F099D0A-7112-442E-BB28-7D4455930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FF7F-C379-4648-8145-FECEA7F02896}">
  <dimension ref="A1:AN85"/>
  <sheetViews>
    <sheetView tabSelected="1" topLeftCell="E16" zoomScale="55" zoomScaleNormal="55" workbookViewId="0">
      <selection activeCell="N8" sqref="N8"/>
    </sheetView>
  </sheetViews>
  <sheetFormatPr defaultRowHeight="17" x14ac:dyDescent="0.4"/>
  <cols>
    <col min="16" max="16" width="13.08984375" bestFit="1" customWidth="1"/>
    <col min="17" max="17" width="14" bestFit="1" customWidth="1"/>
    <col min="24" max="24" width="17.08984375" bestFit="1" customWidth="1"/>
    <col min="35" max="35" width="13.453125" bestFit="1" customWidth="1"/>
  </cols>
  <sheetData>
    <row r="1" spans="1:40" ht="17.5" thickBot="1" x14ac:dyDescent="0.45">
      <c r="A1" s="14"/>
      <c r="B1" s="15"/>
      <c r="C1" s="15"/>
      <c r="D1" s="15"/>
      <c r="E1" s="33" t="s">
        <v>96</v>
      </c>
      <c r="F1" s="34"/>
      <c r="G1" s="34"/>
      <c r="H1" s="33" t="s">
        <v>97</v>
      </c>
      <c r="I1" s="34"/>
      <c r="J1" s="34"/>
      <c r="K1" s="33" t="s">
        <v>98</v>
      </c>
      <c r="L1" s="34"/>
      <c r="M1" s="34"/>
      <c r="N1" s="22"/>
      <c r="O1" s="23"/>
      <c r="P1" s="14" t="s">
        <v>23</v>
      </c>
      <c r="Q1" s="16" t="s">
        <v>37</v>
      </c>
      <c r="AE1" t="s">
        <v>0</v>
      </c>
      <c r="AF1" t="s">
        <v>114</v>
      </c>
      <c r="AG1" t="s">
        <v>1</v>
      </c>
      <c r="AH1" t="s">
        <v>2</v>
      </c>
      <c r="AI1" t="s">
        <v>107</v>
      </c>
      <c r="AJ1" t="s">
        <v>108</v>
      </c>
      <c r="AK1" t="s">
        <v>15</v>
      </c>
      <c r="AL1" t="s">
        <v>109</v>
      </c>
      <c r="AM1" t="s">
        <v>112</v>
      </c>
      <c r="AN1" t="s">
        <v>113</v>
      </c>
    </row>
    <row r="2" spans="1:40" x14ac:dyDescent="0.4">
      <c r="A2" s="17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4</v>
      </c>
      <c r="I2" s="6" t="s">
        <v>5</v>
      </c>
      <c r="J2" s="6" t="s">
        <v>6</v>
      </c>
      <c r="K2" s="7" t="s">
        <v>4</v>
      </c>
      <c r="L2" s="6" t="s">
        <v>5</v>
      </c>
      <c r="M2" s="6" t="s">
        <v>6</v>
      </c>
      <c r="N2" s="7" t="s">
        <v>15</v>
      </c>
      <c r="O2" s="10" t="s">
        <v>36</v>
      </c>
      <c r="P2" s="17">
        <v>8</v>
      </c>
      <c r="Q2" s="18">
        <f>SUM(O3:O10)/P2</f>
        <v>3305.6423611111109</v>
      </c>
      <c r="S2" s="14" t="s">
        <v>47</v>
      </c>
      <c r="T2" s="15" cm="1">
        <f t="array" ref="T2">SUM(((E3:M10)-$P$8)^2)</f>
        <v>302891.31944444444</v>
      </c>
      <c r="U2" s="15" t="s">
        <v>45</v>
      </c>
      <c r="V2" s="16" t="s">
        <v>44</v>
      </c>
      <c r="X2" s="2" t="s">
        <v>56</v>
      </c>
      <c r="Y2" s="26" t="s">
        <v>57</v>
      </c>
      <c r="Z2" s="26" t="s">
        <v>58</v>
      </c>
      <c r="AA2" s="26" t="s">
        <v>59</v>
      </c>
      <c r="AB2" s="26" t="s">
        <v>60</v>
      </c>
      <c r="AC2" s="27" t="s">
        <v>61</v>
      </c>
      <c r="AE2">
        <v>1</v>
      </c>
      <c r="AF2">
        <v>17</v>
      </c>
      <c r="AG2">
        <v>-1</v>
      </c>
      <c r="AH2">
        <v>-1</v>
      </c>
      <c r="AI2">
        <v>255</v>
      </c>
      <c r="AJ2">
        <f>$J$16+$L$16*AH2+$N$16*AG2*AH2</f>
        <v>214.51388888888889</v>
      </c>
      <c r="AK2">
        <f>N3</f>
        <v>223.33333333333334</v>
      </c>
      <c r="AL2">
        <f>AI2-AJ2</f>
        <v>40.486111111111114</v>
      </c>
      <c r="AM2">
        <f>100*(_xlfn.RANK.EQ(AL2,$AL$2:$AL$73,1)-0.5)/$P$6</f>
        <v>77.083333333333329</v>
      </c>
      <c r="AN2">
        <f>_xlfn.NORM.INV(AM2/100,$AI$74,$AI$75)</f>
        <v>41.677300959278639</v>
      </c>
    </row>
    <row r="3" spans="1:40" x14ac:dyDescent="0.4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275</v>
      </c>
      <c r="G3" s="6">
        <v>210</v>
      </c>
      <c r="H3" s="7">
        <v>170</v>
      </c>
      <c r="I3" s="6">
        <v>145</v>
      </c>
      <c r="J3" s="6">
        <v>160</v>
      </c>
      <c r="K3" s="7">
        <v>235</v>
      </c>
      <c r="L3" s="6">
        <v>290</v>
      </c>
      <c r="M3" s="6">
        <v>270</v>
      </c>
      <c r="N3" s="7">
        <f>AVERAGE(E3:M3)</f>
        <v>223.33333333333334</v>
      </c>
      <c r="O3" s="10">
        <f>_xlfn.VAR.S(E3:M3)</f>
        <v>2950</v>
      </c>
      <c r="P3" s="17" t="s">
        <v>24</v>
      </c>
      <c r="Q3" s="18" t="s">
        <v>38</v>
      </c>
      <c r="S3" s="17" t="s">
        <v>48</v>
      </c>
      <c r="T3" s="6">
        <f t="shared" ref="T3:T9" si="0">$P$6/2*((U3-$P$8)^2+(V3-$P$8)^2)</f>
        <v>7503.1249999999927</v>
      </c>
      <c r="U3" s="6">
        <f>AVERAGE(E4:M4,E6:M6,E8:M8,E10:M10)</f>
        <v>158.19444444444446</v>
      </c>
      <c r="V3" s="18">
        <f>AVERAGE(E3:M3,E5:M5,E7:M7,E9:M9)</f>
        <v>178.61111111111111</v>
      </c>
      <c r="X3" s="3" t="s">
        <v>17</v>
      </c>
      <c r="Y3" s="6">
        <f>T3</f>
        <v>7503.1249999999927</v>
      </c>
      <c r="Z3" s="6">
        <v>1</v>
      </c>
      <c r="AA3" s="6">
        <f>Y3/Z3</f>
        <v>7503.1249999999927</v>
      </c>
      <c r="AB3" s="6">
        <f>AA3/$AA$10</f>
        <v>2.2697933352590507</v>
      </c>
      <c r="AC3" s="10">
        <f>_xlfn.F.INV.RT(0.05,Z3,$Z$10)</f>
        <v>3.9909237717402912</v>
      </c>
      <c r="AE3">
        <v>2</v>
      </c>
      <c r="AF3">
        <v>4</v>
      </c>
      <c r="AG3">
        <v>1</v>
      </c>
      <c r="AH3">
        <v>-1</v>
      </c>
      <c r="AI3">
        <v>145</v>
      </c>
      <c r="AJ3">
        <f t="shared" ref="AJ3:AJ66" si="1">$J$16+$L$16*AH3+$N$16*AG3*AH3</f>
        <v>160.76388888888889</v>
      </c>
      <c r="AK3">
        <f t="shared" ref="AK3:AK9" si="2">N4</f>
        <v>149.44444444444446</v>
      </c>
      <c r="AL3">
        <f t="shared" ref="AL3:AL66" si="3">AI3-AJ3</f>
        <v>-15.763888888888886</v>
      </c>
      <c r="AM3">
        <f>100*(_xlfn.RANK.EQ(AL3,$AL$2:$AL$73,1)-0.5)/$P$6</f>
        <v>45.138888888888886</v>
      </c>
      <c r="AN3">
        <f t="shared" ref="AN3:AN66" si="4">_xlfn.NORM.INV(AM3/100,$AI$74,$AI$75)</f>
        <v>-6.864956766357027</v>
      </c>
    </row>
    <row r="4" spans="1:40" x14ac:dyDescent="0.4">
      <c r="A4" s="17">
        <v>2</v>
      </c>
      <c r="B4" s="6">
        <v>1</v>
      </c>
      <c r="C4" s="6">
        <v>-1</v>
      </c>
      <c r="D4" s="6">
        <v>-1</v>
      </c>
      <c r="E4" s="13">
        <v>145</v>
      </c>
      <c r="F4" s="12">
        <v>240</v>
      </c>
      <c r="G4" s="12">
        <v>200</v>
      </c>
      <c r="H4" s="13">
        <v>100</v>
      </c>
      <c r="I4" s="12">
        <v>70</v>
      </c>
      <c r="J4" s="12">
        <v>195</v>
      </c>
      <c r="K4" s="13">
        <v>100</v>
      </c>
      <c r="L4" s="12">
        <v>125</v>
      </c>
      <c r="M4" s="12">
        <v>170</v>
      </c>
      <c r="N4" s="7">
        <f t="shared" ref="N4:N10" si="5">AVERAGE(E4:M4)</f>
        <v>149.44444444444446</v>
      </c>
      <c r="O4" s="10">
        <f t="shared" ref="O4:O10" si="6">_xlfn.VAR.S(E4:M4)</f>
        <v>3134.0277777777774</v>
      </c>
      <c r="P4" s="17">
        <v>9</v>
      </c>
      <c r="Q4" s="18">
        <f>4*Q2/(P2*P4)</f>
        <v>183.64679783950615</v>
      </c>
      <c r="S4" s="17" t="s">
        <v>49</v>
      </c>
      <c r="T4" s="6">
        <f t="shared" si="0"/>
        <v>26642.013888888898</v>
      </c>
      <c r="U4" s="6">
        <f>AVERAGE(E5:M5,E6:M6,E9:M9,E10:M10)</f>
        <v>149.16666666666666</v>
      </c>
      <c r="V4" s="18">
        <f>AVERAGE(E3:M3,E4:M4,E7:M7,E8:M8)</f>
        <v>187.63888888888889</v>
      </c>
      <c r="X4" s="3" t="s">
        <v>62</v>
      </c>
      <c r="Y4" s="6">
        <f t="shared" ref="Y4:Y9" si="7">T4</f>
        <v>26642.013888888898</v>
      </c>
      <c r="Z4" s="6">
        <v>1</v>
      </c>
      <c r="AA4" s="6">
        <f t="shared" ref="AA4:AA10" si="8">Y4/Z4</f>
        <v>26642.013888888898</v>
      </c>
      <c r="AB4" s="6">
        <f t="shared" ref="AB4:AB9" si="9">AA4/$AA$10</f>
        <v>8.0595572595257501</v>
      </c>
      <c r="AC4" s="10">
        <f t="shared" ref="AC4:AC9" si="10">_xlfn.F.INV.RT(0.05,Z4,$Z$10)</f>
        <v>3.9909237717402912</v>
      </c>
      <c r="AE4">
        <v>3</v>
      </c>
      <c r="AF4">
        <v>12</v>
      </c>
      <c r="AG4">
        <v>-1</v>
      </c>
      <c r="AH4">
        <v>1</v>
      </c>
      <c r="AI4">
        <v>95</v>
      </c>
      <c r="AJ4">
        <f t="shared" si="1"/>
        <v>122.29166666666666</v>
      </c>
      <c r="AK4">
        <f t="shared" si="2"/>
        <v>123.33333333333333</v>
      </c>
      <c r="AL4">
        <f t="shared" si="3"/>
        <v>-27.291666666666657</v>
      </c>
      <c r="AM4">
        <f>100*(_xlfn.RANK.EQ(AL4,$AL$2:$AL$73,1)-0.5)/$P$6</f>
        <v>38.194444444444443</v>
      </c>
      <c r="AN4">
        <f t="shared" si="4"/>
        <v>-16.881125046762101</v>
      </c>
    </row>
    <row r="5" spans="1:40" x14ac:dyDescent="0.4">
      <c r="A5" s="17">
        <v>3</v>
      </c>
      <c r="B5" s="6">
        <v>-1</v>
      </c>
      <c r="C5" s="6">
        <v>1</v>
      </c>
      <c r="D5" s="6">
        <v>-1</v>
      </c>
      <c r="E5" s="13">
        <v>95</v>
      </c>
      <c r="F5" s="12">
        <v>85</v>
      </c>
      <c r="G5" s="12">
        <v>75</v>
      </c>
      <c r="H5" s="13">
        <v>150</v>
      </c>
      <c r="I5" s="12">
        <v>130</v>
      </c>
      <c r="J5" s="12">
        <v>175</v>
      </c>
      <c r="K5" s="13">
        <v>110</v>
      </c>
      <c r="L5" s="12">
        <v>160</v>
      </c>
      <c r="M5" s="12">
        <v>130</v>
      </c>
      <c r="N5" s="7">
        <f t="shared" si="5"/>
        <v>123.33333333333333</v>
      </c>
      <c r="O5" s="10">
        <f t="shared" si="6"/>
        <v>1200</v>
      </c>
      <c r="P5" s="17" t="s">
        <v>25</v>
      </c>
      <c r="Q5" s="18" t="s">
        <v>40</v>
      </c>
      <c r="S5" s="17" t="s">
        <v>50</v>
      </c>
      <c r="T5" s="6">
        <f t="shared" si="0"/>
        <v>3003.1249999999959</v>
      </c>
      <c r="U5" s="6">
        <f>AVERAGE(E7:M10)</f>
        <v>174.86111111111111</v>
      </c>
      <c r="V5" s="18">
        <f>AVERAGE(E3:M6)</f>
        <v>161.94444444444446</v>
      </c>
      <c r="X5" s="3" t="s">
        <v>63</v>
      </c>
      <c r="Y5" s="6">
        <f t="shared" si="7"/>
        <v>3003.1249999999959</v>
      </c>
      <c r="Z5" s="6">
        <v>1</v>
      </c>
      <c r="AA5" s="6">
        <f t="shared" si="8"/>
        <v>3003.1249999999959</v>
      </c>
      <c r="AB5" s="6">
        <f t="shared" si="9"/>
        <v>0.90848454609910323</v>
      </c>
      <c r="AC5" s="10">
        <f t="shared" si="10"/>
        <v>3.9909237717402912</v>
      </c>
      <c r="AE5">
        <v>4</v>
      </c>
      <c r="AF5">
        <v>9</v>
      </c>
      <c r="AG5">
        <v>1</v>
      </c>
      <c r="AH5">
        <v>1</v>
      </c>
      <c r="AI5">
        <v>145</v>
      </c>
      <c r="AJ5">
        <f t="shared" si="1"/>
        <v>176.04166666666666</v>
      </c>
      <c r="AK5">
        <f t="shared" si="2"/>
        <v>151.66666666666666</v>
      </c>
      <c r="AL5">
        <f t="shared" si="3"/>
        <v>-31.041666666666657</v>
      </c>
      <c r="AM5">
        <f>100*(_xlfn.RANK.EQ(AL5,$AL$2:$AL$73,1)-0.5)/$P$6</f>
        <v>34.027777777777779</v>
      </c>
      <c r="AN5">
        <f t="shared" si="4"/>
        <v>-23.137671151497702</v>
      </c>
    </row>
    <row r="6" spans="1:40" x14ac:dyDescent="0.4">
      <c r="A6" s="17">
        <v>4</v>
      </c>
      <c r="B6" s="6">
        <v>1</v>
      </c>
      <c r="C6" s="6">
        <v>1</v>
      </c>
      <c r="D6" s="6">
        <v>-1</v>
      </c>
      <c r="E6" s="13">
        <v>145</v>
      </c>
      <c r="F6" s="12">
        <v>220</v>
      </c>
      <c r="G6" s="12">
        <v>295</v>
      </c>
      <c r="H6" s="13">
        <v>130</v>
      </c>
      <c r="I6" s="12">
        <v>130</v>
      </c>
      <c r="J6" s="12">
        <v>145</v>
      </c>
      <c r="K6" s="13">
        <v>90</v>
      </c>
      <c r="L6" s="12">
        <v>110</v>
      </c>
      <c r="M6" s="12">
        <v>100</v>
      </c>
      <c r="N6" s="7">
        <f t="shared" si="5"/>
        <v>151.66666666666666</v>
      </c>
      <c r="O6" s="10">
        <f t="shared" si="6"/>
        <v>4306.25</v>
      </c>
      <c r="P6" s="17">
        <f>P2*P4</f>
        <v>72</v>
      </c>
      <c r="Q6" s="18">
        <f>Q4^0.5</f>
        <v>13.551634508040207</v>
      </c>
      <c r="S6" s="17" t="s">
        <v>52</v>
      </c>
      <c r="T6" s="6">
        <f t="shared" si="0"/>
        <v>52003.125</v>
      </c>
      <c r="U6" s="6">
        <f>AVERAGE(E3:M3,E6:M6,E7:M7,E10:M10)</f>
        <v>195.27777777777777</v>
      </c>
      <c r="V6" s="18">
        <f>AVERAGE(E4:M4,E5:M5,E8:M8,E9:M9)</f>
        <v>141.52777777777777</v>
      </c>
      <c r="X6" s="3" t="s">
        <v>33</v>
      </c>
      <c r="Y6" s="6">
        <f t="shared" si="7"/>
        <v>52003.125</v>
      </c>
      <c r="Z6" s="6">
        <v>1</v>
      </c>
      <c r="AA6" s="6">
        <f t="shared" si="8"/>
        <v>52003.125</v>
      </c>
      <c r="AB6" s="6">
        <f t="shared" si="9"/>
        <v>15.731624694729653</v>
      </c>
      <c r="AC6" s="10">
        <f t="shared" si="10"/>
        <v>3.9909237717402912</v>
      </c>
      <c r="AE6">
        <v>5</v>
      </c>
      <c r="AF6">
        <v>23</v>
      </c>
      <c r="AG6">
        <v>-1</v>
      </c>
      <c r="AH6">
        <v>-1</v>
      </c>
      <c r="AI6">
        <v>245</v>
      </c>
      <c r="AJ6">
        <f t="shared" si="1"/>
        <v>214.51388888888889</v>
      </c>
      <c r="AK6">
        <f t="shared" si="2"/>
        <v>226.11111111111111</v>
      </c>
      <c r="AL6">
        <f t="shared" si="3"/>
        <v>30.486111111111114</v>
      </c>
      <c r="AM6">
        <f>100*(_xlfn.RANK.EQ(AL6,$AL$2:$AL$73,1)-0.5)/$P$6</f>
        <v>70.138888888888886</v>
      </c>
      <c r="AN6">
        <f t="shared" si="4"/>
        <v>29.695838171192797</v>
      </c>
    </row>
    <row r="7" spans="1:40" x14ac:dyDescent="0.4">
      <c r="A7" s="17">
        <v>5</v>
      </c>
      <c r="B7" s="6">
        <v>-1</v>
      </c>
      <c r="C7" s="6">
        <v>-1</v>
      </c>
      <c r="D7" s="6">
        <v>1</v>
      </c>
      <c r="E7" s="13">
        <v>245</v>
      </c>
      <c r="F7" s="12">
        <v>225</v>
      </c>
      <c r="G7" s="12">
        <v>335</v>
      </c>
      <c r="H7" s="13">
        <v>295</v>
      </c>
      <c r="I7" s="12">
        <v>280</v>
      </c>
      <c r="J7" s="12">
        <v>220</v>
      </c>
      <c r="K7" s="13">
        <v>180</v>
      </c>
      <c r="L7" s="12">
        <v>120</v>
      </c>
      <c r="M7" s="12">
        <v>135</v>
      </c>
      <c r="N7" s="7">
        <f t="shared" si="5"/>
        <v>226.11111111111111</v>
      </c>
      <c r="O7" s="10">
        <f t="shared" si="6"/>
        <v>5198.6111111111095</v>
      </c>
      <c r="P7" s="17" t="s">
        <v>26</v>
      </c>
      <c r="Q7" s="18" t="s">
        <v>41</v>
      </c>
      <c r="S7" s="17" t="s">
        <v>53</v>
      </c>
      <c r="T7" s="6">
        <f t="shared" si="0"/>
        <v>1953.1249999999966</v>
      </c>
      <c r="U7" s="6">
        <f>AVERAGE(E3:M3,E4:M4,E9:M9,E10:M10)</f>
        <v>173.61111111111111</v>
      </c>
      <c r="V7" s="18">
        <f>AVERAGE(E5:M5,E6:M6,E7:M7,E8:M8)</f>
        <v>163.19444444444446</v>
      </c>
      <c r="X7" s="3" t="s">
        <v>21</v>
      </c>
      <c r="Y7" s="6">
        <f t="shared" si="7"/>
        <v>1953.1249999999966</v>
      </c>
      <c r="Z7" s="6">
        <v>1</v>
      </c>
      <c r="AA7" s="6">
        <f t="shared" si="8"/>
        <v>1953.1249999999966</v>
      </c>
      <c r="AB7" s="6">
        <f t="shared" si="9"/>
        <v>0.59084582862844881</v>
      </c>
      <c r="AC7" s="10">
        <f t="shared" si="10"/>
        <v>3.9909237717402912</v>
      </c>
      <c r="AE7">
        <v>6</v>
      </c>
      <c r="AF7">
        <v>1</v>
      </c>
      <c r="AG7">
        <v>1</v>
      </c>
      <c r="AH7">
        <v>-1</v>
      </c>
      <c r="AI7">
        <v>70</v>
      </c>
      <c r="AJ7">
        <f t="shared" si="1"/>
        <v>160.76388888888889</v>
      </c>
      <c r="AK7">
        <f t="shared" si="2"/>
        <v>151.66666666666666</v>
      </c>
      <c r="AL7">
        <f t="shared" si="3"/>
        <v>-90.763888888888886</v>
      </c>
      <c r="AM7">
        <f>100*(_xlfn.RANK.EQ(AL7,$AL$2:$AL$73,1)-0.5)/$P$6</f>
        <v>2.0833333333333335</v>
      </c>
      <c r="AN7">
        <f t="shared" si="4"/>
        <v>-114.46929733823737</v>
      </c>
    </row>
    <row r="8" spans="1:40" ht="17.5" thickBot="1" x14ac:dyDescent="0.45">
      <c r="A8" s="17">
        <v>6</v>
      </c>
      <c r="B8" s="6">
        <v>1</v>
      </c>
      <c r="C8" s="6">
        <v>-1</v>
      </c>
      <c r="D8" s="6">
        <v>1</v>
      </c>
      <c r="E8" s="13">
        <v>70</v>
      </c>
      <c r="F8" s="12">
        <v>140</v>
      </c>
      <c r="G8" s="12">
        <v>120</v>
      </c>
      <c r="H8" s="13">
        <v>170</v>
      </c>
      <c r="I8" s="12">
        <v>255</v>
      </c>
      <c r="J8" s="12">
        <v>150</v>
      </c>
      <c r="K8" s="13">
        <v>130</v>
      </c>
      <c r="L8" s="12">
        <v>110</v>
      </c>
      <c r="M8" s="12">
        <v>220</v>
      </c>
      <c r="N8" s="7">
        <f t="shared" si="5"/>
        <v>151.66666666666666</v>
      </c>
      <c r="O8" s="10">
        <f t="shared" si="6"/>
        <v>3212.5</v>
      </c>
      <c r="P8" s="19">
        <f>AVERAGE(N3:N10)</f>
        <v>168.4027777777778</v>
      </c>
      <c r="Q8" s="21">
        <f>P2*(P4-1)</f>
        <v>64</v>
      </c>
      <c r="S8" s="17" t="s">
        <v>54</v>
      </c>
      <c r="T8" s="6">
        <f t="shared" si="0"/>
        <v>100.3472222222225</v>
      </c>
      <c r="U8" s="6">
        <f>AVERAGE(E3:M3,E5:M5,E8:M8,E10:M10)</f>
        <v>169.58333333333334</v>
      </c>
      <c r="V8" s="18">
        <f>AVERAGE(E4:M4,E6:M6,E7:M7,E9:M9)</f>
        <v>167.22222222222223</v>
      </c>
      <c r="X8" s="3" t="s">
        <v>20</v>
      </c>
      <c r="Y8" s="6">
        <f t="shared" si="7"/>
        <v>100.3472222222225</v>
      </c>
      <c r="Z8" s="6">
        <v>1</v>
      </c>
      <c r="AA8" s="6">
        <f t="shared" si="8"/>
        <v>100.3472222222225</v>
      </c>
      <c r="AB8" s="6">
        <f t="shared" si="9"/>
        <v>3.0356345684199551E-2</v>
      </c>
      <c r="AC8" s="10">
        <f t="shared" si="10"/>
        <v>3.9909237717402912</v>
      </c>
      <c r="AE8">
        <v>7</v>
      </c>
      <c r="AF8">
        <v>3</v>
      </c>
      <c r="AG8">
        <v>-1</v>
      </c>
      <c r="AH8">
        <v>1</v>
      </c>
      <c r="AI8">
        <v>95</v>
      </c>
      <c r="AJ8">
        <f t="shared" si="1"/>
        <v>122.29166666666666</v>
      </c>
      <c r="AK8">
        <f t="shared" si="2"/>
        <v>141.66666666666666</v>
      </c>
      <c r="AL8">
        <f t="shared" si="3"/>
        <v>-27.291666666666657</v>
      </c>
      <c r="AM8">
        <f>100*(_xlfn.RANK.EQ(AL8,$AL$2:$AL$73,1)-0.5)/$P$6</f>
        <v>38.194444444444443</v>
      </c>
      <c r="AN8">
        <f t="shared" si="4"/>
        <v>-16.881125046762101</v>
      </c>
    </row>
    <row r="9" spans="1:40" x14ac:dyDescent="0.4">
      <c r="A9" s="17">
        <v>7</v>
      </c>
      <c r="B9" s="6">
        <v>-1</v>
      </c>
      <c r="C9" s="6">
        <v>1</v>
      </c>
      <c r="D9" s="6">
        <v>1</v>
      </c>
      <c r="E9" s="13">
        <v>95</v>
      </c>
      <c r="F9" s="12">
        <v>245</v>
      </c>
      <c r="G9" s="12">
        <v>140</v>
      </c>
      <c r="H9" s="13">
        <v>135</v>
      </c>
      <c r="I9" s="12">
        <v>155</v>
      </c>
      <c r="J9" s="12">
        <v>210</v>
      </c>
      <c r="K9" s="13">
        <v>70</v>
      </c>
      <c r="L9" s="12">
        <v>90</v>
      </c>
      <c r="M9" s="12">
        <v>135</v>
      </c>
      <c r="N9" s="7">
        <f t="shared" si="5"/>
        <v>141.66666666666666</v>
      </c>
      <c r="O9" s="10">
        <f t="shared" si="6"/>
        <v>3200</v>
      </c>
      <c r="S9" s="17" t="s">
        <v>55</v>
      </c>
      <c r="T9" s="6">
        <f t="shared" si="0"/>
        <v>125.34722222222193</v>
      </c>
      <c r="U9" s="6">
        <f>AVERAGE(E4:M4,E5:M5,E7:M7,E10:M10)</f>
        <v>169.72222222222223</v>
      </c>
      <c r="V9" s="18">
        <f>AVERAGE(E3:M3,E6:M6,E8:M8,E9:M9)</f>
        <v>167.08333333333334</v>
      </c>
      <c r="X9" s="3" t="s">
        <v>22</v>
      </c>
      <c r="Y9" s="6">
        <f t="shared" si="7"/>
        <v>125.34722222222193</v>
      </c>
      <c r="Z9" s="6">
        <v>1</v>
      </c>
      <c r="AA9" s="6">
        <f t="shared" si="8"/>
        <v>125.34722222222193</v>
      </c>
      <c r="AB9" s="6">
        <f t="shared" si="9"/>
        <v>3.7919172290643538E-2</v>
      </c>
      <c r="AC9" s="10">
        <f t="shared" si="10"/>
        <v>3.9909237717402912</v>
      </c>
      <c r="AE9">
        <v>8</v>
      </c>
      <c r="AF9">
        <v>14</v>
      </c>
      <c r="AG9">
        <v>1</v>
      </c>
      <c r="AH9">
        <v>1</v>
      </c>
      <c r="AI9">
        <v>150</v>
      </c>
      <c r="AJ9">
        <f t="shared" si="1"/>
        <v>176.04166666666666</v>
      </c>
      <c r="AK9">
        <f t="shared" si="2"/>
        <v>180</v>
      </c>
      <c r="AL9">
        <f t="shared" si="3"/>
        <v>-26.041666666666657</v>
      </c>
      <c r="AM9">
        <f>100*(_xlfn.RANK.EQ(AL9,$AL$2:$AL$73,1)-0.5)/$P$6</f>
        <v>40.972222222222221</v>
      </c>
      <c r="AN9">
        <f t="shared" si="4"/>
        <v>-12.828100970816644</v>
      </c>
    </row>
    <row r="10" spans="1:40" ht="17.5" thickBot="1" x14ac:dyDescent="0.45">
      <c r="A10" s="19">
        <v>8</v>
      </c>
      <c r="B10" s="20">
        <v>1</v>
      </c>
      <c r="C10" s="20">
        <v>1</v>
      </c>
      <c r="D10" s="20">
        <v>1</v>
      </c>
      <c r="E10" s="24">
        <v>150</v>
      </c>
      <c r="F10" s="25">
        <v>110</v>
      </c>
      <c r="G10" s="25">
        <v>160</v>
      </c>
      <c r="H10" s="24">
        <v>190</v>
      </c>
      <c r="I10" s="25">
        <v>275</v>
      </c>
      <c r="J10" s="25">
        <v>260</v>
      </c>
      <c r="K10" s="24">
        <v>115</v>
      </c>
      <c r="L10" s="25">
        <v>180</v>
      </c>
      <c r="M10" s="25">
        <v>180</v>
      </c>
      <c r="N10" s="8">
        <f t="shared" si="5"/>
        <v>180</v>
      </c>
      <c r="O10" s="11">
        <f t="shared" si="6"/>
        <v>3243.75</v>
      </c>
      <c r="S10" s="17"/>
      <c r="T10" s="6" cm="1">
        <f t="array" ref="T10">SUM(((E3:M3)-N3)^2)</f>
        <v>23599.999999999996</v>
      </c>
      <c r="U10" s="6"/>
      <c r="V10" s="18"/>
      <c r="X10" s="3" t="s">
        <v>64</v>
      </c>
      <c r="Y10" s="6">
        <f>T18</f>
        <v>211561.11111111112</v>
      </c>
      <c r="Z10" s="6">
        <f>P2*(P4-1)</f>
        <v>64</v>
      </c>
      <c r="AA10" s="6">
        <f t="shared" si="8"/>
        <v>3305.6423611111113</v>
      </c>
      <c r="AB10" s="6"/>
      <c r="AC10" s="10"/>
      <c r="AE10">
        <v>9</v>
      </c>
      <c r="AF10">
        <v>43</v>
      </c>
      <c r="AG10">
        <v>-1</v>
      </c>
      <c r="AH10">
        <v>-1</v>
      </c>
      <c r="AI10">
        <v>275</v>
      </c>
      <c r="AJ10">
        <f t="shared" si="1"/>
        <v>214.51388888888889</v>
      </c>
      <c r="AK10">
        <f>AK2</f>
        <v>223.33333333333334</v>
      </c>
      <c r="AL10">
        <f t="shared" si="3"/>
        <v>60.486111111111114</v>
      </c>
      <c r="AM10">
        <f>100*(_xlfn.RANK.EQ(AL10,$AL$2:$AL$73,1)-0.5)/$P$6</f>
        <v>84.027777777777771</v>
      </c>
      <c r="AN10">
        <f t="shared" si="4"/>
        <v>55.952348759960444</v>
      </c>
    </row>
    <row r="11" spans="1:40" ht="17.5" thickBot="1" x14ac:dyDescent="0.45">
      <c r="S11" s="17"/>
      <c r="T11" s="6" cm="1">
        <f t="array" ref="T11">SUM(((E4:M4)-N4)^2)</f>
        <v>25072.222222222226</v>
      </c>
      <c r="U11" s="6"/>
      <c r="V11" s="18"/>
      <c r="X11" s="28" t="s">
        <v>65</v>
      </c>
      <c r="Y11" s="29">
        <f>SUM(Y3:Y10)</f>
        <v>302891.31944444444</v>
      </c>
      <c r="Z11" s="29">
        <f>P2*P4-1</f>
        <v>71</v>
      </c>
      <c r="AA11" s="29"/>
      <c r="AB11" s="29"/>
      <c r="AC11" s="30"/>
      <c r="AE11">
        <v>10</v>
      </c>
      <c r="AF11">
        <v>26</v>
      </c>
      <c r="AG11">
        <v>1</v>
      </c>
      <c r="AH11">
        <v>-1</v>
      </c>
      <c r="AI11">
        <v>240</v>
      </c>
      <c r="AJ11">
        <f t="shared" si="1"/>
        <v>160.76388888888889</v>
      </c>
      <c r="AK11">
        <f t="shared" ref="AK11:AK17" si="11">AK3</f>
        <v>149.44444444444446</v>
      </c>
      <c r="AL11">
        <f t="shared" si="3"/>
        <v>79.236111111111114</v>
      </c>
      <c r="AM11">
        <f>100*(_xlfn.RANK.EQ(AL11,$AL$2:$AL$73,1)-0.5)/$P$6</f>
        <v>88.194444444444443</v>
      </c>
      <c r="AN11">
        <f t="shared" si="4"/>
        <v>66.583234126221782</v>
      </c>
    </row>
    <row r="12" spans="1:40" x14ac:dyDescent="0.4">
      <c r="S12" s="17"/>
      <c r="T12" s="6" cm="1">
        <f t="array" ref="T12">SUM(((E5:M5)-N5)^2)</f>
        <v>9600</v>
      </c>
      <c r="U12" s="6"/>
      <c r="V12" s="18"/>
      <c r="X12" s="12" t="s">
        <v>66</v>
      </c>
      <c r="Y12" s="6">
        <f>SUM(Y3:Y9)/Y11</f>
        <v>0.30152798205260178</v>
      </c>
      <c r="AE12">
        <v>11</v>
      </c>
      <c r="AF12">
        <v>39</v>
      </c>
      <c r="AG12">
        <v>-1</v>
      </c>
      <c r="AH12">
        <v>1</v>
      </c>
      <c r="AI12">
        <v>85</v>
      </c>
      <c r="AJ12">
        <f t="shared" si="1"/>
        <v>122.29166666666666</v>
      </c>
      <c r="AK12">
        <f t="shared" si="11"/>
        <v>123.33333333333333</v>
      </c>
      <c r="AL12">
        <f t="shared" si="3"/>
        <v>-37.291666666666657</v>
      </c>
      <c r="AM12">
        <f>100*(_xlfn.RANK.EQ(AL12,$AL$2:$AL$73,1)-0.5)/$P$6</f>
        <v>28.472222222222221</v>
      </c>
      <c r="AN12">
        <f t="shared" si="4"/>
        <v>-31.97026939576298</v>
      </c>
    </row>
    <row r="13" spans="1:40" x14ac:dyDescent="0.4">
      <c r="A13" t="s">
        <v>0</v>
      </c>
      <c r="B13" t="s">
        <v>1</v>
      </c>
      <c r="C13" t="s">
        <v>2</v>
      </c>
      <c r="D13" t="s">
        <v>3</v>
      </c>
      <c r="E13" t="s">
        <v>11</v>
      </c>
      <c r="F13" t="s">
        <v>12</v>
      </c>
      <c r="G13" t="s">
        <v>13</v>
      </c>
      <c r="H13" t="s">
        <v>14</v>
      </c>
      <c r="I13" t="s">
        <v>16</v>
      </c>
      <c r="K13" t="s">
        <v>17</v>
      </c>
      <c r="L13" t="s">
        <v>18</v>
      </c>
      <c r="M13" t="s">
        <v>19</v>
      </c>
      <c r="N13" t="s">
        <v>33</v>
      </c>
      <c r="O13" t="s">
        <v>21</v>
      </c>
      <c r="P13" t="s">
        <v>20</v>
      </c>
      <c r="Q13" t="s">
        <v>22</v>
      </c>
      <c r="S13" s="17"/>
      <c r="T13" s="6" cm="1">
        <f t="array" ref="T13">SUM(((E6:M6)-N6)^2)</f>
        <v>34450.000000000007</v>
      </c>
      <c r="U13" s="6"/>
      <c r="V13" s="18"/>
      <c r="X13" s="12" t="s">
        <v>67</v>
      </c>
      <c r="Y13" s="6">
        <f>1-(Y10/Z10)/(Y11/Z11)</f>
        <v>0.22513260508960498</v>
      </c>
      <c r="AE13">
        <v>12</v>
      </c>
      <c r="AF13">
        <v>38</v>
      </c>
      <c r="AG13">
        <v>1</v>
      </c>
      <c r="AH13">
        <v>1</v>
      </c>
      <c r="AI13">
        <v>220</v>
      </c>
      <c r="AJ13">
        <f t="shared" si="1"/>
        <v>176.04166666666666</v>
      </c>
      <c r="AK13">
        <f t="shared" si="11"/>
        <v>151.66666666666666</v>
      </c>
      <c r="AL13">
        <f t="shared" si="3"/>
        <v>43.958333333333343</v>
      </c>
      <c r="AM13">
        <f>100*(_xlfn.RANK.EQ(AL13,$AL$2:$AL$73,1)-0.5)/$P$6</f>
        <v>78.472222222222229</v>
      </c>
      <c r="AN13">
        <f t="shared" si="4"/>
        <v>44.29886080979599</v>
      </c>
    </row>
    <row r="14" spans="1:40" ht="17.5" thickBot="1" x14ac:dyDescent="0.45">
      <c r="A14">
        <v>1</v>
      </c>
      <c r="B14">
        <v>-1</v>
      </c>
      <c r="C14">
        <v>-1</v>
      </c>
      <c r="D14">
        <v>-1</v>
      </c>
      <c r="E14">
        <f>B14*C14</f>
        <v>1</v>
      </c>
      <c r="F14">
        <f>C14*D14</f>
        <v>1</v>
      </c>
      <c r="G14">
        <f>B14*D14</f>
        <v>1</v>
      </c>
      <c r="H14">
        <f>B14*C14*D14</f>
        <v>-1</v>
      </c>
      <c r="I14">
        <f>E3</f>
        <v>255</v>
      </c>
      <c r="K14">
        <f t="shared" ref="K14:Q14" si="12">SUMPRODUCT(B14:B85,$I$14:$I$85)/($P$2/2*$P$4)</f>
        <v>-20.416666666666668</v>
      </c>
      <c r="L14">
        <f t="shared" si="12"/>
        <v>-38.472222222222221</v>
      </c>
      <c r="M14">
        <f t="shared" si="12"/>
        <v>12.916666666666666</v>
      </c>
      <c r="N14">
        <f t="shared" si="12"/>
        <v>53.75</v>
      </c>
      <c r="O14">
        <f t="shared" si="12"/>
        <v>10.416666666666666</v>
      </c>
      <c r="P14">
        <f t="shared" si="12"/>
        <v>2.3611111111111112</v>
      </c>
      <c r="Q14">
        <f t="shared" si="12"/>
        <v>2.6388888888888888</v>
      </c>
      <c r="S14" s="17"/>
      <c r="T14" s="6" cm="1">
        <f t="array" ref="T14">SUM(((E7:M7)-N7)^2)</f>
        <v>41588.888888888891</v>
      </c>
      <c r="U14" s="6"/>
      <c r="V14" s="18"/>
      <c r="AE14">
        <v>13</v>
      </c>
      <c r="AF14">
        <v>30</v>
      </c>
      <c r="AG14">
        <v>-1</v>
      </c>
      <c r="AH14">
        <v>-1</v>
      </c>
      <c r="AI14">
        <v>225</v>
      </c>
      <c r="AJ14">
        <f t="shared" si="1"/>
        <v>214.51388888888889</v>
      </c>
      <c r="AK14">
        <f t="shared" si="11"/>
        <v>226.11111111111111</v>
      </c>
      <c r="AL14">
        <f t="shared" si="3"/>
        <v>10.486111111111114</v>
      </c>
      <c r="AM14">
        <f>100*(_xlfn.RANK.EQ(AL14,$AL$2:$AL$73,1)-0.5)/$P$6</f>
        <v>60.416666666666664</v>
      </c>
      <c r="AN14">
        <f t="shared" si="4"/>
        <v>14.844958831294774</v>
      </c>
    </row>
    <row r="15" spans="1:40" x14ac:dyDescent="0.4">
      <c r="A15">
        <v>2</v>
      </c>
      <c r="B15">
        <v>1</v>
      </c>
      <c r="C15">
        <v>-1</v>
      </c>
      <c r="D15">
        <v>-1</v>
      </c>
      <c r="E15">
        <f t="shared" ref="E15:E78" si="13">B15*C15</f>
        <v>-1</v>
      </c>
      <c r="F15">
        <f t="shared" ref="F15:F78" si="14">C15*D15</f>
        <v>1</v>
      </c>
      <c r="G15">
        <f t="shared" ref="G15:G78" si="15">B15*D15</f>
        <v>-1</v>
      </c>
      <c r="H15">
        <f t="shared" ref="H15:H78" si="16">B15*C15*D15</f>
        <v>1</v>
      </c>
      <c r="I15">
        <f t="shared" ref="I15:I21" si="17">E4</f>
        <v>145</v>
      </c>
      <c r="J15" t="s">
        <v>27</v>
      </c>
      <c r="K15" t="s">
        <v>28</v>
      </c>
      <c r="L15" t="s">
        <v>29</v>
      </c>
      <c r="M15" t="s">
        <v>32</v>
      </c>
      <c r="N15" t="s">
        <v>31</v>
      </c>
      <c r="O15" t="s">
        <v>34</v>
      </c>
      <c r="P15" t="s">
        <v>30</v>
      </c>
      <c r="Q15" t="s">
        <v>35</v>
      </c>
      <c r="S15" s="17"/>
      <c r="T15" s="6" cm="1">
        <f t="array" ref="T15">SUM(((E8:M8)-N8)^2)</f>
        <v>25700</v>
      </c>
      <c r="U15" s="6"/>
      <c r="V15" s="18"/>
      <c r="X15" s="2" t="s">
        <v>56</v>
      </c>
      <c r="Y15" s="26" t="s">
        <v>57</v>
      </c>
      <c r="Z15" s="26" t="s">
        <v>58</v>
      </c>
      <c r="AA15" s="26" t="s">
        <v>59</v>
      </c>
      <c r="AB15" s="26" t="s">
        <v>60</v>
      </c>
      <c r="AC15" s="27" t="s">
        <v>61</v>
      </c>
      <c r="AE15">
        <v>14</v>
      </c>
      <c r="AF15">
        <v>31</v>
      </c>
      <c r="AG15">
        <v>1</v>
      </c>
      <c r="AH15">
        <v>-1</v>
      </c>
      <c r="AI15">
        <v>140</v>
      </c>
      <c r="AJ15">
        <f t="shared" si="1"/>
        <v>160.76388888888889</v>
      </c>
      <c r="AK15">
        <f t="shared" si="11"/>
        <v>151.66666666666666</v>
      </c>
      <c r="AL15">
        <f t="shared" si="3"/>
        <v>-20.763888888888886</v>
      </c>
      <c r="AM15">
        <f>100*(_xlfn.RANK.EQ(AL15,$AL$2:$AL$73,1)-0.5)/$P$6</f>
        <v>42.361111111111114</v>
      </c>
      <c r="AN15">
        <f t="shared" si="4"/>
        <v>-10.827635532185878</v>
      </c>
    </row>
    <row r="16" spans="1:40" x14ac:dyDescent="0.4">
      <c r="A16">
        <v>3</v>
      </c>
      <c r="B16">
        <v>-1</v>
      </c>
      <c r="C16">
        <v>1</v>
      </c>
      <c r="D16">
        <v>-1</v>
      </c>
      <c r="E16">
        <f t="shared" si="13"/>
        <v>-1</v>
      </c>
      <c r="F16">
        <f t="shared" si="14"/>
        <v>-1</v>
      </c>
      <c r="G16">
        <f t="shared" si="15"/>
        <v>1</v>
      </c>
      <c r="H16">
        <f t="shared" si="16"/>
        <v>1</v>
      </c>
      <c r="I16">
        <f t="shared" si="17"/>
        <v>95</v>
      </c>
      <c r="J16">
        <f>AVERAGE(E3:M10)</f>
        <v>168.40277777777777</v>
      </c>
      <c r="K16">
        <f>K14/2</f>
        <v>-10.208333333333334</v>
      </c>
      <c r="L16">
        <f t="shared" ref="L16:Q16" si="18">L14/2</f>
        <v>-19.236111111111111</v>
      </c>
      <c r="M16">
        <f t="shared" si="18"/>
        <v>6.458333333333333</v>
      </c>
      <c r="N16">
        <f t="shared" si="18"/>
        <v>26.875</v>
      </c>
      <c r="O16">
        <f t="shared" si="18"/>
        <v>5.208333333333333</v>
      </c>
      <c r="P16">
        <f t="shared" si="18"/>
        <v>1.1805555555555556</v>
      </c>
      <c r="Q16">
        <f t="shared" si="18"/>
        <v>1.3194444444444444</v>
      </c>
      <c r="S16" s="17"/>
      <c r="T16" s="6" cm="1">
        <f t="array" ref="T16">SUM(((E9:M9)-N9)^2)</f>
        <v>25600</v>
      </c>
      <c r="U16" s="6"/>
      <c r="V16" s="18"/>
      <c r="X16" s="3" t="s">
        <v>18</v>
      </c>
      <c r="Y16" s="6">
        <f>T4</f>
        <v>26642.013888888898</v>
      </c>
      <c r="Z16" s="6">
        <v>1</v>
      </c>
      <c r="AA16" s="6">
        <f>Y16/Z16</f>
        <v>26642.013888888898</v>
      </c>
      <c r="AB16" s="6">
        <f>AA16/$AA$18</f>
        <v>8.1976823586429255</v>
      </c>
      <c r="AC16" s="10">
        <f>_xlfn.F.INV.RT(0.05,Z16,$Z$18)</f>
        <v>3.9798072092573862</v>
      </c>
      <c r="AE16">
        <v>15</v>
      </c>
      <c r="AF16">
        <v>45</v>
      </c>
      <c r="AG16">
        <v>-1</v>
      </c>
      <c r="AH16">
        <v>1</v>
      </c>
      <c r="AI16">
        <v>245</v>
      </c>
      <c r="AJ16">
        <f t="shared" si="1"/>
        <v>122.29166666666666</v>
      </c>
      <c r="AK16">
        <f t="shared" si="11"/>
        <v>141.66666666666666</v>
      </c>
      <c r="AL16">
        <f t="shared" si="3"/>
        <v>122.70833333333334</v>
      </c>
      <c r="AM16">
        <f>100*(_xlfn.RANK.EQ(AL16,$AL$2:$AL$73,1)-0.5)/$P$6</f>
        <v>99.305555555555557</v>
      </c>
      <c r="AN16">
        <f t="shared" si="4"/>
        <v>138.25804463025159</v>
      </c>
    </row>
    <row r="17" spans="1:40" x14ac:dyDescent="0.4">
      <c r="A17">
        <v>4</v>
      </c>
      <c r="B17">
        <v>1</v>
      </c>
      <c r="C17">
        <v>1</v>
      </c>
      <c r="D17">
        <v>-1</v>
      </c>
      <c r="E17">
        <f t="shared" si="13"/>
        <v>1</v>
      </c>
      <c r="F17">
        <f t="shared" si="14"/>
        <v>-1</v>
      </c>
      <c r="G17">
        <f t="shared" si="15"/>
        <v>-1</v>
      </c>
      <c r="H17">
        <f t="shared" si="16"/>
        <v>-1</v>
      </c>
      <c r="I17">
        <f t="shared" si="17"/>
        <v>145</v>
      </c>
      <c r="M17" t="s">
        <v>39</v>
      </c>
      <c r="N17" t="s">
        <v>46</v>
      </c>
      <c r="O17" t="s">
        <v>42</v>
      </c>
      <c r="P17" t="s">
        <v>43</v>
      </c>
      <c r="Q17" t="s">
        <v>44</v>
      </c>
      <c r="R17" t="s">
        <v>45</v>
      </c>
      <c r="S17" s="17"/>
      <c r="T17" s="6" cm="1">
        <f t="array" ref="T17">SUM(((E10:M10)-N10)^2)</f>
        <v>25950</v>
      </c>
      <c r="U17" s="6" t="s">
        <v>47</v>
      </c>
      <c r="V17" s="18"/>
      <c r="X17" s="3" t="s">
        <v>33</v>
      </c>
      <c r="Y17" s="6">
        <f>T6</f>
        <v>52003.125</v>
      </c>
      <c r="Z17" s="6">
        <v>1</v>
      </c>
      <c r="AA17" s="6">
        <f t="shared" ref="AA17:AA18" si="19">Y17/Z17</f>
        <v>52003.125</v>
      </c>
      <c r="AB17" s="6">
        <f>AA17/$AA$18</f>
        <v>16.001234072796358</v>
      </c>
      <c r="AC17" s="10">
        <f>_xlfn.F.INV.RT(0.05,Z17,$Z$18)</f>
        <v>3.9798072092573862</v>
      </c>
      <c r="AE17">
        <v>16</v>
      </c>
      <c r="AF17">
        <v>34</v>
      </c>
      <c r="AG17">
        <v>1</v>
      </c>
      <c r="AH17">
        <v>1</v>
      </c>
      <c r="AI17">
        <v>110</v>
      </c>
      <c r="AJ17">
        <f t="shared" si="1"/>
        <v>176.04166666666666</v>
      </c>
      <c r="AK17">
        <f t="shared" si="11"/>
        <v>180</v>
      </c>
      <c r="AL17">
        <f t="shared" si="3"/>
        <v>-66.041666666666657</v>
      </c>
      <c r="AM17">
        <f>100*(_xlfn.RANK.EQ(AL17,$AL$2:$AL$73,1)-0.5)/$P$6</f>
        <v>10.416666666666666</v>
      </c>
      <c r="AN17">
        <f t="shared" si="4"/>
        <v>-70.708197388940249</v>
      </c>
    </row>
    <row r="18" spans="1:40" ht="17.5" thickBot="1" x14ac:dyDescent="0.45">
      <c r="A18">
        <v>5</v>
      </c>
      <c r="B18">
        <v>-1</v>
      </c>
      <c r="C18">
        <v>-1</v>
      </c>
      <c r="D18">
        <v>1</v>
      </c>
      <c r="E18">
        <f t="shared" si="13"/>
        <v>1</v>
      </c>
      <c r="F18">
        <f t="shared" si="14"/>
        <v>-1</v>
      </c>
      <c r="G18">
        <f t="shared" si="15"/>
        <v>-1</v>
      </c>
      <c r="H18">
        <f t="shared" si="16"/>
        <v>1</v>
      </c>
      <c r="I18">
        <f t="shared" si="17"/>
        <v>245</v>
      </c>
      <c r="J18">
        <v>7</v>
      </c>
      <c r="K18" t="s">
        <v>17</v>
      </c>
      <c r="L18">
        <f>K14</f>
        <v>-20.416666666666668</v>
      </c>
      <c r="M18">
        <f t="shared" ref="M18:M24" si="20">(L18-0)/$Q$6</f>
        <v>-1.5065833316677355</v>
      </c>
      <c r="N18">
        <f t="shared" ref="N18:N24" si="21">IF(_xlfn.T.DIST(M18,$Q$8,1)&gt;0.5,(1-_xlfn.T.DIST(M18,$Q$8,1))*2,_xlfn.T.DIST(M18,$Q$8,1)*2)</f>
        <v>0.13683774040131461</v>
      </c>
      <c r="O18">
        <f>_xlfn.T.INV(0.025,64)</f>
        <v>-1.9977296543176954</v>
      </c>
      <c r="P18">
        <f>_xlfn.T.INV(0.975,64)</f>
        <v>1.9977296543176919</v>
      </c>
      <c r="Q18">
        <f t="shared" ref="Q18:Q24" si="22">L18-P18*$Q$6</f>
        <v>-47.489168787853536</v>
      </c>
      <c r="R18">
        <f t="shared" ref="R18:R24" si="23">L18+P18*$Q$6</f>
        <v>6.6558354545202008</v>
      </c>
      <c r="S18" s="19" t="s">
        <v>51</v>
      </c>
      <c r="T18" s="20">
        <f>SUM(T10:T17)</f>
        <v>211561.11111111112</v>
      </c>
      <c r="U18" s="20">
        <f>T18+SUM(T3:T9)</f>
        <v>302891.31944444444</v>
      </c>
      <c r="V18" s="21"/>
      <c r="X18" s="3" t="s">
        <v>64</v>
      </c>
      <c r="Y18" s="6">
        <f>SUM(T3,T5,T7:T9,T18)</f>
        <v>224246.18055555556</v>
      </c>
      <c r="Z18" s="6">
        <f>Z19-Z16-Z17</f>
        <v>69</v>
      </c>
      <c r="AA18" s="6">
        <f t="shared" si="19"/>
        <v>3249.9446457326894</v>
      </c>
      <c r="AB18" s="6"/>
      <c r="AC18" s="10"/>
      <c r="AE18">
        <v>17</v>
      </c>
      <c r="AF18">
        <v>61</v>
      </c>
      <c r="AG18">
        <v>-1</v>
      </c>
      <c r="AH18">
        <v>-1</v>
      </c>
      <c r="AI18">
        <v>210</v>
      </c>
      <c r="AJ18">
        <f t="shared" si="1"/>
        <v>214.51388888888889</v>
      </c>
      <c r="AK18">
        <f>AK10</f>
        <v>223.33333333333334</v>
      </c>
      <c r="AL18">
        <f t="shared" si="3"/>
        <v>-4.5138888888888857</v>
      </c>
      <c r="AM18">
        <f>100*(_xlfn.RANK.EQ(AL18,$AL$2:$AL$73,1)-0.5)/$P$6</f>
        <v>49.305555555555557</v>
      </c>
      <c r="AN18">
        <f t="shared" si="4"/>
        <v>-0.97832404884647162</v>
      </c>
    </row>
    <row r="19" spans="1:40" ht="17.5" thickBot="1" x14ac:dyDescent="0.45">
      <c r="A19">
        <v>6</v>
      </c>
      <c r="B19">
        <v>1</v>
      </c>
      <c r="C19">
        <v>-1</v>
      </c>
      <c r="D19">
        <v>1</v>
      </c>
      <c r="E19">
        <f t="shared" si="13"/>
        <v>-1</v>
      </c>
      <c r="F19">
        <f t="shared" si="14"/>
        <v>-1</v>
      </c>
      <c r="G19">
        <f t="shared" si="15"/>
        <v>1</v>
      </c>
      <c r="H19">
        <f t="shared" si="16"/>
        <v>-1</v>
      </c>
      <c r="I19">
        <f t="shared" si="17"/>
        <v>70</v>
      </c>
      <c r="J19">
        <v>6</v>
      </c>
      <c r="K19" t="s">
        <v>18</v>
      </c>
      <c r="L19">
        <f>L14</f>
        <v>-38.472222222222221</v>
      </c>
      <c r="M19">
        <f t="shared" si="20"/>
        <v>-2.838935937904508</v>
      </c>
      <c r="N19">
        <f t="shared" si="21"/>
        <v>6.0594192891584376E-3</v>
      </c>
      <c r="O19">
        <f t="shared" ref="O19:O24" si="24">_xlfn.T.INV(0.025,64)</f>
        <v>-1.9977296543176954</v>
      </c>
      <c r="P19">
        <f t="shared" ref="P19:P24" si="25">_xlfn.T.INV(0.975,64)</f>
        <v>1.9977296543176919</v>
      </c>
      <c r="Q19">
        <f t="shared" si="22"/>
        <v>-65.544724343409086</v>
      </c>
      <c r="R19">
        <f t="shared" si="23"/>
        <v>-11.399720101035353</v>
      </c>
      <c r="X19" s="28" t="s">
        <v>65</v>
      </c>
      <c r="Y19" s="29">
        <f>SUM(Y16:Y18)</f>
        <v>302891.3194444445</v>
      </c>
      <c r="Z19" s="29">
        <f>P6-1</f>
        <v>71</v>
      </c>
      <c r="AA19" s="29"/>
      <c r="AB19" s="29"/>
      <c r="AC19" s="30"/>
      <c r="AE19">
        <v>18</v>
      </c>
      <c r="AF19">
        <v>67</v>
      </c>
      <c r="AG19">
        <v>1</v>
      </c>
      <c r="AH19">
        <v>-1</v>
      </c>
      <c r="AI19">
        <v>200</v>
      </c>
      <c r="AJ19">
        <f t="shared" si="1"/>
        <v>160.76388888888889</v>
      </c>
      <c r="AK19">
        <f t="shared" ref="AK19:AK25" si="26">AK11</f>
        <v>149.44444444444446</v>
      </c>
      <c r="AL19">
        <f t="shared" si="3"/>
        <v>39.236111111111114</v>
      </c>
      <c r="AM19">
        <f>100*(_xlfn.RANK.EQ(AL19,$AL$2:$AL$73,1)-0.5)/$P$6</f>
        <v>75.694444444444443</v>
      </c>
      <c r="AN19">
        <f t="shared" si="4"/>
        <v>39.14345007191109</v>
      </c>
    </row>
    <row r="20" spans="1:40" x14ac:dyDescent="0.4">
      <c r="A20">
        <v>7</v>
      </c>
      <c r="B20">
        <v>-1</v>
      </c>
      <c r="C20">
        <v>1</v>
      </c>
      <c r="D20">
        <v>1</v>
      </c>
      <c r="E20">
        <f t="shared" si="13"/>
        <v>-1</v>
      </c>
      <c r="F20">
        <f t="shared" si="14"/>
        <v>1</v>
      </c>
      <c r="G20">
        <f t="shared" si="15"/>
        <v>-1</v>
      </c>
      <c r="H20">
        <f t="shared" si="16"/>
        <v>-1</v>
      </c>
      <c r="I20">
        <f t="shared" si="17"/>
        <v>95</v>
      </c>
      <c r="J20">
        <v>5</v>
      </c>
      <c r="K20" t="s">
        <v>19</v>
      </c>
      <c r="L20">
        <f>M14</f>
        <v>12.916666666666666</v>
      </c>
      <c r="M20">
        <f t="shared" si="20"/>
        <v>0.95314455676938348</v>
      </c>
      <c r="N20">
        <f t="shared" si="21"/>
        <v>0.34410294744434688</v>
      </c>
      <c r="O20">
        <f t="shared" si="24"/>
        <v>-1.9977296543176954</v>
      </c>
      <c r="P20">
        <f t="shared" si="25"/>
        <v>1.9977296543176919</v>
      </c>
      <c r="Q20">
        <f t="shared" si="22"/>
        <v>-14.155835454520203</v>
      </c>
      <c r="R20">
        <f t="shared" si="23"/>
        <v>39.989168787853536</v>
      </c>
      <c r="X20" s="12" t="s">
        <v>66</v>
      </c>
      <c r="Y20">
        <f>SUM(Y16:Y17)/Y19</f>
        <v>0.25964804482722648</v>
      </c>
      <c r="AE20">
        <v>19</v>
      </c>
      <c r="AF20">
        <v>50</v>
      </c>
      <c r="AG20">
        <v>-1</v>
      </c>
      <c r="AH20">
        <v>1</v>
      </c>
      <c r="AI20">
        <v>75</v>
      </c>
      <c r="AJ20">
        <f t="shared" si="1"/>
        <v>122.29166666666666</v>
      </c>
      <c r="AK20">
        <f t="shared" si="26"/>
        <v>123.33333333333333</v>
      </c>
      <c r="AL20">
        <f t="shared" si="3"/>
        <v>-47.291666666666657</v>
      </c>
      <c r="AM20">
        <f>100*(_xlfn.RANK.EQ(AL20,$AL$2:$AL$73,1)-0.5)/$P$6</f>
        <v>21.527777777777779</v>
      </c>
      <c r="AN20">
        <f t="shared" si="4"/>
        <v>-44.298860809795983</v>
      </c>
    </row>
    <row r="21" spans="1:40" x14ac:dyDescent="0.4">
      <c r="A21">
        <v>8</v>
      </c>
      <c r="B21">
        <v>1</v>
      </c>
      <c r="C21">
        <v>1</v>
      </c>
      <c r="D21">
        <v>1</v>
      </c>
      <c r="E21">
        <f t="shared" si="13"/>
        <v>1</v>
      </c>
      <c r="F21">
        <f t="shared" si="14"/>
        <v>1</v>
      </c>
      <c r="G21">
        <f t="shared" si="15"/>
        <v>1</v>
      </c>
      <c r="H21">
        <f t="shared" si="16"/>
        <v>1</v>
      </c>
      <c r="I21">
        <f t="shared" si="17"/>
        <v>150</v>
      </c>
      <c r="J21">
        <v>4</v>
      </c>
      <c r="K21" t="s">
        <v>33</v>
      </c>
      <c r="L21">
        <f>N14</f>
        <v>53.75</v>
      </c>
      <c r="M21">
        <f t="shared" si="20"/>
        <v>3.966311220104854</v>
      </c>
      <c r="N21">
        <f t="shared" si="21"/>
        <v>1.8687299396247248E-4</v>
      </c>
      <c r="O21">
        <f t="shared" si="24"/>
        <v>-1.9977296543176954</v>
      </c>
      <c r="P21">
        <f t="shared" si="25"/>
        <v>1.9977296543176919</v>
      </c>
      <c r="Q21">
        <f t="shared" si="22"/>
        <v>26.677497878813131</v>
      </c>
      <c r="R21">
        <f t="shared" si="23"/>
        <v>80.822502121186872</v>
      </c>
      <c r="X21" s="12" t="s">
        <v>67</v>
      </c>
      <c r="Y21">
        <f>1-(Y18/Z18)/(Y19/Z19)</f>
        <v>0.23818856786569687</v>
      </c>
      <c r="AE21">
        <v>20</v>
      </c>
      <c r="AF21">
        <v>64</v>
      </c>
      <c r="AG21">
        <v>1</v>
      </c>
      <c r="AH21">
        <v>1</v>
      </c>
      <c r="AI21">
        <v>295</v>
      </c>
      <c r="AJ21">
        <f t="shared" si="1"/>
        <v>176.04166666666666</v>
      </c>
      <c r="AK21">
        <f t="shared" si="26"/>
        <v>151.66666666666666</v>
      </c>
      <c r="AL21">
        <f t="shared" si="3"/>
        <v>118.95833333333334</v>
      </c>
      <c r="AM21">
        <f>100*(_xlfn.RANK.EQ(AL21,$AL$2:$AL$73,1)-0.5)/$P$6</f>
        <v>96.527777777777771</v>
      </c>
      <c r="AN21">
        <f t="shared" si="4"/>
        <v>102.03137820742735</v>
      </c>
    </row>
    <row r="22" spans="1:40" x14ac:dyDescent="0.4">
      <c r="A22">
        <v>1</v>
      </c>
      <c r="B22">
        <v>-1</v>
      </c>
      <c r="C22">
        <v>-1</v>
      </c>
      <c r="D22">
        <v>-1</v>
      </c>
      <c r="E22">
        <f t="shared" si="13"/>
        <v>1</v>
      </c>
      <c r="F22">
        <f t="shared" si="14"/>
        <v>1</v>
      </c>
      <c r="G22">
        <f t="shared" si="15"/>
        <v>1</v>
      </c>
      <c r="H22">
        <f t="shared" si="16"/>
        <v>-1</v>
      </c>
      <c r="I22">
        <f>F3</f>
        <v>275</v>
      </c>
      <c r="J22">
        <v>3</v>
      </c>
      <c r="K22" t="s">
        <v>21</v>
      </c>
      <c r="L22">
        <f>O14</f>
        <v>10.416666666666666</v>
      </c>
      <c r="M22">
        <f t="shared" si="20"/>
        <v>0.76866496513659965</v>
      </c>
      <c r="N22">
        <f t="shared" si="21"/>
        <v>0.44491952177532523</v>
      </c>
      <c r="O22">
        <f t="shared" si="24"/>
        <v>-1.9977296543176954</v>
      </c>
      <c r="P22">
        <f t="shared" si="25"/>
        <v>1.9977296543176919</v>
      </c>
      <c r="Q22">
        <f t="shared" si="22"/>
        <v>-16.655835454520201</v>
      </c>
      <c r="R22">
        <f t="shared" si="23"/>
        <v>37.489168787853536</v>
      </c>
      <c r="AE22">
        <v>21</v>
      </c>
      <c r="AF22">
        <v>63</v>
      </c>
      <c r="AG22">
        <v>-1</v>
      </c>
      <c r="AH22">
        <v>-1</v>
      </c>
      <c r="AI22">
        <v>335</v>
      </c>
      <c r="AJ22">
        <f t="shared" si="1"/>
        <v>214.51388888888889</v>
      </c>
      <c r="AK22">
        <f t="shared" si="26"/>
        <v>226.11111111111111</v>
      </c>
      <c r="AL22">
        <f t="shared" si="3"/>
        <v>120.48611111111111</v>
      </c>
      <c r="AM22">
        <f>100*(_xlfn.RANK.EQ(AL22,$AL$2:$AL$73,1)-0.5)/$P$6</f>
        <v>97.916666666666671</v>
      </c>
      <c r="AN22">
        <f t="shared" si="4"/>
        <v>114.46929733823744</v>
      </c>
    </row>
    <row r="23" spans="1:40" x14ac:dyDescent="0.4">
      <c r="A23">
        <v>2</v>
      </c>
      <c r="B23">
        <v>1</v>
      </c>
      <c r="C23">
        <v>-1</v>
      </c>
      <c r="D23">
        <v>-1</v>
      </c>
      <c r="E23">
        <f t="shared" si="13"/>
        <v>-1</v>
      </c>
      <c r="F23">
        <f t="shared" si="14"/>
        <v>1</v>
      </c>
      <c r="G23">
        <f t="shared" si="15"/>
        <v>-1</v>
      </c>
      <c r="H23">
        <f t="shared" si="16"/>
        <v>1</v>
      </c>
      <c r="I23">
        <f t="shared" ref="I23:I29" si="27">F4</f>
        <v>240</v>
      </c>
      <c r="J23">
        <v>2</v>
      </c>
      <c r="K23" t="s">
        <v>20</v>
      </c>
      <c r="L23">
        <f>P14</f>
        <v>2.3611111111111112</v>
      </c>
      <c r="M23">
        <f t="shared" si="20"/>
        <v>0.1742307254309626</v>
      </c>
      <c r="N23">
        <f t="shared" si="21"/>
        <v>0.86223410670395051</v>
      </c>
      <c r="O23">
        <f t="shared" si="24"/>
        <v>-1.9977296543176954</v>
      </c>
      <c r="P23">
        <f t="shared" si="25"/>
        <v>1.9977296543176919</v>
      </c>
      <c r="Q23">
        <f t="shared" si="22"/>
        <v>-24.711391010075758</v>
      </c>
      <c r="R23">
        <f t="shared" si="23"/>
        <v>29.433613232297979</v>
      </c>
      <c r="AE23">
        <v>22</v>
      </c>
      <c r="AF23">
        <v>62</v>
      </c>
      <c r="AG23">
        <v>1</v>
      </c>
      <c r="AH23">
        <v>-1</v>
      </c>
      <c r="AI23">
        <v>120</v>
      </c>
      <c r="AJ23">
        <f t="shared" si="1"/>
        <v>160.76388888888889</v>
      </c>
      <c r="AK23">
        <f t="shared" si="26"/>
        <v>151.66666666666666</v>
      </c>
      <c r="AL23">
        <f t="shared" si="3"/>
        <v>-40.763888888888886</v>
      </c>
      <c r="AM23">
        <f>100*(_xlfn.RANK.EQ(AL23,$AL$2:$AL$73,1)-0.5)/$P$6</f>
        <v>27.083333333333332</v>
      </c>
      <c r="AN23">
        <f t="shared" si="4"/>
        <v>-34.298323123144158</v>
      </c>
    </row>
    <row r="24" spans="1:40" x14ac:dyDescent="0.4">
      <c r="A24">
        <v>3</v>
      </c>
      <c r="B24">
        <v>-1</v>
      </c>
      <c r="C24">
        <v>1</v>
      </c>
      <c r="D24">
        <v>-1</v>
      </c>
      <c r="E24">
        <f t="shared" si="13"/>
        <v>-1</v>
      </c>
      <c r="F24">
        <f t="shared" si="14"/>
        <v>-1</v>
      </c>
      <c r="G24">
        <f t="shared" si="15"/>
        <v>1</v>
      </c>
      <c r="H24">
        <f t="shared" si="16"/>
        <v>1</v>
      </c>
      <c r="I24">
        <f t="shared" si="27"/>
        <v>85</v>
      </c>
      <c r="J24">
        <v>1</v>
      </c>
      <c r="K24" t="s">
        <v>22</v>
      </c>
      <c r="L24">
        <f>Q14</f>
        <v>2.6388888888888888</v>
      </c>
      <c r="M24">
        <f t="shared" si="20"/>
        <v>0.19472845783460524</v>
      </c>
      <c r="N24">
        <f t="shared" si="21"/>
        <v>0.84622236936459205</v>
      </c>
      <c r="O24">
        <f t="shared" si="24"/>
        <v>-1.9977296543176954</v>
      </c>
      <c r="P24">
        <f t="shared" si="25"/>
        <v>1.9977296543176919</v>
      </c>
      <c r="Q24">
        <f t="shared" si="22"/>
        <v>-24.433613232297979</v>
      </c>
      <c r="R24">
        <f t="shared" si="23"/>
        <v>29.711391010075758</v>
      </c>
      <c r="AE24">
        <v>23</v>
      </c>
      <c r="AF24">
        <v>59</v>
      </c>
      <c r="AG24">
        <v>-1</v>
      </c>
      <c r="AH24">
        <v>1</v>
      </c>
      <c r="AI24">
        <v>140</v>
      </c>
      <c r="AJ24">
        <f t="shared" si="1"/>
        <v>122.29166666666666</v>
      </c>
      <c r="AK24">
        <f t="shared" si="26"/>
        <v>141.66666666666666</v>
      </c>
      <c r="AL24">
        <f t="shared" si="3"/>
        <v>17.708333333333343</v>
      </c>
      <c r="AM24">
        <f>100*(_xlfn.RANK.EQ(AL24,$AL$2:$AL$73,1)-0.5)/$P$6</f>
        <v>65.972222222222229</v>
      </c>
      <c r="AN24">
        <f t="shared" si="4"/>
        <v>23.137671151497734</v>
      </c>
    </row>
    <row r="25" spans="1:40" x14ac:dyDescent="0.4">
      <c r="A25">
        <v>4</v>
      </c>
      <c r="B25">
        <v>1</v>
      </c>
      <c r="C25">
        <v>1</v>
      </c>
      <c r="D25">
        <v>-1</v>
      </c>
      <c r="E25">
        <f t="shared" si="13"/>
        <v>1</v>
      </c>
      <c r="F25">
        <f t="shared" si="14"/>
        <v>-1</v>
      </c>
      <c r="G25">
        <f t="shared" si="15"/>
        <v>-1</v>
      </c>
      <c r="H25">
        <f t="shared" si="16"/>
        <v>-1</v>
      </c>
      <c r="I25">
        <f t="shared" si="27"/>
        <v>220</v>
      </c>
      <c r="AE25">
        <v>24</v>
      </c>
      <c r="AF25">
        <v>54</v>
      </c>
      <c r="AG25">
        <v>1</v>
      </c>
      <c r="AH25">
        <v>1</v>
      </c>
      <c r="AI25">
        <v>160</v>
      </c>
      <c r="AJ25">
        <f t="shared" si="1"/>
        <v>176.04166666666666</v>
      </c>
      <c r="AK25">
        <f t="shared" si="26"/>
        <v>180</v>
      </c>
      <c r="AL25">
        <f t="shared" si="3"/>
        <v>-16.041666666666657</v>
      </c>
      <c r="AM25">
        <f>100*(_xlfn.RANK.EQ(AL25,$AL$2:$AL$73,1)-0.5)/$P$6</f>
        <v>43.75</v>
      </c>
      <c r="AN25">
        <f t="shared" si="4"/>
        <v>-8.8408001667183704</v>
      </c>
    </row>
    <row r="26" spans="1:40" x14ac:dyDescent="0.4">
      <c r="A26">
        <v>5</v>
      </c>
      <c r="B26">
        <v>-1</v>
      </c>
      <c r="C26">
        <v>-1</v>
      </c>
      <c r="D26">
        <v>1</v>
      </c>
      <c r="E26">
        <f t="shared" si="13"/>
        <v>1</v>
      </c>
      <c r="F26">
        <f t="shared" si="14"/>
        <v>-1</v>
      </c>
      <c r="G26">
        <f t="shared" si="15"/>
        <v>-1</v>
      </c>
      <c r="H26">
        <f t="shared" si="16"/>
        <v>1</v>
      </c>
      <c r="I26">
        <f t="shared" si="27"/>
        <v>225</v>
      </c>
      <c r="AE26">
        <v>25</v>
      </c>
      <c r="AF26">
        <v>22</v>
      </c>
      <c r="AG26">
        <v>-1</v>
      </c>
      <c r="AH26">
        <v>-1</v>
      </c>
      <c r="AI26">
        <v>170</v>
      </c>
      <c r="AJ26">
        <f t="shared" si="1"/>
        <v>214.51388888888889</v>
      </c>
      <c r="AK26">
        <f>AK18</f>
        <v>223.33333333333334</v>
      </c>
      <c r="AL26">
        <f t="shared" si="3"/>
        <v>-44.513888888888886</v>
      </c>
      <c r="AM26">
        <f>100*(_xlfn.RANK.EQ(AL26,$AL$2:$AL$73,1)-0.5)/$P$6</f>
        <v>25.694444444444443</v>
      </c>
      <c r="AN26">
        <f t="shared" si="4"/>
        <v>-36.686790262191934</v>
      </c>
    </row>
    <row r="27" spans="1:40" x14ac:dyDescent="0.4">
      <c r="A27">
        <v>6</v>
      </c>
      <c r="B27">
        <v>1</v>
      </c>
      <c r="C27">
        <v>-1</v>
      </c>
      <c r="D27">
        <v>1</v>
      </c>
      <c r="E27">
        <f t="shared" si="13"/>
        <v>-1</v>
      </c>
      <c r="F27">
        <f t="shared" si="14"/>
        <v>-1</v>
      </c>
      <c r="G27">
        <f t="shared" si="15"/>
        <v>1</v>
      </c>
      <c r="H27">
        <f t="shared" si="16"/>
        <v>-1</v>
      </c>
      <c r="I27">
        <f t="shared" si="27"/>
        <v>140</v>
      </c>
      <c r="AE27">
        <v>26</v>
      </c>
      <c r="AF27">
        <v>5</v>
      </c>
      <c r="AG27">
        <v>1</v>
      </c>
      <c r="AH27">
        <v>-1</v>
      </c>
      <c r="AI27">
        <v>100</v>
      </c>
      <c r="AJ27">
        <f t="shared" si="1"/>
        <v>160.76388888888889</v>
      </c>
      <c r="AK27">
        <f t="shared" ref="AK27:AK73" si="28">AK19</f>
        <v>149.44444444444446</v>
      </c>
      <c r="AL27">
        <f t="shared" si="3"/>
        <v>-60.763888888888886</v>
      </c>
      <c r="AM27">
        <f>100*(_xlfn.RANK.EQ(AL27,$AL$2:$AL$73,1)-0.5)/$P$6</f>
        <v>14.583333333333334</v>
      </c>
      <c r="AN27">
        <f t="shared" si="4"/>
        <v>-59.26094753519299</v>
      </c>
    </row>
    <row r="28" spans="1:40" x14ac:dyDescent="0.4">
      <c r="A28">
        <v>7</v>
      </c>
      <c r="B28">
        <v>-1</v>
      </c>
      <c r="C28">
        <v>1</v>
      </c>
      <c r="D28">
        <v>1</v>
      </c>
      <c r="E28">
        <f t="shared" si="13"/>
        <v>-1</v>
      </c>
      <c r="F28">
        <f t="shared" si="14"/>
        <v>1</v>
      </c>
      <c r="G28">
        <f t="shared" si="15"/>
        <v>-1</v>
      </c>
      <c r="H28">
        <f t="shared" si="16"/>
        <v>-1</v>
      </c>
      <c r="I28">
        <f t="shared" si="27"/>
        <v>245</v>
      </c>
      <c r="K28" s="35" t="s">
        <v>99</v>
      </c>
      <c r="L28" s="35"/>
      <c r="M28" s="35"/>
      <c r="AE28">
        <v>27</v>
      </c>
      <c r="AF28">
        <v>21</v>
      </c>
      <c r="AG28">
        <v>-1</v>
      </c>
      <c r="AH28">
        <v>1</v>
      </c>
      <c r="AI28">
        <v>150</v>
      </c>
      <c r="AJ28">
        <f t="shared" si="1"/>
        <v>122.29166666666666</v>
      </c>
      <c r="AK28">
        <f t="shared" si="28"/>
        <v>123.33333333333333</v>
      </c>
      <c r="AL28">
        <f t="shared" si="3"/>
        <v>27.708333333333343</v>
      </c>
      <c r="AM28">
        <f>100*(_xlfn.RANK.EQ(AL28,$AL$2:$AL$73,1)-0.5)/$P$6</f>
        <v>68.75</v>
      </c>
      <c r="AN28">
        <f t="shared" si="4"/>
        <v>27.469046921884669</v>
      </c>
    </row>
    <row r="29" spans="1:40" x14ac:dyDescent="0.4">
      <c r="A29">
        <v>8</v>
      </c>
      <c r="B29">
        <v>1</v>
      </c>
      <c r="C29">
        <v>1</v>
      </c>
      <c r="D29">
        <v>1</v>
      </c>
      <c r="E29">
        <f t="shared" si="13"/>
        <v>1</v>
      </c>
      <c r="F29">
        <f t="shared" si="14"/>
        <v>1</v>
      </c>
      <c r="G29">
        <f t="shared" si="15"/>
        <v>1</v>
      </c>
      <c r="H29">
        <f t="shared" si="16"/>
        <v>1</v>
      </c>
      <c r="I29">
        <f t="shared" si="27"/>
        <v>110</v>
      </c>
      <c r="K29" t="s">
        <v>100</v>
      </c>
      <c r="L29" t="s">
        <v>101</v>
      </c>
      <c r="AE29">
        <v>28</v>
      </c>
      <c r="AF29">
        <v>8</v>
      </c>
      <c r="AG29">
        <v>1</v>
      </c>
      <c r="AH29">
        <v>1</v>
      </c>
      <c r="AI29">
        <v>130</v>
      </c>
      <c r="AJ29">
        <f t="shared" si="1"/>
        <v>176.04166666666666</v>
      </c>
      <c r="AK29">
        <f t="shared" si="28"/>
        <v>151.66666666666666</v>
      </c>
      <c r="AL29">
        <f t="shared" si="3"/>
        <v>-46.041666666666657</v>
      </c>
      <c r="AM29">
        <f>100*(_xlfn.RANK.EQ(AL29,$AL$2:$AL$73,1)-0.5)/$P$6</f>
        <v>22.916666666666668</v>
      </c>
      <c r="AN29">
        <f t="shared" si="4"/>
        <v>-41.677300959278618</v>
      </c>
    </row>
    <row r="30" spans="1:40" x14ac:dyDescent="0.4">
      <c r="A30">
        <v>1</v>
      </c>
      <c r="B30">
        <v>-1</v>
      </c>
      <c r="C30">
        <v>-1</v>
      </c>
      <c r="D30">
        <v>-1</v>
      </c>
      <c r="E30">
        <f t="shared" si="13"/>
        <v>1</v>
      </c>
      <c r="F30">
        <f t="shared" si="14"/>
        <v>1</v>
      </c>
      <c r="G30">
        <f t="shared" si="15"/>
        <v>1</v>
      </c>
      <c r="H30">
        <f t="shared" si="16"/>
        <v>-1</v>
      </c>
      <c r="I30">
        <f>G3</f>
        <v>210</v>
      </c>
      <c r="K30">
        <f>($P$4-1)*LN(O3)</f>
        <v>63.916483594670922</v>
      </c>
      <c r="L30">
        <f>1/($P$4-1)</f>
        <v>0.125</v>
      </c>
      <c r="AE30">
        <v>29</v>
      </c>
      <c r="AF30">
        <v>19</v>
      </c>
      <c r="AG30">
        <v>-1</v>
      </c>
      <c r="AH30">
        <v>-1</v>
      </c>
      <c r="AI30">
        <v>295</v>
      </c>
      <c r="AJ30">
        <f t="shared" si="1"/>
        <v>214.51388888888889</v>
      </c>
      <c r="AK30">
        <f t="shared" si="28"/>
        <v>226.11111111111111</v>
      </c>
      <c r="AL30">
        <f t="shared" si="3"/>
        <v>80.486111111111114</v>
      </c>
      <c r="AM30">
        <f>100*(_xlfn.RANK.EQ(AL30,$AL$2:$AL$73,1)-0.5)/$P$6</f>
        <v>89.583333333333329</v>
      </c>
      <c r="AN30">
        <f t="shared" si="4"/>
        <v>70.708197388940263</v>
      </c>
    </row>
    <row r="31" spans="1:40" x14ac:dyDescent="0.4">
      <c r="A31">
        <v>2</v>
      </c>
      <c r="B31">
        <v>1</v>
      </c>
      <c r="C31">
        <v>-1</v>
      </c>
      <c r="D31">
        <v>-1</v>
      </c>
      <c r="E31">
        <f t="shared" si="13"/>
        <v>-1</v>
      </c>
      <c r="F31">
        <f t="shared" si="14"/>
        <v>1</v>
      </c>
      <c r="G31">
        <f t="shared" si="15"/>
        <v>-1</v>
      </c>
      <c r="H31">
        <f t="shared" si="16"/>
        <v>1</v>
      </c>
      <c r="I31">
        <f t="shared" ref="I31:I37" si="29">G4</f>
        <v>200</v>
      </c>
      <c r="K31">
        <f t="shared" ref="K31:K37" si="30">($P$4-1)*LN(O4)</f>
        <v>64.400594289912732</v>
      </c>
      <c r="L31">
        <f t="shared" ref="L31:L37" si="31">1/($P$4-1)</f>
        <v>0.125</v>
      </c>
      <c r="AE31">
        <v>30</v>
      </c>
      <c r="AF31">
        <v>20</v>
      </c>
      <c r="AG31">
        <v>1</v>
      </c>
      <c r="AH31">
        <v>-1</v>
      </c>
      <c r="AI31">
        <v>170</v>
      </c>
      <c r="AJ31">
        <f t="shared" si="1"/>
        <v>160.76388888888889</v>
      </c>
      <c r="AK31">
        <f t="shared" si="28"/>
        <v>151.66666666666666</v>
      </c>
      <c r="AL31">
        <f t="shared" si="3"/>
        <v>9.2361111111111143</v>
      </c>
      <c r="AM31">
        <f>100*(_xlfn.RANK.EQ(AL31,$AL$2:$AL$73,1)-0.5)/$P$6</f>
        <v>57.638888888888886</v>
      </c>
      <c r="AN31">
        <f t="shared" si="4"/>
        <v>10.827635532185889</v>
      </c>
    </row>
    <row r="32" spans="1:40" x14ac:dyDescent="0.4">
      <c r="A32">
        <v>3</v>
      </c>
      <c r="B32">
        <v>-1</v>
      </c>
      <c r="C32">
        <v>1</v>
      </c>
      <c r="D32">
        <v>-1</v>
      </c>
      <c r="E32">
        <f t="shared" si="13"/>
        <v>-1</v>
      </c>
      <c r="F32">
        <f t="shared" si="14"/>
        <v>-1</v>
      </c>
      <c r="G32">
        <f t="shared" si="15"/>
        <v>1</v>
      </c>
      <c r="H32">
        <f t="shared" si="16"/>
        <v>1</v>
      </c>
      <c r="I32">
        <f t="shared" si="29"/>
        <v>75</v>
      </c>
      <c r="K32">
        <f t="shared" si="30"/>
        <v>56.720614686208734</v>
      </c>
      <c r="L32">
        <f t="shared" si="31"/>
        <v>0.125</v>
      </c>
      <c r="AE32">
        <v>31</v>
      </c>
      <c r="AF32">
        <v>7</v>
      </c>
      <c r="AG32">
        <v>-1</v>
      </c>
      <c r="AH32">
        <v>1</v>
      </c>
      <c r="AI32">
        <v>135</v>
      </c>
      <c r="AJ32">
        <f t="shared" si="1"/>
        <v>122.29166666666666</v>
      </c>
      <c r="AK32">
        <f t="shared" si="28"/>
        <v>141.66666666666666</v>
      </c>
      <c r="AL32">
        <f t="shared" si="3"/>
        <v>12.708333333333343</v>
      </c>
      <c r="AM32">
        <f>100*(_xlfn.RANK.EQ(AL32,$AL$2:$AL$73,1)-0.5)/$P$6</f>
        <v>61.805555555555557</v>
      </c>
      <c r="AN32">
        <f t="shared" si="4"/>
        <v>16.881125046762115</v>
      </c>
    </row>
    <row r="33" spans="1:40" x14ac:dyDescent="0.4">
      <c r="A33">
        <v>4</v>
      </c>
      <c r="B33">
        <v>1</v>
      </c>
      <c r="C33">
        <v>1</v>
      </c>
      <c r="D33">
        <v>-1</v>
      </c>
      <c r="E33">
        <f t="shared" si="13"/>
        <v>1</v>
      </c>
      <c r="F33">
        <f t="shared" si="14"/>
        <v>-1</v>
      </c>
      <c r="G33">
        <f t="shared" si="15"/>
        <v>-1</v>
      </c>
      <c r="H33">
        <f t="shared" si="16"/>
        <v>-1</v>
      </c>
      <c r="I33">
        <f t="shared" si="29"/>
        <v>295</v>
      </c>
      <c r="K33">
        <f t="shared" si="30"/>
        <v>66.942581878095751</v>
      </c>
      <c r="L33">
        <f t="shared" si="31"/>
        <v>0.125</v>
      </c>
      <c r="AE33">
        <v>32</v>
      </c>
      <c r="AF33">
        <v>2</v>
      </c>
      <c r="AG33">
        <v>1</v>
      </c>
      <c r="AH33">
        <v>1</v>
      </c>
      <c r="AI33">
        <v>190</v>
      </c>
      <c r="AJ33">
        <f t="shared" si="1"/>
        <v>176.04166666666666</v>
      </c>
      <c r="AK33">
        <f t="shared" si="28"/>
        <v>180</v>
      </c>
      <c r="AL33">
        <f t="shared" si="3"/>
        <v>13.958333333333343</v>
      </c>
      <c r="AM33">
        <f>100*(_xlfn.RANK.EQ(AL33,$AL$2:$AL$73,1)-0.5)/$P$6</f>
        <v>64.583333333333329</v>
      </c>
      <c r="AN33">
        <f t="shared" si="4"/>
        <v>21.024018635735974</v>
      </c>
    </row>
    <row r="34" spans="1:40" x14ac:dyDescent="0.4">
      <c r="A34">
        <v>5</v>
      </c>
      <c r="B34">
        <v>-1</v>
      </c>
      <c r="C34">
        <v>-1</v>
      </c>
      <c r="D34">
        <v>1</v>
      </c>
      <c r="E34">
        <f t="shared" si="13"/>
        <v>1</v>
      </c>
      <c r="F34">
        <f t="shared" si="14"/>
        <v>-1</v>
      </c>
      <c r="G34">
        <f t="shared" si="15"/>
        <v>-1</v>
      </c>
      <c r="H34">
        <f t="shared" si="16"/>
        <v>1</v>
      </c>
      <c r="I34">
        <f t="shared" si="29"/>
        <v>335</v>
      </c>
      <c r="K34">
        <f t="shared" si="30"/>
        <v>68.449174199011722</v>
      </c>
      <c r="L34">
        <f t="shared" si="31"/>
        <v>0.125</v>
      </c>
      <c r="AE34">
        <v>33</v>
      </c>
      <c r="AF34">
        <v>48</v>
      </c>
      <c r="AG34">
        <v>-1</v>
      </c>
      <c r="AH34">
        <v>-1</v>
      </c>
      <c r="AI34">
        <v>145</v>
      </c>
      <c r="AJ34">
        <f t="shared" si="1"/>
        <v>214.51388888888889</v>
      </c>
      <c r="AK34">
        <f t="shared" si="28"/>
        <v>223.33333333333334</v>
      </c>
      <c r="AL34">
        <f t="shared" si="3"/>
        <v>-69.513888888888886</v>
      </c>
      <c r="AM34">
        <f>100*(_xlfn.RANK.EQ(AL34,$AL$2:$AL$73,1)-0.5)/$P$6</f>
        <v>9.0277777777777786</v>
      </c>
      <c r="AN34">
        <f t="shared" si="4"/>
        <v>-75.253896484716591</v>
      </c>
    </row>
    <row r="35" spans="1:40" x14ac:dyDescent="0.4">
      <c r="A35">
        <v>6</v>
      </c>
      <c r="B35">
        <v>1</v>
      </c>
      <c r="C35">
        <v>-1</v>
      </c>
      <c r="D35">
        <v>1</v>
      </c>
      <c r="E35">
        <f t="shared" si="13"/>
        <v>-1</v>
      </c>
      <c r="F35">
        <f t="shared" si="14"/>
        <v>-1</v>
      </c>
      <c r="G35">
        <f t="shared" si="15"/>
        <v>1</v>
      </c>
      <c r="H35">
        <f t="shared" si="16"/>
        <v>-1</v>
      </c>
      <c r="I35">
        <f t="shared" si="29"/>
        <v>120</v>
      </c>
      <c r="K35">
        <f t="shared" si="30"/>
        <v>64.598437833627798</v>
      </c>
      <c r="L35">
        <f t="shared" si="31"/>
        <v>0.125</v>
      </c>
      <c r="AE35">
        <v>34</v>
      </c>
      <c r="AF35">
        <v>32</v>
      </c>
      <c r="AG35">
        <v>1</v>
      </c>
      <c r="AH35">
        <v>-1</v>
      </c>
      <c r="AI35">
        <v>70</v>
      </c>
      <c r="AJ35">
        <f t="shared" si="1"/>
        <v>160.76388888888889</v>
      </c>
      <c r="AK35">
        <f t="shared" si="28"/>
        <v>149.44444444444446</v>
      </c>
      <c r="AL35">
        <f t="shared" si="3"/>
        <v>-90.763888888888886</v>
      </c>
      <c r="AM35">
        <f>100*(_xlfn.RANK.EQ(AL35,$AL$2:$AL$73,1)-0.5)/$P$6</f>
        <v>2.0833333333333335</v>
      </c>
      <c r="AN35">
        <f t="shared" si="4"/>
        <v>-114.46929733823737</v>
      </c>
    </row>
    <row r="36" spans="1:40" x14ac:dyDescent="0.4">
      <c r="A36">
        <v>7</v>
      </c>
      <c r="B36">
        <v>-1</v>
      </c>
      <c r="C36">
        <v>1</v>
      </c>
      <c r="D36">
        <v>1</v>
      </c>
      <c r="E36">
        <f t="shared" si="13"/>
        <v>-1</v>
      </c>
      <c r="F36">
        <f t="shared" si="14"/>
        <v>1</v>
      </c>
      <c r="G36">
        <f t="shared" si="15"/>
        <v>-1</v>
      </c>
      <c r="H36">
        <f t="shared" si="16"/>
        <v>-1</v>
      </c>
      <c r="I36">
        <f t="shared" si="29"/>
        <v>140</v>
      </c>
      <c r="K36">
        <f t="shared" si="30"/>
        <v>64.56724871030255</v>
      </c>
      <c r="L36">
        <f t="shared" si="31"/>
        <v>0.125</v>
      </c>
      <c r="AE36">
        <v>35</v>
      </c>
      <c r="AF36">
        <v>29</v>
      </c>
      <c r="AG36">
        <v>-1</v>
      </c>
      <c r="AH36">
        <v>1</v>
      </c>
      <c r="AI36">
        <v>130</v>
      </c>
      <c r="AJ36">
        <f t="shared" si="1"/>
        <v>122.29166666666666</v>
      </c>
      <c r="AK36">
        <f t="shared" si="28"/>
        <v>123.33333333333333</v>
      </c>
      <c r="AL36">
        <f t="shared" si="3"/>
        <v>7.7083333333333428</v>
      </c>
      <c r="AM36">
        <f>100*(_xlfn.RANK.EQ(AL36,$AL$2:$AL$73,1)-0.5)/$P$6</f>
        <v>54.861111111111114</v>
      </c>
      <c r="AN36">
        <f t="shared" si="4"/>
        <v>6.8649567663570377</v>
      </c>
    </row>
    <row r="37" spans="1:40" x14ac:dyDescent="0.4">
      <c r="A37">
        <v>8</v>
      </c>
      <c r="B37">
        <v>1</v>
      </c>
      <c r="C37">
        <v>1</v>
      </c>
      <c r="D37">
        <v>1</v>
      </c>
      <c r="E37">
        <f t="shared" si="13"/>
        <v>1</v>
      </c>
      <c r="F37">
        <f t="shared" si="14"/>
        <v>1</v>
      </c>
      <c r="G37">
        <f t="shared" si="15"/>
        <v>1</v>
      </c>
      <c r="H37">
        <f t="shared" si="16"/>
        <v>1</v>
      </c>
      <c r="I37">
        <f t="shared" si="29"/>
        <v>160</v>
      </c>
      <c r="K37">
        <f t="shared" si="30"/>
        <v>64.675882775313596</v>
      </c>
      <c r="L37">
        <f t="shared" si="31"/>
        <v>0.125</v>
      </c>
      <c r="AE37">
        <v>36</v>
      </c>
      <c r="AF37">
        <v>25</v>
      </c>
      <c r="AG37">
        <v>1</v>
      </c>
      <c r="AH37">
        <v>1</v>
      </c>
      <c r="AI37">
        <v>130</v>
      </c>
      <c r="AJ37">
        <f t="shared" si="1"/>
        <v>176.04166666666666</v>
      </c>
      <c r="AK37">
        <f t="shared" si="28"/>
        <v>151.66666666666666</v>
      </c>
      <c r="AL37">
        <f t="shared" si="3"/>
        <v>-46.041666666666657</v>
      </c>
      <c r="AM37">
        <f>100*(_xlfn.RANK.EQ(AL37,$AL$2:$AL$73,1)-0.5)/$P$6</f>
        <v>22.916666666666668</v>
      </c>
      <c r="AN37">
        <f t="shared" si="4"/>
        <v>-41.677300959278618</v>
      </c>
    </row>
    <row r="38" spans="1:40" x14ac:dyDescent="0.4">
      <c r="A38">
        <v>1</v>
      </c>
      <c r="B38">
        <v>-1</v>
      </c>
      <c r="C38">
        <v>-1</v>
      </c>
      <c r="D38">
        <v>-1</v>
      </c>
      <c r="E38">
        <f t="shared" si="13"/>
        <v>1</v>
      </c>
      <c r="F38">
        <f t="shared" si="14"/>
        <v>1</v>
      </c>
      <c r="G38">
        <f t="shared" si="15"/>
        <v>1</v>
      </c>
      <c r="H38">
        <f t="shared" si="16"/>
        <v>-1</v>
      </c>
      <c r="I38">
        <f>H3</f>
        <v>170</v>
      </c>
      <c r="K38" t="s">
        <v>102</v>
      </c>
      <c r="L38" t="s">
        <v>103</v>
      </c>
      <c r="AE38">
        <v>37</v>
      </c>
      <c r="AF38">
        <v>44</v>
      </c>
      <c r="AG38">
        <v>-1</v>
      </c>
      <c r="AH38">
        <v>-1</v>
      </c>
      <c r="AI38">
        <v>280</v>
      </c>
      <c r="AJ38">
        <f t="shared" si="1"/>
        <v>214.51388888888889</v>
      </c>
      <c r="AK38">
        <f t="shared" si="28"/>
        <v>226.11111111111111</v>
      </c>
      <c r="AL38">
        <f t="shared" si="3"/>
        <v>65.486111111111114</v>
      </c>
      <c r="AM38">
        <f>100*(_xlfn.RANK.EQ(AL38,$AL$2:$AL$73,1)-0.5)/$P$6</f>
        <v>85.416666666666671</v>
      </c>
      <c r="AN38">
        <f t="shared" si="4"/>
        <v>59.260947535193026</v>
      </c>
    </row>
    <row r="39" spans="1:40" x14ac:dyDescent="0.4">
      <c r="A39">
        <v>2</v>
      </c>
      <c r="B39">
        <v>1</v>
      </c>
      <c r="C39">
        <v>-1</v>
      </c>
      <c r="D39">
        <v>-1</v>
      </c>
      <c r="E39">
        <f t="shared" si="13"/>
        <v>-1</v>
      </c>
      <c r="F39">
        <f t="shared" si="14"/>
        <v>1</v>
      </c>
      <c r="G39">
        <f t="shared" si="15"/>
        <v>-1</v>
      </c>
      <c r="H39">
        <f t="shared" si="16"/>
        <v>1</v>
      </c>
      <c r="I39">
        <f t="shared" ref="I39:I45" si="32">H4</f>
        <v>100</v>
      </c>
      <c r="K39">
        <f>(P6-P2)*LN(Q2)-SUM(K30:K37)</f>
        <v>4.3456920358614752</v>
      </c>
      <c r="L39">
        <f>1+1/(3*(P2-1))*(SUM(L30:L37)-1/(P6-P2))</f>
        <v>1.046875</v>
      </c>
      <c r="AE39">
        <v>38</v>
      </c>
      <c r="AF39">
        <v>37</v>
      </c>
      <c r="AG39">
        <v>1</v>
      </c>
      <c r="AH39">
        <v>-1</v>
      </c>
      <c r="AI39">
        <v>255</v>
      </c>
      <c r="AJ39">
        <f t="shared" si="1"/>
        <v>160.76388888888889</v>
      </c>
      <c r="AK39">
        <f t="shared" si="28"/>
        <v>151.66666666666666</v>
      </c>
      <c r="AL39">
        <f t="shared" si="3"/>
        <v>94.236111111111114</v>
      </c>
      <c r="AM39">
        <f>100*(_xlfn.RANK.EQ(AL39,$AL$2:$AL$73,1)-0.5)/$P$6</f>
        <v>93.75</v>
      </c>
      <c r="AN39">
        <f t="shared" si="4"/>
        <v>86.216986455103068</v>
      </c>
    </row>
    <row r="40" spans="1:40" x14ac:dyDescent="0.4">
      <c r="A40">
        <v>3</v>
      </c>
      <c r="B40">
        <v>-1</v>
      </c>
      <c r="C40">
        <v>1</v>
      </c>
      <c r="D40">
        <v>-1</v>
      </c>
      <c r="E40">
        <f t="shared" si="13"/>
        <v>-1</v>
      </c>
      <c r="F40">
        <f t="shared" si="14"/>
        <v>-1</v>
      </c>
      <c r="G40">
        <f t="shared" si="15"/>
        <v>1</v>
      </c>
      <c r="H40">
        <f t="shared" si="16"/>
        <v>1</v>
      </c>
      <c r="I40">
        <f t="shared" si="32"/>
        <v>150</v>
      </c>
      <c r="K40" t="s">
        <v>104</v>
      </c>
      <c r="L40" t="s">
        <v>105</v>
      </c>
      <c r="M40" t="s">
        <v>106</v>
      </c>
      <c r="AE40">
        <v>39</v>
      </c>
      <c r="AF40">
        <v>41</v>
      </c>
      <c r="AG40">
        <v>-1</v>
      </c>
      <c r="AH40">
        <v>1</v>
      </c>
      <c r="AI40">
        <v>155</v>
      </c>
      <c r="AJ40">
        <f t="shared" si="1"/>
        <v>122.29166666666666</v>
      </c>
      <c r="AK40">
        <f t="shared" si="28"/>
        <v>141.66666666666666</v>
      </c>
      <c r="AL40">
        <f t="shared" si="3"/>
        <v>32.708333333333343</v>
      </c>
      <c r="AM40">
        <f>100*(_xlfn.RANK.EQ(AL40,$AL$2:$AL$73,1)-0.5)/$P$6</f>
        <v>71.527777777777771</v>
      </c>
      <c r="AN40">
        <f t="shared" si="4"/>
        <v>31.970269395762969</v>
      </c>
    </row>
    <row r="41" spans="1:40" x14ac:dyDescent="0.4">
      <c r="A41">
        <v>4</v>
      </c>
      <c r="B41">
        <v>1</v>
      </c>
      <c r="C41">
        <v>1</v>
      </c>
      <c r="D41">
        <v>-1</v>
      </c>
      <c r="E41">
        <f t="shared" si="13"/>
        <v>1</v>
      </c>
      <c r="F41">
        <f t="shared" si="14"/>
        <v>-1</v>
      </c>
      <c r="G41">
        <f t="shared" si="15"/>
        <v>-1</v>
      </c>
      <c r="H41">
        <f t="shared" si="16"/>
        <v>-1</v>
      </c>
      <c r="I41">
        <f t="shared" si="32"/>
        <v>130</v>
      </c>
      <c r="K41">
        <f>K39/L39</f>
        <v>4.1511088103751401</v>
      </c>
      <c r="L41">
        <f>_xlfn.CHISQ.INV.RT(0.05,7)</f>
        <v>14.067140449340167</v>
      </c>
      <c r="M41" t="str">
        <f>IF(K41&gt;L41,"reject","accept")</f>
        <v>accept</v>
      </c>
      <c r="AE41">
        <v>40</v>
      </c>
      <c r="AF41">
        <v>42</v>
      </c>
      <c r="AG41">
        <v>1</v>
      </c>
      <c r="AH41">
        <v>1</v>
      </c>
      <c r="AI41">
        <v>275</v>
      </c>
      <c r="AJ41">
        <f t="shared" si="1"/>
        <v>176.04166666666666</v>
      </c>
      <c r="AK41">
        <f t="shared" si="28"/>
        <v>180</v>
      </c>
      <c r="AL41">
        <f t="shared" si="3"/>
        <v>98.958333333333343</v>
      </c>
      <c r="AM41">
        <f>100*(_xlfn.RANK.EQ(AL41,$AL$2:$AL$73,1)-0.5)/$P$6</f>
        <v>95.138888888888886</v>
      </c>
      <c r="AN41">
        <f t="shared" si="4"/>
        <v>93.205494019912052</v>
      </c>
    </row>
    <row r="42" spans="1:40" x14ac:dyDescent="0.4">
      <c r="A42">
        <v>5</v>
      </c>
      <c r="B42">
        <v>-1</v>
      </c>
      <c r="C42">
        <v>-1</v>
      </c>
      <c r="D42">
        <v>1</v>
      </c>
      <c r="E42">
        <f t="shared" si="13"/>
        <v>1</v>
      </c>
      <c r="F42">
        <f t="shared" si="14"/>
        <v>-1</v>
      </c>
      <c r="G42">
        <f t="shared" si="15"/>
        <v>-1</v>
      </c>
      <c r="H42">
        <f t="shared" si="16"/>
        <v>1</v>
      </c>
      <c r="I42">
        <f t="shared" si="32"/>
        <v>295</v>
      </c>
      <c r="AE42">
        <v>41</v>
      </c>
      <c r="AF42">
        <v>60</v>
      </c>
      <c r="AG42">
        <v>-1</v>
      </c>
      <c r="AH42">
        <v>-1</v>
      </c>
      <c r="AI42">
        <v>160</v>
      </c>
      <c r="AJ42">
        <f t="shared" si="1"/>
        <v>214.51388888888889</v>
      </c>
      <c r="AK42">
        <f t="shared" si="28"/>
        <v>223.33333333333334</v>
      </c>
      <c r="AL42">
        <f t="shared" si="3"/>
        <v>-54.513888888888886</v>
      </c>
      <c r="AM42">
        <f>100*(_xlfn.RANK.EQ(AL42,$AL$2:$AL$73,1)-0.5)/$P$6</f>
        <v>17.361111111111111</v>
      </c>
      <c r="AN42">
        <f t="shared" si="4"/>
        <v>-52.827128899679899</v>
      </c>
    </row>
    <row r="43" spans="1:40" x14ac:dyDescent="0.4">
      <c r="A43">
        <v>6</v>
      </c>
      <c r="B43">
        <v>1</v>
      </c>
      <c r="C43">
        <v>-1</v>
      </c>
      <c r="D43">
        <v>1</v>
      </c>
      <c r="E43">
        <f t="shared" si="13"/>
        <v>-1</v>
      </c>
      <c r="F43">
        <f t="shared" si="14"/>
        <v>-1</v>
      </c>
      <c r="G43">
        <f t="shared" si="15"/>
        <v>1</v>
      </c>
      <c r="H43">
        <f t="shared" si="16"/>
        <v>-1</v>
      </c>
      <c r="I43">
        <f t="shared" si="32"/>
        <v>170</v>
      </c>
      <c r="AE43">
        <v>42</v>
      </c>
      <c r="AF43">
        <v>70</v>
      </c>
      <c r="AG43">
        <v>1</v>
      </c>
      <c r="AH43">
        <v>-1</v>
      </c>
      <c r="AI43">
        <v>195</v>
      </c>
      <c r="AJ43">
        <f t="shared" si="1"/>
        <v>160.76388888888889</v>
      </c>
      <c r="AK43">
        <f t="shared" si="28"/>
        <v>149.44444444444446</v>
      </c>
      <c r="AL43">
        <f t="shared" si="3"/>
        <v>34.236111111111114</v>
      </c>
      <c r="AM43">
        <f>100*(_xlfn.RANK.EQ(AL43,$AL$2:$AL$73,1)-0.5)/$P$6</f>
        <v>72.916666666666671</v>
      </c>
      <c r="AN43">
        <f t="shared" si="4"/>
        <v>34.298323123144179</v>
      </c>
    </row>
    <row r="44" spans="1:40" x14ac:dyDescent="0.4">
      <c r="A44">
        <v>7</v>
      </c>
      <c r="B44">
        <v>-1</v>
      </c>
      <c r="C44">
        <v>1</v>
      </c>
      <c r="D44">
        <v>1</v>
      </c>
      <c r="E44">
        <f t="shared" si="13"/>
        <v>-1</v>
      </c>
      <c r="F44">
        <f t="shared" si="14"/>
        <v>1</v>
      </c>
      <c r="G44">
        <f t="shared" si="15"/>
        <v>-1</v>
      </c>
      <c r="H44">
        <f t="shared" si="16"/>
        <v>-1</v>
      </c>
      <c r="I44">
        <f t="shared" si="32"/>
        <v>135</v>
      </c>
      <c r="AE44">
        <v>43</v>
      </c>
      <c r="AF44">
        <v>51</v>
      </c>
      <c r="AG44">
        <v>-1</v>
      </c>
      <c r="AH44">
        <v>1</v>
      </c>
      <c r="AI44">
        <v>175</v>
      </c>
      <c r="AJ44">
        <f t="shared" si="1"/>
        <v>122.29166666666666</v>
      </c>
      <c r="AK44">
        <f t="shared" si="28"/>
        <v>123.33333333333333</v>
      </c>
      <c r="AL44">
        <f t="shared" si="3"/>
        <v>52.708333333333343</v>
      </c>
      <c r="AM44">
        <f>100*(_xlfn.RANK.EQ(AL44,$AL$2:$AL$73,1)-0.5)/$P$6</f>
        <v>79.861111111111114</v>
      </c>
      <c r="AN44">
        <f t="shared" si="4"/>
        <v>47.020564112040297</v>
      </c>
    </row>
    <row r="45" spans="1:40" x14ac:dyDescent="0.4">
      <c r="A45">
        <v>8</v>
      </c>
      <c r="B45">
        <v>1</v>
      </c>
      <c r="C45">
        <v>1</v>
      </c>
      <c r="D45">
        <v>1</v>
      </c>
      <c r="E45">
        <f t="shared" si="13"/>
        <v>1</v>
      </c>
      <c r="F45">
        <f t="shared" si="14"/>
        <v>1</v>
      </c>
      <c r="G45">
        <f t="shared" si="15"/>
        <v>1</v>
      </c>
      <c r="H45">
        <f t="shared" si="16"/>
        <v>1</v>
      </c>
      <c r="I45">
        <f t="shared" si="32"/>
        <v>190</v>
      </c>
      <c r="AE45">
        <v>44</v>
      </c>
      <c r="AF45">
        <v>65</v>
      </c>
      <c r="AG45">
        <v>1</v>
      </c>
      <c r="AH45">
        <v>1</v>
      </c>
      <c r="AI45">
        <v>145</v>
      </c>
      <c r="AJ45">
        <f t="shared" si="1"/>
        <v>176.04166666666666</v>
      </c>
      <c r="AK45">
        <f t="shared" si="28"/>
        <v>151.66666666666666</v>
      </c>
      <c r="AL45">
        <f t="shared" si="3"/>
        <v>-31.041666666666657</v>
      </c>
      <c r="AM45">
        <f>100*(_xlfn.RANK.EQ(AL45,$AL$2:$AL$73,1)-0.5)/$P$6</f>
        <v>34.027777777777779</v>
      </c>
      <c r="AN45">
        <f t="shared" si="4"/>
        <v>-23.137671151497702</v>
      </c>
    </row>
    <row r="46" spans="1:40" x14ac:dyDescent="0.4">
      <c r="A46">
        <v>1</v>
      </c>
      <c r="B46">
        <v>-1</v>
      </c>
      <c r="C46">
        <v>-1</v>
      </c>
      <c r="D46">
        <v>-1</v>
      </c>
      <c r="E46">
        <f t="shared" si="13"/>
        <v>1</v>
      </c>
      <c r="F46">
        <f t="shared" si="14"/>
        <v>1</v>
      </c>
      <c r="G46">
        <f t="shared" si="15"/>
        <v>1</v>
      </c>
      <c r="H46">
        <f t="shared" si="16"/>
        <v>-1</v>
      </c>
      <c r="I46">
        <f>I3</f>
        <v>145</v>
      </c>
      <c r="AE46">
        <v>45</v>
      </c>
      <c r="AF46">
        <v>72</v>
      </c>
      <c r="AG46">
        <v>-1</v>
      </c>
      <c r="AH46">
        <v>-1</v>
      </c>
      <c r="AI46">
        <v>220</v>
      </c>
      <c r="AJ46">
        <f t="shared" si="1"/>
        <v>214.51388888888889</v>
      </c>
      <c r="AK46">
        <f t="shared" si="28"/>
        <v>226.11111111111111</v>
      </c>
      <c r="AL46">
        <f t="shared" si="3"/>
        <v>5.4861111111111143</v>
      </c>
      <c r="AM46">
        <f>100*(_xlfn.RANK.EQ(AL46,$AL$2:$AL$73,1)-0.5)/$P$6</f>
        <v>53.472222222222221</v>
      </c>
      <c r="AN46">
        <f t="shared" si="4"/>
        <v>4.8975651567612397</v>
      </c>
    </row>
    <row r="47" spans="1:40" x14ac:dyDescent="0.4">
      <c r="A47">
        <v>2</v>
      </c>
      <c r="B47">
        <v>1</v>
      </c>
      <c r="C47">
        <v>-1</v>
      </c>
      <c r="D47">
        <v>-1</v>
      </c>
      <c r="E47">
        <f t="shared" si="13"/>
        <v>-1</v>
      </c>
      <c r="F47">
        <f t="shared" si="14"/>
        <v>1</v>
      </c>
      <c r="G47">
        <f t="shared" si="15"/>
        <v>-1</v>
      </c>
      <c r="H47">
        <f t="shared" si="16"/>
        <v>1</v>
      </c>
      <c r="I47">
        <f t="shared" ref="I47:I53" si="33">I4</f>
        <v>70</v>
      </c>
      <c r="AE47">
        <v>46</v>
      </c>
      <c r="AF47">
        <v>71</v>
      </c>
      <c r="AG47">
        <v>1</v>
      </c>
      <c r="AH47">
        <v>-1</v>
      </c>
      <c r="AI47">
        <v>150</v>
      </c>
      <c r="AJ47">
        <f t="shared" si="1"/>
        <v>160.76388888888889</v>
      </c>
      <c r="AK47">
        <f t="shared" si="28"/>
        <v>151.66666666666666</v>
      </c>
      <c r="AL47">
        <f t="shared" si="3"/>
        <v>-10.763888888888886</v>
      </c>
      <c r="AM47">
        <f>100*(_xlfn.RANK.EQ(AL47,$AL$2:$AL$73,1)-0.5)/$P$6</f>
        <v>47.916666666666664</v>
      </c>
      <c r="AN47">
        <f t="shared" si="4"/>
        <v>-2.9361591078345777</v>
      </c>
    </row>
    <row r="48" spans="1:40" x14ac:dyDescent="0.4">
      <c r="A48">
        <v>3</v>
      </c>
      <c r="B48">
        <v>-1</v>
      </c>
      <c r="C48">
        <v>1</v>
      </c>
      <c r="D48">
        <v>-1</v>
      </c>
      <c r="E48">
        <f t="shared" si="13"/>
        <v>-1</v>
      </c>
      <c r="F48">
        <f t="shared" si="14"/>
        <v>-1</v>
      </c>
      <c r="G48">
        <f t="shared" si="15"/>
        <v>1</v>
      </c>
      <c r="H48">
        <f t="shared" si="16"/>
        <v>1</v>
      </c>
      <c r="I48">
        <f t="shared" si="33"/>
        <v>130</v>
      </c>
      <c r="AE48">
        <v>47</v>
      </c>
      <c r="AF48">
        <v>53</v>
      </c>
      <c r="AG48">
        <v>-1</v>
      </c>
      <c r="AH48">
        <v>1</v>
      </c>
      <c r="AI48">
        <v>210</v>
      </c>
      <c r="AJ48">
        <f t="shared" si="1"/>
        <v>122.29166666666666</v>
      </c>
      <c r="AK48">
        <f t="shared" si="28"/>
        <v>141.66666666666666</v>
      </c>
      <c r="AL48">
        <f t="shared" si="3"/>
        <v>87.708333333333343</v>
      </c>
      <c r="AM48">
        <f>100*(_xlfn.RANK.EQ(AL48,$AL$2:$AL$73,1)-0.5)/$P$6</f>
        <v>92.361111111111114</v>
      </c>
      <c r="AN48">
        <f t="shared" si="4"/>
        <v>80.353556340583722</v>
      </c>
    </row>
    <row r="49" spans="1:40" x14ac:dyDescent="0.4">
      <c r="A49">
        <v>4</v>
      </c>
      <c r="B49">
        <v>1</v>
      </c>
      <c r="C49">
        <v>1</v>
      </c>
      <c r="D49">
        <v>-1</v>
      </c>
      <c r="E49">
        <f t="shared" si="13"/>
        <v>1</v>
      </c>
      <c r="F49">
        <f t="shared" si="14"/>
        <v>-1</v>
      </c>
      <c r="G49">
        <f t="shared" si="15"/>
        <v>-1</v>
      </c>
      <c r="H49">
        <f t="shared" si="16"/>
        <v>-1</v>
      </c>
      <c r="I49">
        <f t="shared" si="33"/>
        <v>130</v>
      </c>
      <c r="AE49">
        <v>48</v>
      </c>
      <c r="AF49">
        <v>58</v>
      </c>
      <c r="AG49">
        <v>1</v>
      </c>
      <c r="AH49">
        <v>1</v>
      </c>
      <c r="AI49">
        <v>260</v>
      </c>
      <c r="AJ49">
        <f t="shared" si="1"/>
        <v>176.04166666666666</v>
      </c>
      <c r="AK49">
        <f t="shared" si="28"/>
        <v>180</v>
      </c>
      <c r="AL49">
        <f t="shared" si="3"/>
        <v>83.958333333333343</v>
      </c>
      <c r="AM49">
        <f>100*(_xlfn.RANK.EQ(AL49,$AL$2:$AL$73,1)-0.5)/$P$6</f>
        <v>90.972222222222229</v>
      </c>
      <c r="AN49">
        <f t="shared" si="4"/>
        <v>75.253896484716591</v>
      </c>
    </row>
    <row r="50" spans="1:40" x14ac:dyDescent="0.4">
      <c r="A50">
        <v>5</v>
      </c>
      <c r="B50">
        <v>-1</v>
      </c>
      <c r="C50">
        <v>-1</v>
      </c>
      <c r="D50">
        <v>1</v>
      </c>
      <c r="E50">
        <f t="shared" si="13"/>
        <v>1</v>
      </c>
      <c r="F50">
        <f t="shared" si="14"/>
        <v>-1</v>
      </c>
      <c r="G50">
        <f t="shared" si="15"/>
        <v>-1</v>
      </c>
      <c r="H50">
        <f t="shared" si="16"/>
        <v>1</v>
      </c>
      <c r="I50">
        <f t="shared" si="33"/>
        <v>280</v>
      </c>
      <c r="AE50">
        <v>49</v>
      </c>
      <c r="AF50">
        <v>16</v>
      </c>
      <c r="AG50">
        <v>-1</v>
      </c>
      <c r="AH50">
        <v>-1</v>
      </c>
      <c r="AI50">
        <v>235</v>
      </c>
      <c r="AJ50">
        <f t="shared" si="1"/>
        <v>214.51388888888889</v>
      </c>
      <c r="AK50">
        <f t="shared" si="28"/>
        <v>223.33333333333334</v>
      </c>
      <c r="AL50">
        <f t="shared" si="3"/>
        <v>20.486111111111114</v>
      </c>
      <c r="AM50">
        <f>100*(_xlfn.RANK.EQ(AL50,$AL$2:$AL$73,1)-0.5)/$P$6</f>
        <v>67.361111111111114</v>
      </c>
      <c r="AN50">
        <f t="shared" si="4"/>
        <v>25.2845792688282</v>
      </c>
    </row>
    <row r="51" spans="1:40" x14ac:dyDescent="0.4">
      <c r="A51">
        <v>6</v>
      </c>
      <c r="B51">
        <v>1</v>
      </c>
      <c r="C51">
        <v>-1</v>
      </c>
      <c r="D51">
        <v>1</v>
      </c>
      <c r="E51">
        <f t="shared" si="13"/>
        <v>-1</v>
      </c>
      <c r="F51">
        <f t="shared" si="14"/>
        <v>-1</v>
      </c>
      <c r="G51">
        <f t="shared" si="15"/>
        <v>1</v>
      </c>
      <c r="H51">
        <f t="shared" si="16"/>
        <v>-1</v>
      </c>
      <c r="I51">
        <f t="shared" si="33"/>
        <v>255</v>
      </c>
      <c r="AE51">
        <v>50</v>
      </c>
      <c r="AF51">
        <v>10</v>
      </c>
      <c r="AG51">
        <v>1</v>
      </c>
      <c r="AH51">
        <v>-1</v>
      </c>
      <c r="AI51">
        <v>100</v>
      </c>
      <c r="AJ51">
        <f t="shared" si="1"/>
        <v>160.76388888888889</v>
      </c>
      <c r="AK51">
        <f t="shared" si="28"/>
        <v>149.44444444444446</v>
      </c>
      <c r="AL51">
        <f t="shared" si="3"/>
        <v>-60.763888888888886</v>
      </c>
      <c r="AM51">
        <f>100*(_xlfn.RANK.EQ(AL51,$AL$2:$AL$73,1)-0.5)/$P$6</f>
        <v>14.583333333333334</v>
      </c>
      <c r="AN51">
        <f t="shared" si="4"/>
        <v>-59.26094753519299</v>
      </c>
    </row>
    <row r="52" spans="1:40" x14ac:dyDescent="0.4">
      <c r="A52">
        <v>7</v>
      </c>
      <c r="B52">
        <v>-1</v>
      </c>
      <c r="C52">
        <v>1</v>
      </c>
      <c r="D52">
        <v>1</v>
      </c>
      <c r="E52">
        <f t="shared" si="13"/>
        <v>-1</v>
      </c>
      <c r="F52">
        <f t="shared" si="14"/>
        <v>1</v>
      </c>
      <c r="G52">
        <f t="shared" si="15"/>
        <v>-1</v>
      </c>
      <c r="H52">
        <f t="shared" si="16"/>
        <v>-1</v>
      </c>
      <c r="I52">
        <f t="shared" si="33"/>
        <v>155</v>
      </c>
      <c r="AE52">
        <v>51</v>
      </c>
      <c r="AF52">
        <v>11</v>
      </c>
      <c r="AG52">
        <v>-1</v>
      </c>
      <c r="AH52">
        <v>1</v>
      </c>
      <c r="AI52">
        <v>110</v>
      </c>
      <c r="AJ52">
        <f t="shared" si="1"/>
        <v>122.29166666666666</v>
      </c>
      <c r="AK52">
        <f t="shared" si="28"/>
        <v>123.33333333333333</v>
      </c>
      <c r="AL52">
        <f t="shared" si="3"/>
        <v>-12.291666666666657</v>
      </c>
      <c r="AM52">
        <f>100*(_xlfn.RANK.EQ(AL52,$AL$2:$AL$73,1)-0.5)/$P$6</f>
        <v>46.527777777777779</v>
      </c>
      <c r="AN52">
        <f t="shared" si="4"/>
        <v>-4.8975651567612291</v>
      </c>
    </row>
    <row r="53" spans="1:40" x14ac:dyDescent="0.4">
      <c r="A53">
        <v>8</v>
      </c>
      <c r="B53">
        <v>1</v>
      </c>
      <c r="C53">
        <v>1</v>
      </c>
      <c r="D53">
        <v>1</v>
      </c>
      <c r="E53">
        <f t="shared" si="13"/>
        <v>1</v>
      </c>
      <c r="F53">
        <f t="shared" si="14"/>
        <v>1</v>
      </c>
      <c r="G53">
        <f t="shared" si="15"/>
        <v>1</v>
      </c>
      <c r="H53">
        <f t="shared" si="16"/>
        <v>1</v>
      </c>
      <c r="I53">
        <f t="shared" si="33"/>
        <v>275</v>
      </c>
      <c r="AE53">
        <v>52</v>
      </c>
      <c r="AF53">
        <v>24</v>
      </c>
      <c r="AG53">
        <v>1</v>
      </c>
      <c r="AH53">
        <v>1</v>
      </c>
      <c r="AI53">
        <v>90</v>
      </c>
      <c r="AJ53">
        <f t="shared" si="1"/>
        <v>176.04166666666666</v>
      </c>
      <c r="AK53">
        <f t="shared" si="28"/>
        <v>151.66666666666666</v>
      </c>
      <c r="AL53">
        <f t="shared" si="3"/>
        <v>-86.041666666666657</v>
      </c>
      <c r="AM53">
        <f>100*(_xlfn.RANK.EQ(AL53,$AL$2:$AL$73,1)-0.5)/$P$6</f>
        <v>4.8611111111111107</v>
      </c>
      <c r="AN53">
        <f t="shared" si="4"/>
        <v>-93.205494019912081</v>
      </c>
    </row>
    <row r="54" spans="1:40" x14ac:dyDescent="0.4">
      <c r="A54">
        <v>1</v>
      </c>
      <c r="B54">
        <v>-1</v>
      </c>
      <c r="C54">
        <v>-1</v>
      </c>
      <c r="D54">
        <v>-1</v>
      </c>
      <c r="E54">
        <f t="shared" si="13"/>
        <v>1</v>
      </c>
      <c r="F54">
        <f t="shared" si="14"/>
        <v>1</v>
      </c>
      <c r="G54">
        <f t="shared" si="15"/>
        <v>1</v>
      </c>
      <c r="H54">
        <f t="shared" si="16"/>
        <v>-1</v>
      </c>
      <c r="I54">
        <f>J3</f>
        <v>160</v>
      </c>
      <c r="AE54">
        <v>53</v>
      </c>
      <c r="AF54">
        <v>18</v>
      </c>
      <c r="AG54">
        <v>-1</v>
      </c>
      <c r="AH54">
        <v>-1</v>
      </c>
      <c r="AI54">
        <v>180</v>
      </c>
      <c r="AJ54">
        <f t="shared" si="1"/>
        <v>214.51388888888889</v>
      </c>
      <c r="AK54">
        <f t="shared" si="28"/>
        <v>226.11111111111111</v>
      </c>
      <c r="AL54">
        <f t="shared" si="3"/>
        <v>-34.513888888888886</v>
      </c>
      <c r="AM54">
        <f>100*(_xlfn.RANK.EQ(AL54,$AL$2:$AL$73,1)-0.5)/$P$6</f>
        <v>31.25</v>
      </c>
      <c r="AN54">
        <f t="shared" si="4"/>
        <v>-27.469046921884654</v>
      </c>
    </row>
    <row r="55" spans="1:40" x14ac:dyDescent="0.4">
      <c r="A55">
        <v>2</v>
      </c>
      <c r="B55">
        <v>1</v>
      </c>
      <c r="C55">
        <v>-1</v>
      </c>
      <c r="D55">
        <v>-1</v>
      </c>
      <c r="E55">
        <f t="shared" si="13"/>
        <v>-1</v>
      </c>
      <c r="F55">
        <f t="shared" si="14"/>
        <v>1</v>
      </c>
      <c r="G55">
        <f t="shared" si="15"/>
        <v>-1</v>
      </c>
      <c r="H55">
        <f t="shared" si="16"/>
        <v>1</v>
      </c>
      <c r="I55">
        <f t="shared" ref="I55:I61" si="34">J4</f>
        <v>195</v>
      </c>
      <c r="AE55">
        <v>54</v>
      </c>
      <c r="AF55">
        <v>13</v>
      </c>
      <c r="AG55">
        <v>1</v>
      </c>
      <c r="AH55">
        <v>-1</v>
      </c>
      <c r="AI55">
        <v>130</v>
      </c>
      <c r="AJ55">
        <f t="shared" si="1"/>
        <v>160.76388888888889</v>
      </c>
      <c r="AK55">
        <f t="shared" si="28"/>
        <v>151.66666666666666</v>
      </c>
      <c r="AL55">
        <f t="shared" si="3"/>
        <v>-30.763888888888886</v>
      </c>
      <c r="AM55">
        <f>100*(_xlfn.RANK.EQ(AL55,$AL$2:$AL$73,1)-0.5)/$P$6</f>
        <v>36.805555555555557</v>
      </c>
      <c r="AN55">
        <f t="shared" si="4"/>
        <v>-18.93970238063876</v>
      </c>
    </row>
    <row r="56" spans="1:40" x14ac:dyDescent="0.4">
      <c r="A56">
        <v>3</v>
      </c>
      <c r="B56">
        <v>-1</v>
      </c>
      <c r="C56">
        <v>1</v>
      </c>
      <c r="D56">
        <v>-1</v>
      </c>
      <c r="E56">
        <f t="shared" si="13"/>
        <v>-1</v>
      </c>
      <c r="F56">
        <f t="shared" si="14"/>
        <v>-1</v>
      </c>
      <c r="G56">
        <f t="shared" si="15"/>
        <v>1</v>
      </c>
      <c r="H56">
        <f t="shared" si="16"/>
        <v>1</v>
      </c>
      <c r="I56">
        <f t="shared" si="34"/>
        <v>175</v>
      </c>
      <c r="AE56">
        <v>55</v>
      </c>
      <c r="AF56">
        <v>15</v>
      </c>
      <c r="AG56">
        <v>-1</v>
      </c>
      <c r="AH56">
        <v>1</v>
      </c>
      <c r="AI56">
        <v>70</v>
      </c>
      <c r="AJ56">
        <f t="shared" si="1"/>
        <v>122.29166666666666</v>
      </c>
      <c r="AK56">
        <f t="shared" si="28"/>
        <v>141.66666666666666</v>
      </c>
      <c r="AL56">
        <f t="shared" si="3"/>
        <v>-52.291666666666657</v>
      </c>
      <c r="AM56">
        <f>100*(_xlfn.RANK.EQ(AL56,$AL$2:$AL$73,1)-0.5)/$P$6</f>
        <v>18.75</v>
      </c>
      <c r="AN56">
        <f t="shared" si="4"/>
        <v>-49.857296510491622</v>
      </c>
    </row>
    <row r="57" spans="1:40" x14ac:dyDescent="0.4">
      <c r="A57">
        <v>4</v>
      </c>
      <c r="B57">
        <v>1</v>
      </c>
      <c r="C57">
        <v>1</v>
      </c>
      <c r="D57">
        <v>-1</v>
      </c>
      <c r="E57">
        <f t="shared" si="13"/>
        <v>1</v>
      </c>
      <c r="F57">
        <f t="shared" si="14"/>
        <v>-1</v>
      </c>
      <c r="G57">
        <f t="shared" si="15"/>
        <v>-1</v>
      </c>
      <c r="H57">
        <f t="shared" si="16"/>
        <v>-1</v>
      </c>
      <c r="I57">
        <f t="shared" si="34"/>
        <v>145</v>
      </c>
      <c r="AE57">
        <v>56</v>
      </c>
      <c r="AF57">
        <v>6</v>
      </c>
      <c r="AG57">
        <v>1</v>
      </c>
      <c r="AH57">
        <v>1</v>
      </c>
      <c r="AI57">
        <v>115</v>
      </c>
      <c r="AJ57">
        <f t="shared" si="1"/>
        <v>176.04166666666666</v>
      </c>
      <c r="AK57">
        <f t="shared" si="28"/>
        <v>180</v>
      </c>
      <c r="AL57">
        <f t="shared" si="3"/>
        <v>-61.041666666666657</v>
      </c>
      <c r="AM57">
        <f>100*(_xlfn.RANK.EQ(AL57,$AL$2:$AL$73,1)-0.5)/$P$6</f>
        <v>13.194444444444445</v>
      </c>
      <c r="AN57">
        <f t="shared" si="4"/>
        <v>-62.788832165814846</v>
      </c>
    </row>
    <row r="58" spans="1:40" x14ac:dyDescent="0.4">
      <c r="A58">
        <v>5</v>
      </c>
      <c r="B58">
        <v>-1</v>
      </c>
      <c r="C58">
        <v>-1</v>
      </c>
      <c r="D58">
        <v>1</v>
      </c>
      <c r="E58">
        <f t="shared" si="13"/>
        <v>1</v>
      </c>
      <c r="F58">
        <f t="shared" si="14"/>
        <v>-1</v>
      </c>
      <c r="G58">
        <f t="shared" si="15"/>
        <v>-1</v>
      </c>
      <c r="H58">
        <f t="shared" si="16"/>
        <v>1</v>
      </c>
      <c r="I58">
        <f t="shared" si="34"/>
        <v>220</v>
      </c>
      <c r="AE58">
        <v>57</v>
      </c>
      <c r="AF58">
        <v>40</v>
      </c>
      <c r="AG58">
        <v>-1</v>
      </c>
      <c r="AH58">
        <v>-1</v>
      </c>
      <c r="AI58">
        <v>290</v>
      </c>
      <c r="AJ58">
        <f t="shared" si="1"/>
        <v>214.51388888888889</v>
      </c>
      <c r="AK58">
        <f t="shared" si="28"/>
        <v>223.33333333333334</v>
      </c>
      <c r="AL58">
        <f t="shared" si="3"/>
        <v>75.486111111111114</v>
      </c>
      <c r="AM58">
        <f>100*(_xlfn.RANK.EQ(AL58,$AL$2:$AL$73,1)-0.5)/$P$6</f>
        <v>86.805555555555557</v>
      </c>
      <c r="AN58">
        <f t="shared" si="4"/>
        <v>62.78883216581486</v>
      </c>
    </row>
    <row r="59" spans="1:40" x14ac:dyDescent="0.4">
      <c r="A59">
        <v>6</v>
      </c>
      <c r="B59">
        <v>1</v>
      </c>
      <c r="C59">
        <v>-1</v>
      </c>
      <c r="D59">
        <v>1</v>
      </c>
      <c r="E59">
        <f t="shared" si="13"/>
        <v>-1</v>
      </c>
      <c r="F59">
        <f t="shared" si="14"/>
        <v>-1</v>
      </c>
      <c r="G59">
        <f t="shared" si="15"/>
        <v>1</v>
      </c>
      <c r="H59">
        <f t="shared" si="16"/>
        <v>-1</v>
      </c>
      <c r="I59">
        <f t="shared" si="34"/>
        <v>150</v>
      </c>
      <c r="AE59">
        <v>58</v>
      </c>
      <c r="AF59">
        <v>28</v>
      </c>
      <c r="AG59">
        <v>1</v>
      </c>
      <c r="AH59">
        <v>-1</v>
      </c>
      <c r="AI59">
        <v>125</v>
      </c>
      <c r="AJ59">
        <f t="shared" si="1"/>
        <v>160.76388888888889</v>
      </c>
      <c r="AK59">
        <f t="shared" si="28"/>
        <v>149.44444444444446</v>
      </c>
      <c r="AL59">
        <f t="shared" si="3"/>
        <v>-35.763888888888886</v>
      </c>
      <c r="AM59">
        <f>100*(_xlfn.RANK.EQ(AL59,$AL$2:$AL$73,1)-0.5)/$P$6</f>
        <v>29.861111111111111</v>
      </c>
      <c r="AN59">
        <f t="shared" si="4"/>
        <v>-29.695838171192793</v>
      </c>
    </row>
    <row r="60" spans="1:40" x14ac:dyDescent="0.4">
      <c r="A60">
        <v>7</v>
      </c>
      <c r="B60">
        <v>-1</v>
      </c>
      <c r="C60">
        <v>1</v>
      </c>
      <c r="D60">
        <v>1</v>
      </c>
      <c r="E60">
        <f t="shared" si="13"/>
        <v>-1</v>
      </c>
      <c r="F60">
        <f t="shared" si="14"/>
        <v>1</v>
      </c>
      <c r="G60">
        <f t="shared" si="15"/>
        <v>-1</v>
      </c>
      <c r="H60">
        <f t="shared" si="16"/>
        <v>-1</v>
      </c>
      <c r="I60">
        <f t="shared" si="34"/>
        <v>210</v>
      </c>
      <c r="AE60">
        <v>59</v>
      </c>
      <c r="AF60">
        <v>35</v>
      </c>
      <c r="AG60">
        <v>-1</v>
      </c>
      <c r="AH60">
        <v>1</v>
      </c>
      <c r="AI60">
        <v>160</v>
      </c>
      <c r="AJ60">
        <f t="shared" si="1"/>
        <v>122.29166666666666</v>
      </c>
      <c r="AK60">
        <f t="shared" si="28"/>
        <v>123.33333333333333</v>
      </c>
      <c r="AL60">
        <f t="shared" si="3"/>
        <v>37.708333333333343</v>
      </c>
      <c r="AM60">
        <f>100*(_xlfn.RANK.EQ(AL60,$AL$2:$AL$73,1)-0.5)/$P$6</f>
        <v>74.305555555555557</v>
      </c>
      <c r="AN60">
        <f t="shared" si="4"/>
        <v>36.686790262191948</v>
      </c>
    </row>
    <row r="61" spans="1:40" x14ac:dyDescent="0.4">
      <c r="A61">
        <v>8</v>
      </c>
      <c r="B61">
        <v>1</v>
      </c>
      <c r="C61">
        <v>1</v>
      </c>
      <c r="D61">
        <v>1</v>
      </c>
      <c r="E61">
        <f t="shared" si="13"/>
        <v>1</v>
      </c>
      <c r="F61">
        <f t="shared" si="14"/>
        <v>1</v>
      </c>
      <c r="G61">
        <f t="shared" si="15"/>
        <v>1</v>
      </c>
      <c r="H61">
        <f t="shared" si="16"/>
        <v>1</v>
      </c>
      <c r="I61">
        <f t="shared" si="34"/>
        <v>260</v>
      </c>
      <c r="AE61">
        <v>60</v>
      </c>
      <c r="AF61">
        <v>36</v>
      </c>
      <c r="AG61">
        <v>1</v>
      </c>
      <c r="AH61">
        <v>1</v>
      </c>
      <c r="AI61">
        <v>110</v>
      </c>
      <c r="AJ61">
        <f t="shared" si="1"/>
        <v>176.04166666666666</v>
      </c>
      <c r="AK61">
        <f t="shared" si="28"/>
        <v>151.66666666666666</v>
      </c>
      <c r="AL61">
        <f t="shared" si="3"/>
        <v>-66.041666666666657</v>
      </c>
      <c r="AM61">
        <f>100*(_xlfn.RANK.EQ(AL61,$AL$2:$AL$73,1)-0.5)/$P$6</f>
        <v>10.416666666666666</v>
      </c>
      <c r="AN61">
        <f t="shared" si="4"/>
        <v>-70.708197388940249</v>
      </c>
    </row>
    <row r="62" spans="1:40" x14ac:dyDescent="0.4">
      <c r="A62">
        <v>1</v>
      </c>
      <c r="B62">
        <v>-1</v>
      </c>
      <c r="C62">
        <v>-1</v>
      </c>
      <c r="D62">
        <v>-1</v>
      </c>
      <c r="E62">
        <f t="shared" si="13"/>
        <v>1</v>
      </c>
      <c r="F62">
        <f t="shared" si="14"/>
        <v>1</v>
      </c>
      <c r="G62">
        <f t="shared" si="15"/>
        <v>1</v>
      </c>
      <c r="H62">
        <f t="shared" si="16"/>
        <v>-1</v>
      </c>
      <c r="I62">
        <f>K3</f>
        <v>235</v>
      </c>
      <c r="AE62">
        <v>61</v>
      </c>
      <c r="AF62">
        <v>33</v>
      </c>
      <c r="AG62">
        <v>-1</v>
      </c>
      <c r="AH62">
        <v>-1</v>
      </c>
      <c r="AI62">
        <v>120</v>
      </c>
      <c r="AJ62">
        <f t="shared" si="1"/>
        <v>214.51388888888889</v>
      </c>
      <c r="AK62">
        <f t="shared" si="28"/>
        <v>226.11111111111111</v>
      </c>
      <c r="AL62">
        <f t="shared" si="3"/>
        <v>-94.513888888888886</v>
      </c>
      <c r="AM62">
        <f>100*(_xlfn.RANK.EQ(AL62,$AL$2:$AL$73,1)-0.5)/$P$6</f>
        <v>0.69444444444444442</v>
      </c>
      <c r="AN62">
        <f t="shared" si="4"/>
        <v>-138.2580446302515</v>
      </c>
    </row>
    <row r="63" spans="1:40" x14ac:dyDescent="0.4">
      <c r="A63">
        <v>2</v>
      </c>
      <c r="B63">
        <v>1</v>
      </c>
      <c r="C63">
        <v>-1</v>
      </c>
      <c r="D63">
        <v>-1</v>
      </c>
      <c r="E63">
        <f t="shared" si="13"/>
        <v>-1</v>
      </c>
      <c r="F63">
        <f t="shared" si="14"/>
        <v>1</v>
      </c>
      <c r="G63">
        <f t="shared" si="15"/>
        <v>-1</v>
      </c>
      <c r="H63">
        <f t="shared" si="16"/>
        <v>1</v>
      </c>
      <c r="I63">
        <f t="shared" ref="I63:I69" si="35">K4</f>
        <v>100</v>
      </c>
      <c r="AE63">
        <v>62</v>
      </c>
      <c r="AF63">
        <v>46</v>
      </c>
      <c r="AG63">
        <v>1</v>
      </c>
      <c r="AH63">
        <v>-1</v>
      </c>
      <c r="AI63">
        <v>110</v>
      </c>
      <c r="AJ63">
        <f t="shared" si="1"/>
        <v>160.76388888888889</v>
      </c>
      <c r="AK63">
        <f t="shared" si="28"/>
        <v>151.66666666666666</v>
      </c>
      <c r="AL63">
        <f t="shared" si="3"/>
        <v>-50.763888888888886</v>
      </c>
      <c r="AM63">
        <f>100*(_xlfn.RANK.EQ(AL63,$AL$2:$AL$73,1)-0.5)/$P$6</f>
        <v>20.138888888888889</v>
      </c>
      <c r="AN63">
        <f t="shared" si="4"/>
        <v>-47.020564112040276</v>
      </c>
    </row>
    <row r="64" spans="1:40" x14ac:dyDescent="0.4">
      <c r="A64">
        <v>3</v>
      </c>
      <c r="B64">
        <v>-1</v>
      </c>
      <c r="C64">
        <v>1</v>
      </c>
      <c r="D64">
        <v>-1</v>
      </c>
      <c r="E64">
        <f t="shared" si="13"/>
        <v>-1</v>
      </c>
      <c r="F64">
        <f t="shared" si="14"/>
        <v>-1</v>
      </c>
      <c r="G64">
        <f t="shared" si="15"/>
        <v>1</v>
      </c>
      <c r="H64">
        <f t="shared" si="16"/>
        <v>1</v>
      </c>
      <c r="I64">
        <f t="shared" si="35"/>
        <v>110</v>
      </c>
      <c r="AE64">
        <v>63</v>
      </c>
      <c r="AF64">
        <v>27</v>
      </c>
      <c r="AG64">
        <v>-1</v>
      </c>
      <c r="AH64">
        <v>1</v>
      </c>
      <c r="AI64">
        <v>90</v>
      </c>
      <c r="AJ64">
        <f t="shared" si="1"/>
        <v>122.29166666666666</v>
      </c>
      <c r="AK64">
        <f t="shared" si="28"/>
        <v>141.66666666666666</v>
      </c>
      <c r="AL64">
        <f t="shared" si="3"/>
        <v>-32.291666666666657</v>
      </c>
      <c r="AM64">
        <f>100*(_xlfn.RANK.EQ(AL64,$AL$2:$AL$73,1)-0.5)/$P$6</f>
        <v>32.638888888888886</v>
      </c>
      <c r="AN64">
        <f t="shared" si="4"/>
        <v>-25.284579268828185</v>
      </c>
    </row>
    <row r="65" spans="1:40" x14ac:dyDescent="0.4">
      <c r="A65">
        <v>4</v>
      </c>
      <c r="B65">
        <v>1</v>
      </c>
      <c r="C65">
        <v>1</v>
      </c>
      <c r="D65">
        <v>-1</v>
      </c>
      <c r="E65">
        <f t="shared" si="13"/>
        <v>1</v>
      </c>
      <c r="F65">
        <f t="shared" si="14"/>
        <v>-1</v>
      </c>
      <c r="G65">
        <f t="shared" si="15"/>
        <v>-1</v>
      </c>
      <c r="H65">
        <f t="shared" si="16"/>
        <v>-1</v>
      </c>
      <c r="I65">
        <f t="shared" si="35"/>
        <v>90</v>
      </c>
      <c r="AE65">
        <v>64</v>
      </c>
      <c r="AF65">
        <v>47</v>
      </c>
      <c r="AG65">
        <v>1</v>
      </c>
      <c r="AH65">
        <v>1</v>
      </c>
      <c r="AI65">
        <v>180</v>
      </c>
      <c r="AJ65">
        <f t="shared" si="1"/>
        <v>176.04166666666666</v>
      </c>
      <c r="AK65">
        <f t="shared" si="28"/>
        <v>180</v>
      </c>
      <c r="AL65">
        <f t="shared" si="3"/>
        <v>3.9583333333333428</v>
      </c>
      <c r="AM65">
        <f>100*(_xlfn.RANK.EQ(AL65,$AL$2:$AL$73,1)-0.5)/$P$6</f>
        <v>50.694444444444443</v>
      </c>
      <c r="AN65">
        <f t="shared" si="4"/>
        <v>0.97832404884648272</v>
      </c>
    </row>
    <row r="66" spans="1:40" x14ac:dyDescent="0.4">
      <c r="A66">
        <v>5</v>
      </c>
      <c r="B66">
        <v>-1</v>
      </c>
      <c r="C66">
        <v>-1</v>
      </c>
      <c r="D66">
        <v>1</v>
      </c>
      <c r="E66">
        <f t="shared" si="13"/>
        <v>1</v>
      </c>
      <c r="F66">
        <f t="shared" si="14"/>
        <v>-1</v>
      </c>
      <c r="G66">
        <f t="shared" si="15"/>
        <v>-1</v>
      </c>
      <c r="H66">
        <f t="shared" si="16"/>
        <v>1</v>
      </c>
      <c r="I66">
        <f t="shared" si="35"/>
        <v>180</v>
      </c>
      <c r="AE66">
        <v>65</v>
      </c>
      <c r="AF66">
        <v>68</v>
      </c>
      <c r="AG66">
        <v>-1</v>
      </c>
      <c r="AH66">
        <v>-1</v>
      </c>
      <c r="AI66">
        <v>270</v>
      </c>
      <c r="AJ66">
        <f t="shared" si="1"/>
        <v>214.51388888888889</v>
      </c>
      <c r="AK66">
        <f t="shared" si="28"/>
        <v>223.33333333333334</v>
      </c>
      <c r="AL66">
        <f t="shared" si="3"/>
        <v>55.486111111111114</v>
      </c>
      <c r="AM66">
        <f>100*(_xlfn.RANK.EQ(AL66,$AL$2:$AL$73,1)-0.5)/$P$6</f>
        <v>81.25</v>
      </c>
      <c r="AN66">
        <f t="shared" si="4"/>
        <v>49.857296510491636</v>
      </c>
    </row>
    <row r="67" spans="1:40" x14ac:dyDescent="0.4">
      <c r="A67">
        <v>6</v>
      </c>
      <c r="B67">
        <v>1</v>
      </c>
      <c r="C67">
        <v>-1</v>
      </c>
      <c r="D67">
        <v>1</v>
      </c>
      <c r="E67">
        <f t="shared" si="13"/>
        <v>-1</v>
      </c>
      <c r="F67">
        <f t="shared" si="14"/>
        <v>-1</v>
      </c>
      <c r="G67">
        <f t="shared" si="15"/>
        <v>1</v>
      </c>
      <c r="H67">
        <f t="shared" si="16"/>
        <v>-1</v>
      </c>
      <c r="I67">
        <f t="shared" si="35"/>
        <v>130</v>
      </c>
      <c r="AE67">
        <v>66</v>
      </c>
      <c r="AF67">
        <v>55</v>
      </c>
      <c r="AG67">
        <v>1</v>
      </c>
      <c r="AH67">
        <v>-1</v>
      </c>
      <c r="AI67">
        <v>170</v>
      </c>
      <c r="AJ67">
        <f t="shared" ref="AJ67:AJ73" si="36">$J$16+$L$16*AH67+$N$16*AG67*AH67</f>
        <v>160.76388888888889</v>
      </c>
      <c r="AK67">
        <f t="shared" si="28"/>
        <v>149.44444444444446</v>
      </c>
      <c r="AL67">
        <f t="shared" ref="AL67:AL73" si="37">AI67-AJ67</f>
        <v>9.2361111111111143</v>
      </c>
      <c r="AM67">
        <f>100*(_xlfn.RANK.EQ(AL67,$AL$2:$AL$73,1)-0.5)/$P$6</f>
        <v>57.638888888888886</v>
      </c>
      <c r="AN67">
        <f t="shared" ref="AN67:AN73" si="38">_xlfn.NORM.INV(AM67/100,$AI$74,$AI$75)</f>
        <v>10.827635532185889</v>
      </c>
    </row>
    <row r="68" spans="1:40" x14ac:dyDescent="0.4">
      <c r="A68">
        <v>7</v>
      </c>
      <c r="B68">
        <v>-1</v>
      </c>
      <c r="C68">
        <v>1</v>
      </c>
      <c r="D68">
        <v>1</v>
      </c>
      <c r="E68">
        <f t="shared" si="13"/>
        <v>-1</v>
      </c>
      <c r="F68">
        <f t="shared" si="14"/>
        <v>1</v>
      </c>
      <c r="G68">
        <f t="shared" si="15"/>
        <v>-1</v>
      </c>
      <c r="H68">
        <f t="shared" si="16"/>
        <v>-1</v>
      </c>
      <c r="I68">
        <f t="shared" si="35"/>
        <v>70</v>
      </c>
      <c r="AE68">
        <v>67</v>
      </c>
      <c r="AF68">
        <v>57</v>
      </c>
      <c r="AG68">
        <v>-1</v>
      </c>
      <c r="AH68">
        <v>1</v>
      </c>
      <c r="AI68">
        <v>130</v>
      </c>
      <c r="AJ68">
        <f t="shared" si="36"/>
        <v>122.29166666666666</v>
      </c>
      <c r="AK68">
        <f t="shared" si="28"/>
        <v>123.33333333333333</v>
      </c>
      <c r="AL68">
        <f t="shared" si="37"/>
        <v>7.7083333333333428</v>
      </c>
      <c r="AM68">
        <f>100*(_xlfn.RANK.EQ(AL68,$AL$2:$AL$73,1)-0.5)/$P$6</f>
        <v>54.861111111111114</v>
      </c>
      <c r="AN68">
        <f t="shared" si="38"/>
        <v>6.8649567663570377</v>
      </c>
    </row>
    <row r="69" spans="1:40" x14ac:dyDescent="0.4">
      <c r="A69">
        <v>8</v>
      </c>
      <c r="B69">
        <v>1</v>
      </c>
      <c r="C69">
        <v>1</v>
      </c>
      <c r="D69">
        <v>1</v>
      </c>
      <c r="E69">
        <f t="shared" si="13"/>
        <v>1</v>
      </c>
      <c r="F69">
        <f t="shared" si="14"/>
        <v>1</v>
      </c>
      <c r="G69">
        <f t="shared" si="15"/>
        <v>1</v>
      </c>
      <c r="H69">
        <f t="shared" si="16"/>
        <v>1</v>
      </c>
      <c r="I69">
        <f t="shared" si="35"/>
        <v>115</v>
      </c>
      <c r="AE69">
        <v>68</v>
      </c>
      <c r="AF69">
        <v>49</v>
      </c>
      <c r="AG69">
        <v>1</v>
      </c>
      <c r="AH69">
        <v>1</v>
      </c>
      <c r="AI69">
        <v>100</v>
      </c>
      <c r="AJ69">
        <f t="shared" si="36"/>
        <v>176.04166666666666</v>
      </c>
      <c r="AK69">
        <f t="shared" si="28"/>
        <v>151.66666666666666</v>
      </c>
      <c r="AL69">
        <f t="shared" si="37"/>
        <v>-76.041666666666657</v>
      </c>
      <c r="AM69">
        <f>100*(_xlfn.RANK.EQ(AL69,$AL$2:$AL$73,1)-0.5)/$P$6</f>
        <v>7.6388888888888893</v>
      </c>
      <c r="AN69">
        <f t="shared" si="38"/>
        <v>-80.353556340583637</v>
      </c>
    </row>
    <row r="70" spans="1:40" x14ac:dyDescent="0.4">
      <c r="A70">
        <v>1</v>
      </c>
      <c r="B70">
        <v>-1</v>
      </c>
      <c r="C70">
        <v>-1</v>
      </c>
      <c r="D70">
        <v>-1</v>
      </c>
      <c r="E70">
        <f t="shared" si="13"/>
        <v>1</v>
      </c>
      <c r="F70">
        <f t="shared" si="14"/>
        <v>1</v>
      </c>
      <c r="G70">
        <f t="shared" si="15"/>
        <v>1</v>
      </c>
      <c r="H70">
        <f t="shared" si="16"/>
        <v>-1</v>
      </c>
      <c r="I70">
        <f>L3</f>
        <v>290</v>
      </c>
      <c r="AE70">
        <v>69</v>
      </c>
      <c r="AF70">
        <v>52</v>
      </c>
      <c r="AG70">
        <v>-1</v>
      </c>
      <c r="AH70">
        <v>-1</v>
      </c>
      <c r="AI70">
        <v>135</v>
      </c>
      <c r="AJ70">
        <f t="shared" si="36"/>
        <v>214.51388888888889</v>
      </c>
      <c r="AK70">
        <f t="shared" si="28"/>
        <v>226.11111111111111</v>
      </c>
      <c r="AL70">
        <f t="shared" si="37"/>
        <v>-79.513888888888886</v>
      </c>
      <c r="AM70">
        <f>100*(_xlfn.RANK.EQ(AL70,$AL$2:$AL$73,1)-0.5)/$P$6</f>
        <v>6.25</v>
      </c>
      <c r="AN70">
        <f t="shared" si="38"/>
        <v>-86.216986455103026</v>
      </c>
    </row>
    <row r="71" spans="1:40" x14ac:dyDescent="0.4">
      <c r="A71">
        <v>2</v>
      </c>
      <c r="B71">
        <v>1</v>
      </c>
      <c r="C71">
        <v>-1</v>
      </c>
      <c r="D71">
        <v>-1</v>
      </c>
      <c r="E71">
        <f t="shared" si="13"/>
        <v>-1</v>
      </c>
      <c r="F71">
        <f t="shared" si="14"/>
        <v>1</v>
      </c>
      <c r="G71">
        <f t="shared" si="15"/>
        <v>-1</v>
      </c>
      <c r="H71">
        <f t="shared" si="16"/>
        <v>1</v>
      </c>
      <c r="I71">
        <f t="shared" ref="I71:I77" si="39">L4</f>
        <v>125</v>
      </c>
      <c r="AE71">
        <v>70</v>
      </c>
      <c r="AF71">
        <v>66</v>
      </c>
      <c r="AG71">
        <v>1</v>
      </c>
      <c r="AH71">
        <v>-1</v>
      </c>
      <c r="AI71">
        <v>220</v>
      </c>
      <c r="AJ71">
        <f t="shared" si="36"/>
        <v>160.76388888888889</v>
      </c>
      <c r="AK71">
        <f t="shared" si="28"/>
        <v>151.66666666666666</v>
      </c>
      <c r="AL71">
        <f t="shared" si="37"/>
        <v>59.236111111111114</v>
      </c>
      <c r="AM71">
        <f>100*(_xlfn.RANK.EQ(AL71,$AL$2:$AL$73,1)-0.5)/$P$6</f>
        <v>82.638888888888886</v>
      </c>
      <c r="AN71">
        <f t="shared" si="38"/>
        <v>52.827128899679906</v>
      </c>
    </row>
    <row r="72" spans="1:40" x14ac:dyDescent="0.4">
      <c r="A72">
        <v>3</v>
      </c>
      <c r="B72">
        <v>-1</v>
      </c>
      <c r="C72">
        <v>1</v>
      </c>
      <c r="D72">
        <v>-1</v>
      </c>
      <c r="E72">
        <f t="shared" si="13"/>
        <v>-1</v>
      </c>
      <c r="F72">
        <f t="shared" si="14"/>
        <v>-1</v>
      </c>
      <c r="G72">
        <f t="shared" si="15"/>
        <v>1</v>
      </c>
      <c r="H72">
        <f t="shared" si="16"/>
        <v>1</v>
      </c>
      <c r="I72">
        <f t="shared" si="39"/>
        <v>160</v>
      </c>
      <c r="AE72">
        <v>71</v>
      </c>
      <c r="AF72">
        <v>56</v>
      </c>
      <c r="AG72">
        <v>-1</v>
      </c>
      <c r="AH72">
        <v>1</v>
      </c>
      <c r="AI72">
        <v>135</v>
      </c>
      <c r="AJ72">
        <f t="shared" si="36"/>
        <v>122.29166666666666</v>
      </c>
      <c r="AK72">
        <f t="shared" si="28"/>
        <v>141.66666666666666</v>
      </c>
      <c r="AL72">
        <f t="shared" si="37"/>
        <v>12.708333333333343</v>
      </c>
      <c r="AM72">
        <f>100*(_xlfn.RANK.EQ(AL72,$AL$2:$AL$73,1)-0.5)/$P$6</f>
        <v>61.805555555555557</v>
      </c>
      <c r="AN72">
        <f t="shared" si="38"/>
        <v>16.881125046762115</v>
      </c>
    </row>
    <row r="73" spans="1:40" x14ac:dyDescent="0.4">
      <c r="A73">
        <v>4</v>
      </c>
      <c r="B73">
        <v>1</v>
      </c>
      <c r="C73">
        <v>1</v>
      </c>
      <c r="D73">
        <v>-1</v>
      </c>
      <c r="E73">
        <f t="shared" si="13"/>
        <v>1</v>
      </c>
      <c r="F73">
        <f t="shared" si="14"/>
        <v>-1</v>
      </c>
      <c r="G73">
        <f t="shared" si="15"/>
        <v>-1</v>
      </c>
      <c r="H73">
        <f t="shared" si="16"/>
        <v>-1</v>
      </c>
      <c r="I73">
        <f t="shared" si="39"/>
        <v>110</v>
      </c>
      <c r="AE73">
        <v>72</v>
      </c>
      <c r="AF73">
        <v>69</v>
      </c>
      <c r="AG73">
        <v>1</v>
      </c>
      <c r="AH73">
        <v>1</v>
      </c>
      <c r="AI73">
        <v>180</v>
      </c>
      <c r="AJ73">
        <f t="shared" si="36"/>
        <v>176.04166666666666</v>
      </c>
      <c r="AK73">
        <f t="shared" si="28"/>
        <v>180</v>
      </c>
      <c r="AL73">
        <f t="shared" si="37"/>
        <v>3.9583333333333428</v>
      </c>
      <c r="AM73">
        <f>100*(_xlfn.RANK.EQ(AL73,$AL$2:$AL$73,1)-0.5)/$P$6</f>
        <v>50.694444444444443</v>
      </c>
      <c r="AN73">
        <f t="shared" si="38"/>
        <v>0.97832404884648272</v>
      </c>
    </row>
    <row r="74" spans="1:40" x14ac:dyDescent="0.4">
      <c r="A74">
        <v>5</v>
      </c>
      <c r="B74">
        <v>-1</v>
      </c>
      <c r="C74">
        <v>-1</v>
      </c>
      <c r="D74">
        <v>1</v>
      </c>
      <c r="E74">
        <f t="shared" si="13"/>
        <v>1</v>
      </c>
      <c r="F74">
        <f t="shared" si="14"/>
        <v>-1</v>
      </c>
      <c r="G74">
        <f t="shared" si="15"/>
        <v>-1</v>
      </c>
      <c r="H74">
        <f t="shared" si="16"/>
        <v>1</v>
      </c>
      <c r="I74">
        <f t="shared" si="39"/>
        <v>120</v>
      </c>
      <c r="AH74" t="s">
        <v>110</v>
      </c>
      <c r="AI74">
        <f>AVERAGE(AL2:AL73)</f>
        <v>5.5264435003563349E-15</v>
      </c>
    </row>
    <row r="75" spans="1:40" x14ac:dyDescent="0.4">
      <c r="A75">
        <v>6</v>
      </c>
      <c r="B75">
        <v>1</v>
      </c>
      <c r="C75">
        <v>-1</v>
      </c>
      <c r="D75">
        <v>1</v>
      </c>
      <c r="E75">
        <f t="shared" si="13"/>
        <v>-1</v>
      </c>
      <c r="F75">
        <f t="shared" si="14"/>
        <v>-1</v>
      </c>
      <c r="G75">
        <f t="shared" si="15"/>
        <v>1</v>
      </c>
      <c r="H75">
        <f t="shared" si="16"/>
        <v>-1</v>
      </c>
      <c r="I75">
        <f t="shared" si="39"/>
        <v>110</v>
      </c>
      <c r="AH75" t="s">
        <v>111</v>
      </c>
      <c r="AI75">
        <f>_xlfn.STDEV.S(AL2:AL73)</f>
        <v>56.199616628880818</v>
      </c>
    </row>
    <row r="76" spans="1:40" x14ac:dyDescent="0.4">
      <c r="A76">
        <v>7</v>
      </c>
      <c r="B76">
        <v>-1</v>
      </c>
      <c r="C76">
        <v>1</v>
      </c>
      <c r="D76">
        <v>1</v>
      </c>
      <c r="E76">
        <f t="shared" si="13"/>
        <v>-1</v>
      </c>
      <c r="F76">
        <f t="shared" si="14"/>
        <v>1</v>
      </c>
      <c r="G76">
        <f t="shared" si="15"/>
        <v>-1</v>
      </c>
      <c r="H76">
        <f t="shared" si="16"/>
        <v>-1</v>
      </c>
      <c r="I76">
        <f t="shared" si="39"/>
        <v>90</v>
      </c>
    </row>
    <row r="77" spans="1:40" x14ac:dyDescent="0.4">
      <c r="A77">
        <v>8</v>
      </c>
      <c r="B77">
        <v>1</v>
      </c>
      <c r="C77">
        <v>1</v>
      </c>
      <c r="D77">
        <v>1</v>
      </c>
      <c r="E77">
        <f t="shared" si="13"/>
        <v>1</v>
      </c>
      <c r="F77">
        <f t="shared" si="14"/>
        <v>1</v>
      </c>
      <c r="G77">
        <f t="shared" si="15"/>
        <v>1</v>
      </c>
      <c r="H77">
        <f t="shared" si="16"/>
        <v>1</v>
      </c>
      <c r="I77">
        <f t="shared" si="39"/>
        <v>180</v>
      </c>
    </row>
    <row r="78" spans="1:40" x14ac:dyDescent="0.4">
      <c r="A78">
        <v>1</v>
      </c>
      <c r="B78">
        <v>-1</v>
      </c>
      <c r="C78">
        <v>-1</v>
      </c>
      <c r="D78">
        <v>-1</v>
      </c>
      <c r="E78">
        <f t="shared" si="13"/>
        <v>1</v>
      </c>
      <c r="F78">
        <f t="shared" si="14"/>
        <v>1</v>
      </c>
      <c r="G78">
        <f t="shared" si="15"/>
        <v>1</v>
      </c>
      <c r="H78">
        <f t="shared" si="16"/>
        <v>-1</v>
      </c>
      <c r="I78">
        <f>M3</f>
        <v>270</v>
      </c>
    </row>
    <row r="79" spans="1:40" x14ac:dyDescent="0.4">
      <c r="A79">
        <v>2</v>
      </c>
      <c r="B79">
        <v>1</v>
      </c>
      <c r="C79">
        <v>-1</v>
      </c>
      <c r="D79">
        <v>-1</v>
      </c>
      <c r="E79">
        <f t="shared" ref="E79:E85" si="40">B79*C79</f>
        <v>-1</v>
      </c>
      <c r="F79">
        <f t="shared" ref="F79:F85" si="41">C79*D79</f>
        <v>1</v>
      </c>
      <c r="G79">
        <f t="shared" ref="G79:G85" si="42">B79*D79</f>
        <v>-1</v>
      </c>
      <c r="H79">
        <f t="shared" ref="H79:H85" si="43">B79*C79*D79</f>
        <v>1</v>
      </c>
      <c r="I79">
        <f t="shared" ref="I79:I85" si="44">M4</f>
        <v>170</v>
      </c>
    </row>
    <row r="80" spans="1:40" x14ac:dyDescent="0.4">
      <c r="A80">
        <v>3</v>
      </c>
      <c r="B80">
        <v>-1</v>
      </c>
      <c r="C80">
        <v>1</v>
      </c>
      <c r="D80">
        <v>-1</v>
      </c>
      <c r="E80">
        <f t="shared" si="40"/>
        <v>-1</v>
      </c>
      <c r="F80">
        <f t="shared" si="41"/>
        <v>-1</v>
      </c>
      <c r="G80">
        <f t="shared" si="42"/>
        <v>1</v>
      </c>
      <c r="H80">
        <f t="shared" si="43"/>
        <v>1</v>
      </c>
      <c r="I80">
        <f t="shared" si="44"/>
        <v>130</v>
      </c>
    </row>
    <row r="81" spans="1:9" x14ac:dyDescent="0.4">
      <c r="A81">
        <v>4</v>
      </c>
      <c r="B81">
        <v>1</v>
      </c>
      <c r="C81">
        <v>1</v>
      </c>
      <c r="D81">
        <v>-1</v>
      </c>
      <c r="E81">
        <f t="shared" si="40"/>
        <v>1</v>
      </c>
      <c r="F81">
        <f t="shared" si="41"/>
        <v>-1</v>
      </c>
      <c r="G81">
        <f t="shared" si="42"/>
        <v>-1</v>
      </c>
      <c r="H81">
        <f t="shared" si="43"/>
        <v>-1</v>
      </c>
      <c r="I81">
        <f t="shared" si="44"/>
        <v>100</v>
      </c>
    </row>
    <row r="82" spans="1:9" x14ac:dyDescent="0.4">
      <c r="A82">
        <v>5</v>
      </c>
      <c r="B82">
        <v>-1</v>
      </c>
      <c r="C82">
        <v>-1</v>
      </c>
      <c r="D82">
        <v>1</v>
      </c>
      <c r="E82">
        <f t="shared" si="40"/>
        <v>1</v>
      </c>
      <c r="F82">
        <f t="shared" si="41"/>
        <v>-1</v>
      </c>
      <c r="G82">
        <f t="shared" si="42"/>
        <v>-1</v>
      </c>
      <c r="H82">
        <f t="shared" si="43"/>
        <v>1</v>
      </c>
      <c r="I82">
        <f t="shared" si="44"/>
        <v>135</v>
      </c>
    </row>
    <row r="83" spans="1:9" x14ac:dyDescent="0.4">
      <c r="A83">
        <v>6</v>
      </c>
      <c r="B83">
        <v>1</v>
      </c>
      <c r="C83">
        <v>-1</v>
      </c>
      <c r="D83">
        <v>1</v>
      </c>
      <c r="E83">
        <f t="shared" si="40"/>
        <v>-1</v>
      </c>
      <c r="F83">
        <f t="shared" si="41"/>
        <v>-1</v>
      </c>
      <c r="G83">
        <f t="shared" si="42"/>
        <v>1</v>
      </c>
      <c r="H83">
        <f t="shared" si="43"/>
        <v>-1</v>
      </c>
      <c r="I83">
        <f t="shared" si="44"/>
        <v>220</v>
      </c>
    </row>
    <row r="84" spans="1:9" x14ac:dyDescent="0.4">
      <c r="A84">
        <v>7</v>
      </c>
      <c r="B84">
        <v>-1</v>
      </c>
      <c r="C84">
        <v>1</v>
      </c>
      <c r="D84">
        <v>1</v>
      </c>
      <c r="E84">
        <f t="shared" si="40"/>
        <v>-1</v>
      </c>
      <c r="F84">
        <f t="shared" si="41"/>
        <v>1</v>
      </c>
      <c r="G84">
        <f t="shared" si="42"/>
        <v>-1</v>
      </c>
      <c r="H84">
        <f t="shared" si="43"/>
        <v>-1</v>
      </c>
      <c r="I84">
        <f t="shared" si="44"/>
        <v>135</v>
      </c>
    </row>
    <row r="85" spans="1:9" x14ac:dyDescent="0.4">
      <c r="A85">
        <v>8</v>
      </c>
      <c r="B85">
        <v>1</v>
      </c>
      <c r="C85">
        <v>1</v>
      </c>
      <c r="D85">
        <v>1</v>
      </c>
      <c r="E85">
        <f t="shared" si="40"/>
        <v>1</v>
      </c>
      <c r="F85">
        <f t="shared" si="41"/>
        <v>1</v>
      </c>
      <c r="G85">
        <f t="shared" si="42"/>
        <v>1</v>
      </c>
      <c r="H85">
        <f t="shared" si="43"/>
        <v>1</v>
      </c>
      <c r="I85">
        <f t="shared" si="44"/>
        <v>180</v>
      </c>
    </row>
  </sheetData>
  <mergeCells count="4">
    <mergeCell ref="E1:G1"/>
    <mergeCell ref="H1:J1"/>
    <mergeCell ref="K1:M1"/>
    <mergeCell ref="K28:M28"/>
  </mergeCells>
  <phoneticPr fontId="1" type="noConversion"/>
  <conditionalFormatting sqref="M18:M24">
    <cfRule type="cellIs" dxfId="2" priority="2" operator="lessThan">
      <formula>$O$18</formula>
    </cfRule>
    <cfRule type="cellIs" dxfId="1" priority="3" operator="greaterThan">
      <formula>$P$18</formula>
    </cfRule>
  </conditionalFormatting>
  <conditionalFormatting sqref="AB3:AB9">
    <cfRule type="cellIs" dxfId="0" priority="1" operator="greaterThan">
      <formula>$AC$3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FC70-DF1D-4EB8-93B9-4E50CD9A7490}">
  <dimension ref="A1:X73"/>
  <sheetViews>
    <sheetView topLeftCell="C1" workbookViewId="0">
      <selection activeCell="C1" sqref="C1:F1048576"/>
    </sheetView>
  </sheetViews>
  <sheetFormatPr defaultRowHeight="17" x14ac:dyDescent="0.4"/>
  <cols>
    <col min="1" max="1" width="16.26953125" bestFit="1" customWidth="1"/>
    <col min="4" max="5" width="8.7265625" customWidth="1"/>
    <col min="9" max="9" width="4.08984375" bestFit="1" customWidth="1"/>
    <col min="10" max="10" width="16.08984375" bestFit="1" customWidth="1"/>
    <col min="11" max="11" width="16" bestFit="1" customWidth="1"/>
    <col min="12" max="12" width="13.90625" bestFit="1" customWidth="1"/>
  </cols>
  <sheetData>
    <row r="1" spans="1:24" x14ac:dyDescent="0.4">
      <c r="A1" s="2" t="s">
        <v>10</v>
      </c>
      <c r="B1" s="5">
        <v>-1</v>
      </c>
      <c r="C1" s="1">
        <v>1</v>
      </c>
      <c r="M1" s="35" t="s">
        <v>68</v>
      </c>
      <c r="N1" s="35"/>
      <c r="O1" s="35"/>
      <c r="P1" s="35" t="s">
        <v>69</v>
      </c>
      <c r="Q1" s="35"/>
      <c r="R1" s="35"/>
      <c r="S1" s="35" t="s">
        <v>70</v>
      </c>
      <c r="T1" s="35"/>
      <c r="U1" s="35"/>
      <c r="W1" t="s">
        <v>0</v>
      </c>
      <c r="X1" t="s">
        <v>115</v>
      </c>
    </row>
    <row r="2" spans="1:24" x14ac:dyDescent="0.4">
      <c r="A2" s="3" t="s">
        <v>8</v>
      </c>
      <c r="B2" s="7">
        <f>297/2</f>
        <v>148.5</v>
      </c>
      <c r="C2" s="9">
        <v>210</v>
      </c>
      <c r="I2" s="6" t="s">
        <v>0</v>
      </c>
      <c r="J2" s="6" t="s">
        <v>8</v>
      </c>
      <c r="K2" s="6" t="s">
        <v>7</v>
      </c>
      <c r="L2" s="6" t="s">
        <v>9</v>
      </c>
      <c r="M2" t="s">
        <v>4</v>
      </c>
      <c r="N2" t="s">
        <v>5</v>
      </c>
      <c r="O2" t="s">
        <v>6</v>
      </c>
      <c r="P2" t="s">
        <v>4</v>
      </c>
      <c r="Q2" t="s">
        <v>5</v>
      </c>
      <c r="R2" t="s">
        <v>6</v>
      </c>
      <c r="S2" t="s">
        <v>4</v>
      </c>
      <c r="T2" t="s">
        <v>5</v>
      </c>
      <c r="U2" t="s">
        <v>6</v>
      </c>
      <c r="W2">
        <v>1</v>
      </c>
      <c r="X2">
        <f>J25</f>
        <v>17</v>
      </c>
    </row>
    <row r="3" spans="1:24" x14ac:dyDescent="0.4">
      <c r="A3" s="3" t="s">
        <v>7</v>
      </c>
      <c r="B3" s="6">
        <f>2/5</f>
        <v>0.4</v>
      </c>
      <c r="C3" s="10">
        <v>0.5</v>
      </c>
      <c r="D3">
        <f>$B$2*B3</f>
        <v>59.400000000000006</v>
      </c>
      <c r="E3">
        <f>$B$2*C3</f>
        <v>74.25</v>
      </c>
      <c r="F3">
        <f>$C$2*B3</f>
        <v>84</v>
      </c>
      <c r="G3">
        <f>$C$2*C3</f>
        <v>105</v>
      </c>
      <c r="I3" s="6">
        <v>1</v>
      </c>
      <c r="J3" s="6">
        <f>297/2</f>
        <v>148.5</v>
      </c>
      <c r="K3" s="6">
        <f>2/5</f>
        <v>0.4</v>
      </c>
      <c r="L3" s="6">
        <v>0.8</v>
      </c>
      <c r="M3">
        <v>190</v>
      </c>
      <c r="N3">
        <v>245</v>
      </c>
      <c r="O3">
        <v>195</v>
      </c>
      <c r="P3">
        <v>195</v>
      </c>
      <c r="Q3">
        <v>138</v>
      </c>
      <c r="R3">
        <v>205</v>
      </c>
      <c r="S3">
        <v>192</v>
      </c>
      <c r="T3">
        <v>210</v>
      </c>
      <c r="U3">
        <v>212</v>
      </c>
      <c r="W3">
        <v>2</v>
      </c>
      <c r="X3">
        <f t="shared" ref="X3:X9" si="0">J26</f>
        <v>4</v>
      </c>
    </row>
    <row r="4" spans="1:24" ht="17.5" thickBot="1" x14ac:dyDescent="0.45">
      <c r="A4" s="4" t="s">
        <v>9</v>
      </c>
      <c r="B4" s="8">
        <v>0.8</v>
      </c>
      <c r="C4" s="11">
        <v>1</v>
      </c>
      <c r="I4" s="6">
        <v>2</v>
      </c>
      <c r="J4" s="6">
        <v>210</v>
      </c>
      <c r="K4" s="6">
        <f>2/5</f>
        <v>0.4</v>
      </c>
      <c r="L4" s="6">
        <v>0.8</v>
      </c>
      <c r="M4" s="12">
        <v>156</v>
      </c>
      <c r="N4" s="12">
        <v>230</v>
      </c>
      <c r="O4" s="12">
        <v>167</v>
      </c>
      <c r="P4" s="12">
        <v>115</v>
      </c>
      <c r="Q4" s="12">
        <v>158</v>
      </c>
      <c r="R4" s="12">
        <v>170</v>
      </c>
      <c r="S4" s="12">
        <v>165</v>
      </c>
      <c r="T4" s="12">
        <v>174</v>
      </c>
      <c r="U4" s="12">
        <v>170</v>
      </c>
      <c r="W4">
        <v>3</v>
      </c>
      <c r="X4">
        <f t="shared" si="0"/>
        <v>12</v>
      </c>
    </row>
    <row r="5" spans="1:24" x14ac:dyDescent="0.4">
      <c r="I5" s="6">
        <v>3</v>
      </c>
      <c r="J5" s="6">
        <f>297/2</f>
        <v>148.5</v>
      </c>
      <c r="K5" s="6">
        <v>0.5</v>
      </c>
      <c r="L5" s="6">
        <v>0.8</v>
      </c>
      <c r="M5" s="12">
        <v>87.5</v>
      </c>
      <c r="N5" s="12">
        <v>92</v>
      </c>
      <c r="O5" s="12">
        <v>75</v>
      </c>
      <c r="P5" s="12">
        <v>73</v>
      </c>
      <c r="Q5" s="12">
        <v>89</v>
      </c>
      <c r="R5" s="12">
        <v>108</v>
      </c>
      <c r="S5" s="12">
        <v>146</v>
      </c>
      <c r="T5" s="12">
        <v>257</v>
      </c>
      <c r="U5" s="12">
        <v>290</v>
      </c>
      <c r="W5">
        <v>4</v>
      </c>
      <c r="X5">
        <f t="shared" si="0"/>
        <v>9</v>
      </c>
    </row>
    <row r="6" spans="1:24" x14ac:dyDescent="0.4">
      <c r="D6" t="s">
        <v>4</v>
      </c>
      <c r="E6" t="s">
        <v>5</v>
      </c>
      <c r="F6" t="s">
        <v>6</v>
      </c>
      <c r="I6" s="6">
        <v>4</v>
      </c>
      <c r="J6" s="6">
        <v>210</v>
      </c>
      <c r="K6" s="6">
        <v>0.5</v>
      </c>
      <c r="L6" s="6">
        <v>0.8</v>
      </c>
      <c r="M6" s="12">
        <v>245</v>
      </c>
      <c r="N6" s="12">
        <v>262</v>
      </c>
      <c r="O6" s="12">
        <v>310</v>
      </c>
      <c r="P6" s="12">
        <v>190</v>
      </c>
      <c r="Q6" s="12">
        <v>185</v>
      </c>
      <c r="R6" s="12">
        <v>181</v>
      </c>
      <c r="S6" s="12">
        <v>263</v>
      </c>
      <c r="T6" s="12">
        <v>250</v>
      </c>
      <c r="U6" s="12">
        <v>285</v>
      </c>
      <c r="W6">
        <v>5</v>
      </c>
      <c r="X6">
        <f t="shared" si="0"/>
        <v>23</v>
      </c>
    </row>
    <row r="7" spans="1:24" x14ac:dyDescent="0.4">
      <c r="C7" s="31">
        <v>1</v>
      </c>
      <c r="D7" s="32" t="s">
        <v>71</v>
      </c>
      <c r="E7" t="s">
        <v>77</v>
      </c>
      <c r="F7" t="s">
        <v>93</v>
      </c>
      <c r="I7" s="6">
        <v>5</v>
      </c>
      <c r="J7" s="6">
        <f>297/2</f>
        <v>148.5</v>
      </c>
      <c r="K7" s="6">
        <f>2/5</f>
        <v>0.4</v>
      </c>
      <c r="L7" s="6">
        <v>1</v>
      </c>
      <c r="M7" s="12">
        <v>305</v>
      </c>
      <c r="N7" s="12">
        <v>315</v>
      </c>
      <c r="O7" s="12">
        <v>228</v>
      </c>
      <c r="P7" s="12">
        <v>257</v>
      </c>
      <c r="Q7" s="12">
        <v>230</v>
      </c>
      <c r="R7" s="12">
        <v>243.5</v>
      </c>
      <c r="S7" s="12">
        <v>113</v>
      </c>
      <c r="T7" s="12">
        <v>157.5</v>
      </c>
      <c r="U7" s="12">
        <v>90</v>
      </c>
      <c r="W7">
        <v>6</v>
      </c>
      <c r="X7">
        <f t="shared" si="0"/>
        <v>1</v>
      </c>
    </row>
    <row r="8" spans="1:24" x14ac:dyDescent="0.4">
      <c r="C8" s="31">
        <v>2</v>
      </c>
      <c r="D8" t="s">
        <v>73</v>
      </c>
      <c r="E8" t="s">
        <v>72</v>
      </c>
      <c r="F8" t="s">
        <v>81</v>
      </c>
      <c r="I8" s="6">
        <v>6</v>
      </c>
      <c r="J8" s="6">
        <v>210</v>
      </c>
      <c r="K8" s="6">
        <f>2/5</f>
        <v>0.4</v>
      </c>
      <c r="L8" s="6">
        <v>1</v>
      </c>
      <c r="M8" s="12">
        <v>148</v>
      </c>
      <c r="N8" s="12">
        <v>119</v>
      </c>
      <c r="O8" s="12">
        <v>120</v>
      </c>
      <c r="P8" s="12">
        <v>273</v>
      </c>
      <c r="Q8" s="12">
        <v>207</v>
      </c>
      <c r="R8" s="12">
        <v>155</v>
      </c>
      <c r="S8" s="12">
        <v>210</v>
      </c>
      <c r="T8" s="12">
        <v>243</v>
      </c>
      <c r="U8" s="12">
        <v>171</v>
      </c>
      <c r="W8">
        <v>7</v>
      </c>
      <c r="X8">
        <f t="shared" si="0"/>
        <v>3</v>
      </c>
    </row>
    <row r="9" spans="1:24" x14ac:dyDescent="0.4">
      <c r="C9" s="31">
        <v>3</v>
      </c>
      <c r="D9" t="s">
        <v>94</v>
      </c>
      <c r="E9" t="s">
        <v>84</v>
      </c>
      <c r="F9" t="s">
        <v>90</v>
      </c>
      <c r="I9" s="6">
        <v>7</v>
      </c>
      <c r="J9" s="6">
        <f>297/2</f>
        <v>148.5</v>
      </c>
      <c r="K9" s="6">
        <v>0.5</v>
      </c>
      <c r="L9" s="6">
        <v>1</v>
      </c>
      <c r="M9" s="12">
        <v>175</v>
      </c>
      <c r="N9" s="12">
        <v>137.5</v>
      </c>
      <c r="O9" s="12">
        <v>174</v>
      </c>
      <c r="P9" s="12">
        <v>171</v>
      </c>
      <c r="Q9" s="12">
        <v>163</v>
      </c>
      <c r="R9" s="12">
        <v>180</v>
      </c>
      <c r="S9" s="12">
        <v>212</v>
      </c>
      <c r="T9" s="12">
        <v>241</v>
      </c>
      <c r="U9" s="12">
        <v>255</v>
      </c>
      <c r="W9">
        <v>8</v>
      </c>
      <c r="X9">
        <f t="shared" si="0"/>
        <v>14</v>
      </c>
    </row>
    <row r="10" spans="1:24" x14ac:dyDescent="0.4">
      <c r="C10" s="31">
        <v>4</v>
      </c>
      <c r="D10" s="32" t="s">
        <v>72</v>
      </c>
      <c r="E10" t="s">
        <v>79</v>
      </c>
      <c r="F10" t="s">
        <v>87</v>
      </c>
      <c r="I10" s="6">
        <v>8</v>
      </c>
      <c r="J10" s="6">
        <v>210</v>
      </c>
      <c r="K10" s="6">
        <v>0.5</v>
      </c>
      <c r="L10" s="6">
        <v>1</v>
      </c>
      <c r="M10" s="12">
        <v>146.5</v>
      </c>
      <c r="N10" s="12">
        <v>145</v>
      </c>
      <c r="O10" s="12">
        <v>150</v>
      </c>
      <c r="P10" s="12">
        <v>302</v>
      </c>
      <c r="Q10" s="12">
        <v>327</v>
      </c>
      <c r="R10" s="12">
        <v>256.5</v>
      </c>
      <c r="S10" s="12">
        <v>154</v>
      </c>
      <c r="T10" s="12">
        <v>174</v>
      </c>
      <c r="U10" s="12">
        <v>186</v>
      </c>
      <c r="W10">
        <v>9</v>
      </c>
      <c r="X10">
        <f>K25+24</f>
        <v>43</v>
      </c>
    </row>
    <row r="11" spans="1:24" x14ac:dyDescent="0.4">
      <c r="C11" s="31">
        <v>5</v>
      </c>
      <c r="D11" t="s">
        <v>74</v>
      </c>
      <c r="E11" t="s">
        <v>90</v>
      </c>
      <c r="F11" t="s">
        <v>76</v>
      </c>
      <c r="W11">
        <v>10</v>
      </c>
      <c r="X11">
        <f t="shared" ref="X11:X17" si="1">K26+24</f>
        <v>26</v>
      </c>
    </row>
    <row r="12" spans="1:24" x14ac:dyDescent="0.4">
      <c r="C12" s="31">
        <v>6</v>
      </c>
      <c r="D12" t="s">
        <v>75</v>
      </c>
      <c r="E12" t="s">
        <v>92</v>
      </c>
      <c r="F12" t="s">
        <v>83</v>
      </c>
      <c r="M12" s="35" t="s">
        <v>68</v>
      </c>
      <c r="N12" s="35"/>
      <c r="O12" s="35"/>
      <c r="P12" s="35" t="s">
        <v>69</v>
      </c>
      <c r="Q12" s="35"/>
      <c r="R12" s="35"/>
      <c r="S12" s="35" t="s">
        <v>70</v>
      </c>
      <c r="T12" s="35"/>
      <c r="U12" s="35"/>
      <c r="W12">
        <v>11</v>
      </c>
      <c r="X12">
        <f t="shared" si="1"/>
        <v>39</v>
      </c>
    </row>
    <row r="13" spans="1:24" x14ac:dyDescent="0.4">
      <c r="C13" s="31">
        <v>7</v>
      </c>
      <c r="D13" t="s">
        <v>76</v>
      </c>
      <c r="E13" t="s">
        <v>71</v>
      </c>
      <c r="F13" t="s">
        <v>79</v>
      </c>
      <c r="I13" s="6" t="s">
        <v>0</v>
      </c>
      <c r="J13" s="6" t="s">
        <v>8</v>
      </c>
      <c r="K13" s="6" t="s">
        <v>7</v>
      </c>
      <c r="L13" s="6" t="s">
        <v>9</v>
      </c>
      <c r="M13" t="s">
        <v>4</v>
      </c>
      <c r="N13" t="s">
        <v>5</v>
      </c>
      <c r="O13" t="s">
        <v>6</v>
      </c>
      <c r="P13" t="s">
        <v>4</v>
      </c>
      <c r="Q13" t="s">
        <v>5</v>
      </c>
      <c r="R13" t="s">
        <v>6</v>
      </c>
      <c r="S13" t="s">
        <v>4</v>
      </c>
      <c r="T13" t="s">
        <v>5</v>
      </c>
      <c r="U13" t="s">
        <v>6</v>
      </c>
      <c r="V13" t="s">
        <v>95</v>
      </c>
      <c r="W13">
        <v>12</v>
      </c>
      <c r="X13">
        <f t="shared" si="1"/>
        <v>38</v>
      </c>
    </row>
    <row r="14" spans="1:24" x14ac:dyDescent="0.4">
      <c r="C14" s="31">
        <v>8</v>
      </c>
      <c r="D14" t="s">
        <v>77</v>
      </c>
      <c r="E14" t="s">
        <v>74</v>
      </c>
      <c r="F14" t="s">
        <v>84</v>
      </c>
      <c r="I14" s="6">
        <v>1</v>
      </c>
      <c r="J14" s="6">
        <f>297/2</f>
        <v>148.5</v>
      </c>
      <c r="K14" s="6">
        <f>2/5</f>
        <v>0.4</v>
      </c>
      <c r="L14" s="6">
        <v>0.8</v>
      </c>
      <c r="M14">
        <v>255</v>
      </c>
      <c r="N14">
        <v>275</v>
      </c>
      <c r="O14">
        <v>210</v>
      </c>
      <c r="P14">
        <v>170</v>
      </c>
      <c r="Q14">
        <v>145</v>
      </c>
      <c r="R14">
        <v>160</v>
      </c>
      <c r="S14">
        <v>235</v>
      </c>
      <c r="T14">
        <v>290</v>
      </c>
      <c r="U14">
        <v>270</v>
      </c>
      <c r="V14">
        <f>AVERAGE(M14:U14)</f>
        <v>223.33333333333334</v>
      </c>
      <c r="W14">
        <v>13</v>
      </c>
      <c r="X14">
        <f t="shared" si="1"/>
        <v>30</v>
      </c>
    </row>
    <row r="15" spans="1:24" x14ac:dyDescent="0.4">
      <c r="C15" s="31">
        <v>9</v>
      </c>
      <c r="D15" t="s">
        <v>78</v>
      </c>
      <c r="E15" t="s">
        <v>87</v>
      </c>
      <c r="F15" t="s">
        <v>80</v>
      </c>
      <c r="I15" s="6">
        <v>2</v>
      </c>
      <c r="J15" s="6">
        <v>210</v>
      </c>
      <c r="K15" s="6">
        <f>2/5</f>
        <v>0.4</v>
      </c>
      <c r="L15" s="6">
        <v>0.8</v>
      </c>
      <c r="M15" s="12">
        <v>145</v>
      </c>
      <c r="N15" s="12">
        <v>240</v>
      </c>
      <c r="O15" s="12">
        <v>200</v>
      </c>
      <c r="P15" s="12">
        <v>100</v>
      </c>
      <c r="Q15" s="12">
        <v>70</v>
      </c>
      <c r="R15" s="12">
        <v>195</v>
      </c>
      <c r="S15" s="12">
        <v>100</v>
      </c>
      <c r="T15" s="12">
        <v>125</v>
      </c>
      <c r="U15" s="12">
        <v>170</v>
      </c>
      <c r="V15">
        <f t="shared" ref="V15:V21" si="2">AVERAGE(M15:U15)</f>
        <v>149.44444444444446</v>
      </c>
      <c r="W15">
        <v>14</v>
      </c>
      <c r="X15">
        <f t="shared" si="1"/>
        <v>31</v>
      </c>
    </row>
    <row r="16" spans="1:24" x14ac:dyDescent="0.4">
      <c r="C16" s="31">
        <v>10</v>
      </c>
      <c r="D16" t="s">
        <v>79</v>
      </c>
      <c r="E16" t="s">
        <v>83</v>
      </c>
      <c r="F16" t="s">
        <v>73</v>
      </c>
      <c r="I16" s="6">
        <v>3</v>
      </c>
      <c r="J16" s="6">
        <f>297/2</f>
        <v>148.5</v>
      </c>
      <c r="K16" s="6">
        <v>0.5</v>
      </c>
      <c r="L16" s="6">
        <v>0.8</v>
      </c>
      <c r="M16" s="12">
        <v>95</v>
      </c>
      <c r="N16" s="12">
        <v>85</v>
      </c>
      <c r="O16" s="12">
        <v>75</v>
      </c>
      <c r="P16" s="12">
        <v>150</v>
      </c>
      <c r="Q16" s="12">
        <v>130</v>
      </c>
      <c r="R16" s="12">
        <v>175</v>
      </c>
      <c r="S16" s="12">
        <v>110</v>
      </c>
      <c r="T16" s="12">
        <v>160</v>
      </c>
      <c r="U16" s="12">
        <v>130</v>
      </c>
      <c r="V16">
        <f t="shared" si="2"/>
        <v>123.33333333333333</v>
      </c>
      <c r="W16">
        <v>15</v>
      </c>
      <c r="X16">
        <f t="shared" si="1"/>
        <v>45</v>
      </c>
    </row>
    <row r="17" spans="3:24" x14ac:dyDescent="0.4">
      <c r="C17" s="31">
        <v>11</v>
      </c>
      <c r="D17" t="s">
        <v>80</v>
      </c>
      <c r="E17" t="s">
        <v>80</v>
      </c>
      <c r="F17" t="s">
        <v>94</v>
      </c>
      <c r="I17" s="6">
        <v>4</v>
      </c>
      <c r="J17" s="6">
        <v>210</v>
      </c>
      <c r="K17" s="6">
        <v>0.5</v>
      </c>
      <c r="L17" s="6">
        <v>0.8</v>
      </c>
      <c r="M17" s="12">
        <v>145</v>
      </c>
      <c r="N17" s="12">
        <v>220</v>
      </c>
      <c r="O17" s="12">
        <v>295</v>
      </c>
      <c r="P17" s="12">
        <v>130</v>
      </c>
      <c r="Q17" s="12">
        <v>130</v>
      </c>
      <c r="R17" s="12">
        <v>145</v>
      </c>
      <c r="S17" s="12">
        <v>90</v>
      </c>
      <c r="T17" s="12">
        <v>110</v>
      </c>
      <c r="U17" s="12">
        <v>100</v>
      </c>
      <c r="V17">
        <f t="shared" si="2"/>
        <v>151.66666666666666</v>
      </c>
      <c r="W17">
        <v>16</v>
      </c>
      <c r="X17">
        <f t="shared" si="1"/>
        <v>34</v>
      </c>
    </row>
    <row r="18" spans="3:24" x14ac:dyDescent="0.4">
      <c r="C18" s="31">
        <v>12</v>
      </c>
      <c r="D18" t="s">
        <v>81</v>
      </c>
      <c r="E18" t="s">
        <v>93</v>
      </c>
      <c r="F18" t="s">
        <v>91</v>
      </c>
      <c r="I18" s="6">
        <v>5</v>
      </c>
      <c r="J18" s="6">
        <f>297/2</f>
        <v>148.5</v>
      </c>
      <c r="K18" s="6">
        <f>2/5</f>
        <v>0.4</v>
      </c>
      <c r="L18" s="6">
        <v>1</v>
      </c>
      <c r="M18" s="12">
        <v>245</v>
      </c>
      <c r="N18" s="12">
        <v>225</v>
      </c>
      <c r="O18" s="12">
        <v>335</v>
      </c>
      <c r="P18" s="12">
        <v>295</v>
      </c>
      <c r="Q18" s="12">
        <v>280</v>
      </c>
      <c r="R18" s="12">
        <v>220</v>
      </c>
      <c r="S18" s="12">
        <v>180</v>
      </c>
      <c r="T18" s="12">
        <v>120</v>
      </c>
      <c r="U18" s="12">
        <v>135</v>
      </c>
      <c r="V18">
        <f t="shared" si="2"/>
        <v>226.11111111111111</v>
      </c>
      <c r="W18">
        <v>17</v>
      </c>
      <c r="X18">
        <f>L25+24*2</f>
        <v>61</v>
      </c>
    </row>
    <row r="19" spans="3:24" x14ac:dyDescent="0.4">
      <c r="C19" s="31">
        <v>13</v>
      </c>
      <c r="D19" t="s">
        <v>82</v>
      </c>
      <c r="E19" t="s">
        <v>89</v>
      </c>
      <c r="F19" t="s">
        <v>86</v>
      </c>
      <c r="I19" s="6">
        <v>6</v>
      </c>
      <c r="J19" s="6">
        <v>210</v>
      </c>
      <c r="K19" s="6">
        <f>2/5</f>
        <v>0.4</v>
      </c>
      <c r="L19" s="6">
        <v>1</v>
      </c>
      <c r="M19" s="12">
        <v>70</v>
      </c>
      <c r="N19" s="12">
        <v>140</v>
      </c>
      <c r="O19" s="12">
        <v>120</v>
      </c>
      <c r="P19" s="12">
        <v>170</v>
      </c>
      <c r="Q19" s="12">
        <v>255</v>
      </c>
      <c r="R19" s="12">
        <v>150</v>
      </c>
      <c r="S19" s="12">
        <v>130</v>
      </c>
      <c r="T19" s="12">
        <v>110</v>
      </c>
      <c r="U19" s="12">
        <v>220</v>
      </c>
      <c r="V19">
        <f t="shared" si="2"/>
        <v>151.66666666666666</v>
      </c>
      <c r="W19">
        <v>18</v>
      </c>
      <c r="X19">
        <f t="shared" ref="X19:X25" si="3">L26+24*2</f>
        <v>67</v>
      </c>
    </row>
    <row r="20" spans="3:24" x14ac:dyDescent="0.4">
      <c r="C20" s="31">
        <v>14</v>
      </c>
      <c r="D20" t="s">
        <v>83</v>
      </c>
      <c r="E20" t="s">
        <v>78</v>
      </c>
      <c r="F20" t="s">
        <v>71</v>
      </c>
      <c r="I20" s="6">
        <v>7</v>
      </c>
      <c r="J20" s="6">
        <f>297/2</f>
        <v>148.5</v>
      </c>
      <c r="K20" s="6">
        <v>0.5</v>
      </c>
      <c r="L20" s="6">
        <v>1</v>
      </c>
      <c r="M20" s="12">
        <v>95</v>
      </c>
      <c r="N20" s="12">
        <v>245</v>
      </c>
      <c r="O20" s="12">
        <v>140</v>
      </c>
      <c r="P20" s="12">
        <v>135</v>
      </c>
      <c r="Q20" s="12">
        <v>155</v>
      </c>
      <c r="R20" s="12">
        <v>210</v>
      </c>
      <c r="S20" s="12">
        <v>70</v>
      </c>
      <c r="T20" s="12">
        <v>90</v>
      </c>
      <c r="U20" s="12">
        <v>135</v>
      </c>
      <c r="V20">
        <f t="shared" si="2"/>
        <v>141.66666666666666</v>
      </c>
      <c r="W20">
        <v>19</v>
      </c>
      <c r="X20">
        <f t="shared" si="3"/>
        <v>50</v>
      </c>
    </row>
    <row r="21" spans="3:24" x14ac:dyDescent="0.4">
      <c r="C21" s="31">
        <v>15</v>
      </c>
      <c r="D21" t="s">
        <v>84</v>
      </c>
      <c r="E21" t="s">
        <v>81</v>
      </c>
      <c r="F21" t="s">
        <v>92</v>
      </c>
      <c r="I21" s="6">
        <v>8</v>
      </c>
      <c r="J21" s="6">
        <v>210</v>
      </c>
      <c r="K21" s="6">
        <v>0.5</v>
      </c>
      <c r="L21" s="6">
        <v>1</v>
      </c>
      <c r="M21" s="12">
        <v>150</v>
      </c>
      <c r="N21" s="12">
        <v>110</v>
      </c>
      <c r="O21" s="12">
        <v>160</v>
      </c>
      <c r="P21" s="12">
        <v>190</v>
      </c>
      <c r="Q21" s="12">
        <v>275</v>
      </c>
      <c r="R21" s="12">
        <v>260</v>
      </c>
      <c r="S21" s="12">
        <v>115</v>
      </c>
      <c r="T21" s="12">
        <v>180</v>
      </c>
      <c r="U21" s="12">
        <v>180</v>
      </c>
      <c r="V21">
        <f t="shared" si="2"/>
        <v>180</v>
      </c>
      <c r="W21">
        <v>20</v>
      </c>
      <c r="X21">
        <f t="shared" si="3"/>
        <v>64</v>
      </c>
    </row>
    <row r="22" spans="3:24" x14ac:dyDescent="0.4">
      <c r="C22" s="31">
        <v>16</v>
      </c>
      <c r="D22" t="s">
        <v>85</v>
      </c>
      <c r="E22" t="s">
        <v>85</v>
      </c>
      <c r="F22" t="s">
        <v>78</v>
      </c>
      <c r="W22">
        <v>21</v>
      </c>
      <c r="X22">
        <f t="shared" si="3"/>
        <v>63</v>
      </c>
    </row>
    <row r="23" spans="3:24" x14ac:dyDescent="0.4">
      <c r="C23" s="31">
        <v>17</v>
      </c>
      <c r="D23" t="s">
        <v>86</v>
      </c>
      <c r="E23" t="s">
        <v>76</v>
      </c>
      <c r="F23" t="s">
        <v>77</v>
      </c>
      <c r="J23" s="35" t="s">
        <v>68</v>
      </c>
      <c r="K23" s="35"/>
      <c r="L23" s="35"/>
      <c r="M23" s="35" t="s">
        <v>69</v>
      </c>
      <c r="N23" s="35"/>
      <c r="O23" s="35"/>
      <c r="P23" s="35" t="s">
        <v>70</v>
      </c>
      <c r="Q23" s="35"/>
      <c r="R23" s="35"/>
      <c r="W23">
        <v>22</v>
      </c>
      <c r="X23">
        <f t="shared" si="3"/>
        <v>62</v>
      </c>
    </row>
    <row r="24" spans="3:24" x14ac:dyDescent="0.4">
      <c r="C24" s="31">
        <v>18</v>
      </c>
      <c r="D24" t="s">
        <v>87</v>
      </c>
      <c r="E24" t="s">
        <v>73</v>
      </c>
      <c r="F24" t="s">
        <v>82</v>
      </c>
      <c r="I24" s="6" t="s">
        <v>0</v>
      </c>
      <c r="J24" t="s">
        <v>4</v>
      </c>
      <c r="K24" t="s">
        <v>5</v>
      </c>
      <c r="L24" t="s">
        <v>6</v>
      </c>
      <c r="M24" t="s">
        <v>4</v>
      </c>
      <c r="N24" t="s">
        <v>5</v>
      </c>
      <c r="O24" t="s">
        <v>6</v>
      </c>
      <c r="P24" t="s">
        <v>4</v>
      </c>
      <c r="Q24" t="s">
        <v>5</v>
      </c>
      <c r="R24" t="s">
        <v>6</v>
      </c>
      <c r="W24">
        <v>23</v>
      </c>
      <c r="X24">
        <f t="shared" si="3"/>
        <v>59</v>
      </c>
    </row>
    <row r="25" spans="3:24" x14ac:dyDescent="0.4">
      <c r="C25" s="31">
        <v>19</v>
      </c>
      <c r="D25" t="s">
        <v>88</v>
      </c>
      <c r="E25" s="32" t="s">
        <v>86</v>
      </c>
      <c r="F25" t="s">
        <v>72</v>
      </c>
      <c r="I25" s="6">
        <v>1</v>
      </c>
      <c r="J25">
        <v>17</v>
      </c>
      <c r="K25">
        <v>19</v>
      </c>
      <c r="L25">
        <v>13</v>
      </c>
      <c r="M25">
        <v>22</v>
      </c>
      <c r="N25">
        <v>24</v>
      </c>
      <c r="O25">
        <v>12</v>
      </c>
      <c r="P25">
        <v>16</v>
      </c>
      <c r="Q25">
        <v>16</v>
      </c>
      <c r="R25">
        <v>20</v>
      </c>
      <c r="W25">
        <v>24</v>
      </c>
      <c r="X25">
        <f t="shared" si="3"/>
        <v>54</v>
      </c>
    </row>
    <row r="26" spans="3:24" x14ac:dyDescent="0.4">
      <c r="C26" s="31">
        <v>20</v>
      </c>
      <c r="D26" t="s">
        <v>89</v>
      </c>
      <c r="E26" t="s">
        <v>88</v>
      </c>
      <c r="F26" t="s">
        <v>85</v>
      </c>
      <c r="I26" s="6">
        <v>2</v>
      </c>
      <c r="J26" s="12">
        <v>4</v>
      </c>
      <c r="K26" s="12">
        <v>2</v>
      </c>
      <c r="L26" s="12">
        <v>19</v>
      </c>
      <c r="M26" s="12">
        <v>5</v>
      </c>
      <c r="N26" s="12">
        <v>8</v>
      </c>
      <c r="O26" s="12">
        <v>22</v>
      </c>
      <c r="P26" s="12">
        <v>10</v>
      </c>
      <c r="Q26" s="12">
        <v>4</v>
      </c>
      <c r="R26" s="12">
        <v>7</v>
      </c>
      <c r="W26">
        <v>25</v>
      </c>
      <c r="X26">
        <f>M25</f>
        <v>22</v>
      </c>
    </row>
    <row r="27" spans="3:24" x14ac:dyDescent="0.4">
      <c r="C27" s="31">
        <v>21</v>
      </c>
      <c r="D27" t="s">
        <v>90</v>
      </c>
      <c r="E27" t="s">
        <v>94</v>
      </c>
      <c r="F27" t="s">
        <v>75</v>
      </c>
      <c r="I27" s="6">
        <v>3</v>
      </c>
      <c r="J27" s="12">
        <v>12</v>
      </c>
      <c r="K27" s="12">
        <v>15</v>
      </c>
      <c r="L27" s="12">
        <v>2</v>
      </c>
      <c r="M27" s="12">
        <v>21</v>
      </c>
      <c r="N27" s="12">
        <v>5</v>
      </c>
      <c r="O27" s="12">
        <v>3</v>
      </c>
      <c r="P27" s="12">
        <v>11</v>
      </c>
      <c r="Q27" s="12">
        <v>11</v>
      </c>
      <c r="R27" s="12">
        <v>9</v>
      </c>
      <c r="W27">
        <v>26</v>
      </c>
      <c r="X27">
        <f t="shared" ref="X27:X33" si="4">M26</f>
        <v>5</v>
      </c>
    </row>
    <row r="28" spans="3:24" x14ac:dyDescent="0.4">
      <c r="C28" s="31">
        <v>22</v>
      </c>
      <c r="D28" t="s">
        <v>91</v>
      </c>
      <c r="E28" t="s">
        <v>82</v>
      </c>
      <c r="F28" t="s">
        <v>74</v>
      </c>
      <c r="I28" s="6">
        <v>4</v>
      </c>
      <c r="J28" s="12">
        <v>9</v>
      </c>
      <c r="K28" s="12">
        <v>14</v>
      </c>
      <c r="L28" s="12">
        <v>16</v>
      </c>
      <c r="M28" s="12">
        <v>8</v>
      </c>
      <c r="N28" s="12">
        <v>1</v>
      </c>
      <c r="O28" s="12">
        <v>17</v>
      </c>
      <c r="P28" s="12">
        <v>24</v>
      </c>
      <c r="Q28" s="12">
        <v>12</v>
      </c>
      <c r="R28" s="12">
        <v>1</v>
      </c>
      <c r="W28">
        <v>27</v>
      </c>
      <c r="X28">
        <f t="shared" si="4"/>
        <v>21</v>
      </c>
    </row>
    <row r="29" spans="3:24" x14ac:dyDescent="0.4">
      <c r="C29" s="31">
        <v>23</v>
      </c>
      <c r="D29" t="s">
        <v>92</v>
      </c>
      <c r="E29" t="s">
        <v>75</v>
      </c>
      <c r="F29" t="s">
        <v>89</v>
      </c>
      <c r="I29" s="6">
        <v>5</v>
      </c>
      <c r="J29" s="12">
        <v>23</v>
      </c>
      <c r="K29" s="12">
        <v>6</v>
      </c>
      <c r="L29" s="12">
        <v>15</v>
      </c>
      <c r="M29" s="12">
        <v>19</v>
      </c>
      <c r="N29" s="12">
        <v>20</v>
      </c>
      <c r="O29" s="12">
        <v>24</v>
      </c>
      <c r="P29" s="12">
        <v>18</v>
      </c>
      <c r="Q29" s="12">
        <v>9</v>
      </c>
      <c r="R29" s="12">
        <v>4</v>
      </c>
      <c r="W29">
        <v>28</v>
      </c>
      <c r="X29">
        <f t="shared" si="4"/>
        <v>8</v>
      </c>
    </row>
    <row r="30" spans="3:24" x14ac:dyDescent="0.4">
      <c r="C30" s="31">
        <v>24</v>
      </c>
      <c r="D30" t="s">
        <v>93</v>
      </c>
      <c r="E30" t="s">
        <v>91</v>
      </c>
      <c r="F30" t="s">
        <v>88</v>
      </c>
      <c r="I30" s="6">
        <v>6</v>
      </c>
      <c r="J30" s="12">
        <v>1</v>
      </c>
      <c r="K30" s="12">
        <v>7</v>
      </c>
      <c r="L30" s="12">
        <v>14</v>
      </c>
      <c r="M30" s="12">
        <v>20</v>
      </c>
      <c r="N30" s="12">
        <v>13</v>
      </c>
      <c r="O30" s="12">
        <v>23</v>
      </c>
      <c r="P30" s="12">
        <v>13</v>
      </c>
      <c r="Q30" s="12">
        <v>22</v>
      </c>
      <c r="R30" s="12">
        <v>18</v>
      </c>
      <c r="W30">
        <v>29</v>
      </c>
      <c r="X30">
        <f t="shared" si="4"/>
        <v>19</v>
      </c>
    </row>
    <row r="31" spans="3:24" x14ac:dyDescent="0.4">
      <c r="I31" s="6">
        <v>7</v>
      </c>
      <c r="J31" s="12">
        <v>3</v>
      </c>
      <c r="K31" s="12">
        <v>21</v>
      </c>
      <c r="L31" s="12">
        <v>11</v>
      </c>
      <c r="M31" s="12">
        <v>7</v>
      </c>
      <c r="N31" s="12">
        <v>17</v>
      </c>
      <c r="O31" s="12">
        <v>5</v>
      </c>
      <c r="P31" s="12">
        <v>15</v>
      </c>
      <c r="Q31" s="12">
        <v>3</v>
      </c>
      <c r="R31" s="12">
        <v>8</v>
      </c>
      <c r="W31">
        <v>30</v>
      </c>
      <c r="X31">
        <f t="shared" si="4"/>
        <v>20</v>
      </c>
    </row>
    <row r="32" spans="3:24" x14ac:dyDescent="0.4">
      <c r="I32" s="6">
        <v>8</v>
      </c>
      <c r="J32" s="12">
        <v>14</v>
      </c>
      <c r="K32" s="12">
        <v>10</v>
      </c>
      <c r="L32" s="12">
        <v>6</v>
      </c>
      <c r="M32" s="12">
        <v>2</v>
      </c>
      <c r="N32" s="12">
        <v>18</v>
      </c>
      <c r="O32" s="12">
        <v>10</v>
      </c>
      <c r="P32" s="12">
        <v>6</v>
      </c>
      <c r="Q32" s="12">
        <v>23</v>
      </c>
      <c r="R32" s="12">
        <v>21</v>
      </c>
      <c r="W32">
        <v>31</v>
      </c>
      <c r="X32">
        <f t="shared" si="4"/>
        <v>7</v>
      </c>
    </row>
    <row r="33" spans="23:24" x14ac:dyDescent="0.4">
      <c r="W33">
        <v>32</v>
      </c>
      <c r="X33">
        <f t="shared" si="4"/>
        <v>2</v>
      </c>
    </row>
    <row r="34" spans="23:24" x14ac:dyDescent="0.4">
      <c r="W34">
        <v>33</v>
      </c>
      <c r="X34">
        <f>N25+24</f>
        <v>48</v>
      </c>
    </row>
    <row r="35" spans="23:24" x14ac:dyDescent="0.4">
      <c r="W35">
        <v>34</v>
      </c>
      <c r="X35">
        <f t="shared" ref="X35:X41" si="5">N26+24</f>
        <v>32</v>
      </c>
    </row>
    <row r="36" spans="23:24" x14ac:dyDescent="0.4">
      <c r="W36">
        <v>35</v>
      </c>
      <c r="X36">
        <f t="shared" si="5"/>
        <v>29</v>
      </c>
    </row>
    <row r="37" spans="23:24" x14ac:dyDescent="0.4">
      <c r="W37">
        <v>36</v>
      </c>
      <c r="X37">
        <f t="shared" si="5"/>
        <v>25</v>
      </c>
    </row>
    <row r="38" spans="23:24" x14ac:dyDescent="0.4">
      <c r="W38">
        <v>37</v>
      </c>
      <c r="X38">
        <f t="shared" si="5"/>
        <v>44</v>
      </c>
    </row>
    <row r="39" spans="23:24" x14ac:dyDescent="0.4">
      <c r="W39">
        <v>38</v>
      </c>
      <c r="X39">
        <f t="shared" si="5"/>
        <v>37</v>
      </c>
    </row>
    <row r="40" spans="23:24" x14ac:dyDescent="0.4">
      <c r="W40">
        <v>39</v>
      </c>
      <c r="X40">
        <f t="shared" si="5"/>
        <v>41</v>
      </c>
    </row>
    <row r="41" spans="23:24" x14ac:dyDescent="0.4">
      <c r="W41">
        <v>40</v>
      </c>
      <c r="X41">
        <f t="shared" si="5"/>
        <v>42</v>
      </c>
    </row>
    <row r="42" spans="23:24" x14ac:dyDescent="0.4">
      <c r="W42">
        <v>41</v>
      </c>
      <c r="X42">
        <f>O25+24*2</f>
        <v>60</v>
      </c>
    </row>
    <row r="43" spans="23:24" x14ac:dyDescent="0.4">
      <c r="W43">
        <v>42</v>
      </c>
      <c r="X43">
        <f t="shared" ref="X43:X49" si="6">O26+24*2</f>
        <v>70</v>
      </c>
    </row>
    <row r="44" spans="23:24" x14ac:dyDescent="0.4">
      <c r="W44">
        <v>43</v>
      </c>
      <c r="X44">
        <f t="shared" si="6"/>
        <v>51</v>
      </c>
    </row>
    <row r="45" spans="23:24" x14ac:dyDescent="0.4">
      <c r="W45">
        <v>44</v>
      </c>
      <c r="X45">
        <f t="shared" si="6"/>
        <v>65</v>
      </c>
    </row>
    <row r="46" spans="23:24" x14ac:dyDescent="0.4">
      <c r="W46">
        <v>45</v>
      </c>
      <c r="X46">
        <f t="shared" si="6"/>
        <v>72</v>
      </c>
    </row>
    <row r="47" spans="23:24" x14ac:dyDescent="0.4">
      <c r="W47">
        <v>46</v>
      </c>
      <c r="X47">
        <f t="shared" si="6"/>
        <v>71</v>
      </c>
    </row>
    <row r="48" spans="23:24" x14ac:dyDescent="0.4">
      <c r="W48">
        <v>47</v>
      </c>
      <c r="X48">
        <f t="shared" si="6"/>
        <v>53</v>
      </c>
    </row>
    <row r="49" spans="23:24" x14ac:dyDescent="0.4">
      <c r="W49">
        <v>48</v>
      </c>
      <c r="X49">
        <f t="shared" si="6"/>
        <v>58</v>
      </c>
    </row>
    <row r="50" spans="23:24" x14ac:dyDescent="0.4">
      <c r="W50">
        <v>49</v>
      </c>
      <c r="X50">
        <f>P25</f>
        <v>16</v>
      </c>
    </row>
    <row r="51" spans="23:24" x14ac:dyDescent="0.4">
      <c r="W51">
        <v>50</v>
      </c>
      <c r="X51">
        <f t="shared" ref="X51:X57" si="7">P26</f>
        <v>10</v>
      </c>
    </row>
    <row r="52" spans="23:24" x14ac:dyDescent="0.4">
      <c r="W52">
        <v>51</v>
      </c>
      <c r="X52">
        <f t="shared" si="7"/>
        <v>11</v>
      </c>
    </row>
    <row r="53" spans="23:24" x14ac:dyDescent="0.4">
      <c r="W53">
        <v>52</v>
      </c>
      <c r="X53">
        <f t="shared" si="7"/>
        <v>24</v>
      </c>
    </row>
    <row r="54" spans="23:24" x14ac:dyDescent="0.4">
      <c r="W54">
        <v>53</v>
      </c>
      <c r="X54">
        <f t="shared" si="7"/>
        <v>18</v>
      </c>
    </row>
    <row r="55" spans="23:24" x14ac:dyDescent="0.4">
      <c r="W55">
        <v>54</v>
      </c>
      <c r="X55">
        <f t="shared" si="7"/>
        <v>13</v>
      </c>
    </row>
    <row r="56" spans="23:24" x14ac:dyDescent="0.4">
      <c r="W56">
        <v>55</v>
      </c>
      <c r="X56">
        <f t="shared" si="7"/>
        <v>15</v>
      </c>
    </row>
    <row r="57" spans="23:24" x14ac:dyDescent="0.4">
      <c r="W57">
        <v>56</v>
      </c>
      <c r="X57">
        <f t="shared" si="7"/>
        <v>6</v>
      </c>
    </row>
    <row r="58" spans="23:24" x14ac:dyDescent="0.4">
      <c r="W58">
        <v>57</v>
      </c>
      <c r="X58">
        <f>Q25+24</f>
        <v>40</v>
      </c>
    </row>
    <row r="59" spans="23:24" x14ac:dyDescent="0.4">
      <c r="W59">
        <v>58</v>
      </c>
      <c r="X59">
        <f t="shared" ref="X59:X65" si="8">Q26+24</f>
        <v>28</v>
      </c>
    </row>
    <row r="60" spans="23:24" x14ac:dyDescent="0.4">
      <c r="W60">
        <v>59</v>
      </c>
      <c r="X60">
        <f t="shared" si="8"/>
        <v>35</v>
      </c>
    </row>
    <row r="61" spans="23:24" x14ac:dyDescent="0.4">
      <c r="W61">
        <v>60</v>
      </c>
      <c r="X61">
        <f t="shared" si="8"/>
        <v>36</v>
      </c>
    </row>
    <row r="62" spans="23:24" x14ac:dyDescent="0.4">
      <c r="W62">
        <v>61</v>
      </c>
      <c r="X62">
        <f t="shared" si="8"/>
        <v>33</v>
      </c>
    </row>
    <row r="63" spans="23:24" x14ac:dyDescent="0.4">
      <c r="W63">
        <v>62</v>
      </c>
      <c r="X63">
        <f t="shared" si="8"/>
        <v>46</v>
      </c>
    </row>
    <row r="64" spans="23:24" x14ac:dyDescent="0.4">
      <c r="W64">
        <v>63</v>
      </c>
      <c r="X64">
        <f t="shared" si="8"/>
        <v>27</v>
      </c>
    </row>
    <row r="65" spans="23:24" x14ac:dyDescent="0.4">
      <c r="W65">
        <v>64</v>
      </c>
      <c r="X65">
        <f t="shared" si="8"/>
        <v>47</v>
      </c>
    </row>
    <row r="66" spans="23:24" x14ac:dyDescent="0.4">
      <c r="W66">
        <v>65</v>
      </c>
      <c r="X66">
        <f>R25+24*2</f>
        <v>68</v>
      </c>
    </row>
    <row r="67" spans="23:24" x14ac:dyDescent="0.4">
      <c r="W67">
        <v>66</v>
      </c>
      <c r="X67">
        <f t="shared" ref="X67:X73" si="9">R26+24*2</f>
        <v>55</v>
      </c>
    </row>
    <row r="68" spans="23:24" x14ac:dyDescent="0.4">
      <c r="W68">
        <v>67</v>
      </c>
      <c r="X68">
        <f t="shared" si="9"/>
        <v>57</v>
      </c>
    </row>
    <row r="69" spans="23:24" x14ac:dyDescent="0.4">
      <c r="W69">
        <v>68</v>
      </c>
      <c r="X69">
        <f t="shared" si="9"/>
        <v>49</v>
      </c>
    </row>
    <row r="70" spans="23:24" x14ac:dyDescent="0.4">
      <c r="W70">
        <v>69</v>
      </c>
      <c r="X70">
        <f t="shared" si="9"/>
        <v>52</v>
      </c>
    </row>
    <row r="71" spans="23:24" x14ac:dyDescent="0.4">
      <c r="W71">
        <v>70</v>
      </c>
      <c r="X71">
        <f t="shared" si="9"/>
        <v>66</v>
      </c>
    </row>
    <row r="72" spans="23:24" x14ac:dyDescent="0.4">
      <c r="W72">
        <v>71</v>
      </c>
      <c r="X72">
        <f t="shared" si="9"/>
        <v>56</v>
      </c>
    </row>
    <row r="73" spans="23:24" x14ac:dyDescent="0.4">
      <c r="W73">
        <v>72</v>
      </c>
      <c r="X73">
        <f t="shared" si="9"/>
        <v>69</v>
      </c>
    </row>
  </sheetData>
  <sortState xmlns:xlrd2="http://schemas.microsoft.com/office/spreadsheetml/2017/richdata2" ref="D7:E30">
    <sortCondition ref="E7:E30"/>
  </sortState>
  <mergeCells count="9">
    <mergeCell ref="J23:L23"/>
    <mergeCell ref="M23:O23"/>
    <mergeCell ref="P23:R23"/>
    <mergeCell ref="M12:O12"/>
    <mergeCell ref="P12:R12"/>
    <mergeCell ref="S12:U12"/>
    <mergeCell ref="M1:O1"/>
    <mergeCell ref="P1:R1"/>
    <mergeCell ref="S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experiment design</vt:lpstr>
      <vt:lpstr>experiment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2024-06-02T13:06:01Z</dcterms:created>
  <dcterms:modified xsi:type="dcterms:W3CDTF">2024-06-04T16:23:17Z</dcterms:modified>
</cp:coreProperties>
</file>