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考古作業\HW11\"/>
    </mc:Choice>
  </mc:AlternateContent>
  <xr:revisionPtr revIDLastSave="0" documentId="13_ncr:1_{05EA3D63-0687-4955-A3B1-71FA711A98A3}" xr6:coauthVersionLast="47" xr6:coauthVersionMax="47" xr10:uidLastSave="{00000000-0000-0000-0000-000000000000}"/>
  <bookViews>
    <workbookView xWindow="7245" yWindow="720" windowWidth="21600" windowHeight="11295" activeTab="1" xr2:uid="{00000000-000D-0000-FFFF-FFFF00000000}"/>
  </bookViews>
  <sheets>
    <sheet name="工作表1" sheetId="30" r:id="rId1"/>
    <sheet name="3" sheetId="4" r:id="rId2"/>
    <sheet name="工作表8" sheetId="27" r:id="rId3"/>
    <sheet name="4" sheetId="8" r:id="rId4"/>
    <sheet name="4-regression" sheetId="15" r:id="rId5"/>
    <sheet name="4-regression-SN" sheetId="18" r:id="rId6"/>
    <sheet name="工作表4" sheetId="9" r:id="rId7"/>
    <sheet name="2" sheetId="28" r:id="rId8"/>
    <sheet name="2_nominal SN regression" sheetId="29" r:id="rId9"/>
  </sheets>
  <externalReferences>
    <externalReference r:id="rId10"/>
  </externalReferences>
  <definedNames>
    <definedName name="_xlcn.WorksheetConnection_1A46C50" hidden="1">'[1]1'!$A$46:$C$50</definedName>
    <definedName name="solver_adj" localSheetId="7" hidden="1">'2'!$C$268:$E$268</definedName>
    <definedName name="solver_adj" localSheetId="1" hidden="1">'3'!$X$128:$AA$128</definedName>
    <definedName name="solver_adj" localSheetId="3" hidden="1">'4'!$Q$57:$Q$59</definedName>
    <definedName name="solver_cvg" localSheetId="7" hidden="1">0.0001</definedName>
    <definedName name="solver_cvg" localSheetId="1" hidden="1">0.0001</definedName>
    <definedName name="solver_cvg" localSheetId="3" hidden="1">0.0001</definedName>
    <definedName name="solver_drv" localSheetId="7" hidden="1">1</definedName>
    <definedName name="solver_drv" localSheetId="1" hidden="1">1</definedName>
    <definedName name="solver_drv" localSheetId="3" hidden="1">1</definedName>
    <definedName name="solver_eng" localSheetId="7" hidden="1">1</definedName>
    <definedName name="solver_eng" localSheetId="1" hidden="1">1</definedName>
    <definedName name="solver_eng" localSheetId="3" hidden="1">1</definedName>
    <definedName name="solver_eng" localSheetId="6" hidden="1">1</definedName>
    <definedName name="solver_est" localSheetId="7" hidden="1">1</definedName>
    <definedName name="solver_est" localSheetId="1" hidden="1">1</definedName>
    <definedName name="solver_est" localSheetId="3" hidden="1">1</definedName>
    <definedName name="solver_itr" localSheetId="7" hidden="1">2147483647</definedName>
    <definedName name="solver_itr" localSheetId="1" hidden="1">2147483647</definedName>
    <definedName name="solver_itr" localSheetId="3" hidden="1">2147483647</definedName>
    <definedName name="solver_lhs1" localSheetId="7" hidden="1">'2'!$C$268</definedName>
    <definedName name="solver_lhs1" localSheetId="1" hidden="1">'3'!$AA$128</definedName>
    <definedName name="solver_lhs1" localSheetId="3" hidden="1">'4'!$Q$57</definedName>
    <definedName name="solver_lhs2" localSheetId="7" hidden="1">'2'!$C$268</definedName>
    <definedName name="solver_lhs2" localSheetId="1" hidden="1">'3'!$AA$128</definedName>
    <definedName name="solver_lhs2" localSheetId="3" hidden="1">'4'!$Q$57</definedName>
    <definedName name="solver_lhs3" localSheetId="7" hidden="1">'2'!$D$268</definedName>
    <definedName name="solver_lhs3" localSheetId="1" hidden="1">'3'!$X$128</definedName>
    <definedName name="solver_lhs3" localSheetId="3" hidden="1">'4'!$Q$58</definedName>
    <definedName name="solver_lhs4" localSheetId="7" hidden="1">'2'!$D$268</definedName>
    <definedName name="solver_lhs4" localSheetId="1" hidden="1">'3'!$X$128</definedName>
    <definedName name="solver_lhs4" localSheetId="3" hidden="1">'4'!$Q$58</definedName>
    <definedName name="solver_lhs5" localSheetId="7" hidden="1">'2'!$E$268</definedName>
    <definedName name="solver_lhs5" localSheetId="1" hidden="1">'3'!$Y$128</definedName>
    <definedName name="solver_lhs5" localSheetId="3" hidden="1">'4'!$Q$59</definedName>
    <definedName name="solver_lhs6" localSheetId="7" hidden="1">'2'!$E$268</definedName>
    <definedName name="solver_lhs6" localSheetId="1" hidden="1">'3'!$Y$128</definedName>
    <definedName name="solver_lhs6" localSheetId="3" hidden="1">'4'!$Q$59</definedName>
    <definedName name="solver_lhs7" localSheetId="1" hidden="1">'3'!$Z$128</definedName>
    <definedName name="solver_lhs8" localSheetId="1" hidden="1">'3'!$Z$128</definedName>
    <definedName name="solver_mip" localSheetId="7" hidden="1">2147483647</definedName>
    <definedName name="solver_mip" localSheetId="1" hidden="1">2147483647</definedName>
    <definedName name="solver_mip" localSheetId="3" hidden="1">2147483647</definedName>
    <definedName name="solver_mni" localSheetId="7" hidden="1">30</definedName>
    <definedName name="solver_mni" localSheetId="1" hidden="1">30</definedName>
    <definedName name="solver_mni" localSheetId="3" hidden="1">30</definedName>
    <definedName name="solver_mrt" localSheetId="7" hidden="1">0.075</definedName>
    <definedName name="solver_mrt" localSheetId="1" hidden="1">0.075</definedName>
    <definedName name="solver_mrt" localSheetId="3" hidden="1">0.075</definedName>
    <definedName name="solver_msl" localSheetId="7" hidden="1">2</definedName>
    <definedName name="solver_msl" localSheetId="1" hidden="1">2</definedName>
    <definedName name="solver_msl" localSheetId="3" hidden="1">2</definedName>
    <definedName name="solver_neg" localSheetId="7" hidden="1">1</definedName>
    <definedName name="solver_neg" localSheetId="1" hidden="1">1</definedName>
    <definedName name="solver_neg" localSheetId="3" hidden="1">1</definedName>
    <definedName name="solver_neg" localSheetId="6" hidden="1">1</definedName>
    <definedName name="solver_nod" localSheetId="7" hidden="1">2147483647</definedName>
    <definedName name="solver_nod" localSheetId="1" hidden="1">2147483647</definedName>
    <definedName name="solver_nod" localSheetId="3" hidden="1">2147483647</definedName>
    <definedName name="solver_num" localSheetId="7" hidden="1">6</definedName>
    <definedName name="solver_num" localSheetId="1" hidden="1">8</definedName>
    <definedName name="solver_num" localSheetId="3" hidden="1">6</definedName>
    <definedName name="solver_num" localSheetId="6" hidden="1">0</definedName>
    <definedName name="solver_nwt" localSheetId="7" hidden="1">1</definedName>
    <definedName name="solver_nwt" localSheetId="1" hidden="1">1</definedName>
    <definedName name="solver_nwt" localSheetId="3" hidden="1">1</definedName>
    <definedName name="solver_opt" localSheetId="7" hidden="1">'2'!$C$269</definedName>
    <definedName name="solver_opt" localSheetId="1" hidden="1">'3'!$Y$129</definedName>
    <definedName name="solver_opt" localSheetId="3" hidden="1">'4'!$Q$60</definedName>
    <definedName name="solver_opt" localSheetId="6" hidden="1">工作表4!$L$16</definedName>
    <definedName name="solver_pre" localSheetId="7" hidden="1">0.000001</definedName>
    <definedName name="solver_pre" localSheetId="1" hidden="1">0.000001</definedName>
    <definedName name="solver_pre" localSheetId="3" hidden="1">0.000001</definedName>
    <definedName name="solver_rbv" localSheetId="7" hidden="1">1</definedName>
    <definedName name="solver_rbv" localSheetId="1" hidden="1">1</definedName>
    <definedName name="solver_rbv" localSheetId="3" hidden="1">1</definedName>
    <definedName name="solver_rel1" localSheetId="7" hidden="1">1</definedName>
    <definedName name="solver_rel1" localSheetId="1" hidden="1">1</definedName>
    <definedName name="solver_rel1" localSheetId="3" hidden="1">1</definedName>
    <definedName name="solver_rel2" localSheetId="7" hidden="1">3</definedName>
    <definedName name="solver_rel2" localSheetId="1" hidden="1">3</definedName>
    <definedName name="solver_rel2" localSheetId="3" hidden="1">3</definedName>
    <definedName name="solver_rel3" localSheetId="7" hidden="1">1</definedName>
    <definedName name="solver_rel3" localSheetId="1" hidden="1">1</definedName>
    <definedName name="solver_rel3" localSheetId="3" hidden="1">1</definedName>
    <definedName name="solver_rel4" localSheetId="7" hidden="1">3</definedName>
    <definedName name="solver_rel4" localSheetId="1" hidden="1">3</definedName>
    <definedName name="solver_rel4" localSheetId="3" hidden="1">3</definedName>
    <definedName name="solver_rel5" localSheetId="7" hidden="1">1</definedName>
    <definedName name="solver_rel5" localSheetId="1" hidden="1">1</definedName>
    <definedName name="solver_rel5" localSheetId="3" hidden="1">1</definedName>
    <definedName name="solver_rel6" localSheetId="7" hidden="1">3</definedName>
    <definedName name="solver_rel6" localSheetId="1" hidden="1">3</definedName>
    <definedName name="solver_rel6" localSheetId="3" hidden="1">3</definedName>
    <definedName name="solver_rel7" localSheetId="1" hidden="1">1</definedName>
    <definedName name="solver_rel8" localSheetId="1" hidden="1">3</definedName>
    <definedName name="solver_rhs1" localSheetId="7" hidden="1">1</definedName>
    <definedName name="solver_rhs1" localSheetId="1" hidden="1">1</definedName>
    <definedName name="solver_rhs1" localSheetId="3" hidden="1">1</definedName>
    <definedName name="solver_rhs2" localSheetId="7" hidden="1">-1</definedName>
    <definedName name="solver_rhs2" localSheetId="1" hidden="1">-1</definedName>
    <definedName name="solver_rhs2" localSheetId="3" hidden="1">-1</definedName>
    <definedName name="solver_rhs3" localSheetId="7" hidden="1">1</definedName>
    <definedName name="solver_rhs3" localSheetId="1" hidden="1">1</definedName>
    <definedName name="solver_rhs3" localSheetId="3" hidden="1">1</definedName>
    <definedName name="solver_rhs4" localSheetId="7" hidden="1">-1</definedName>
    <definedName name="solver_rhs4" localSheetId="1" hidden="1">-1</definedName>
    <definedName name="solver_rhs4" localSheetId="3" hidden="1">-1</definedName>
    <definedName name="solver_rhs5" localSheetId="7" hidden="1">1</definedName>
    <definedName name="solver_rhs5" localSheetId="1" hidden="1">1</definedName>
    <definedName name="solver_rhs5" localSheetId="3" hidden="1">1</definedName>
    <definedName name="solver_rhs6" localSheetId="7" hidden="1">-1</definedName>
    <definedName name="solver_rhs6" localSheetId="1" hidden="1">-1</definedName>
    <definedName name="solver_rhs6" localSheetId="3" hidden="1">-1</definedName>
    <definedName name="solver_rhs7" localSheetId="1" hidden="1">1</definedName>
    <definedName name="solver_rhs8" localSheetId="1" hidden="1">-1</definedName>
    <definedName name="solver_rlx" localSheetId="7" hidden="1">2</definedName>
    <definedName name="solver_rlx" localSheetId="1" hidden="1">2</definedName>
    <definedName name="solver_rlx" localSheetId="3" hidden="1">2</definedName>
    <definedName name="solver_rsd" localSheetId="7" hidden="1">0</definedName>
    <definedName name="solver_rsd" localSheetId="1" hidden="1">0</definedName>
    <definedName name="solver_rsd" localSheetId="3" hidden="1">0</definedName>
    <definedName name="solver_scl" localSheetId="7" hidden="1">1</definedName>
    <definedName name="solver_scl" localSheetId="1" hidden="1">1</definedName>
    <definedName name="solver_scl" localSheetId="3" hidden="1">1</definedName>
    <definedName name="solver_sho" localSheetId="7" hidden="1">2</definedName>
    <definedName name="solver_sho" localSheetId="1" hidden="1">2</definedName>
    <definedName name="solver_sho" localSheetId="3" hidden="1">2</definedName>
    <definedName name="solver_ssz" localSheetId="7" hidden="1">100</definedName>
    <definedName name="solver_ssz" localSheetId="1" hidden="1">100</definedName>
    <definedName name="solver_ssz" localSheetId="3" hidden="1">100</definedName>
    <definedName name="solver_tim" localSheetId="7" hidden="1">2147483647</definedName>
    <definedName name="solver_tim" localSheetId="1" hidden="1">2147483647</definedName>
    <definedName name="solver_tim" localSheetId="3" hidden="1">2147483647</definedName>
    <definedName name="solver_tol" localSheetId="7" hidden="1">0.01</definedName>
    <definedName name="solver_tol" localSheetId="1" hidden="1">0.01</definedName>
    <definedName name="solver_tol" localSheetId="3" hidden="1">0.01</definedName>
    <definedName name="solver_typ" localSheetId="7" hidden="1">1</definedName>
    <definedName name="solver_typ" localSheetId="1" hidden="1">1</definedName>
    <definedName name="solver_typ" localSheetId="3" hidden="1">1</definedName>
    <definedName name="solver_typ" localSheetId="6" hidden="1">1</definedName>
    <definedName name="solver_val" localSheetId="7" hidden="1">0</definedName>
    <definedName name="solver_val" localSheetId="1" hidden="1">0</definedName>
    <definedName name="solver_val" localSheetId="3" hidden="1">0</definedName>
    <definedName name="solver_val" localSheetId="6" hidden="1">0</definedName>
    <definedName name="solver_ver" localSheetId="7" hidden="1">3</definedName>
    <definedName name="solver_ver" localSheetId="1" hidden="1">3</definedName>
    <definedName name="solver_ver" localSheetId="3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圍-84bcd8b9-4c9f-4b08-8f30-869a09f5c714" name="範圍" connection="WorksheetConnection_1!$A$46:$C$5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6" i="4" l="1"/>
  <c r="W26" i="4"/>
  <c r="Z104" i="4" l="1"/>
  <c r="AB118" i="4"/>
  <c r="Z118" i="4"/>
  <c r="AB117" i="4"/>
  <c r="Z117" i="4"/>
  <c r="AB116" i="4"/>
  <c r="Z116" i="4"/>
  <c r="AB115" i="4"/>
  <c r="Z115" i="4"/>
  <c r="AB114" i="4"/>
  <c r="Z114" i="4"/>
  <c r="AB113" i="4"/>
  <c r="Z113" i="4"/>
  <c r="AB112" i="4"/>
  <c r="Z112" i="4"/>
  <c r="AB111" i="4"/>
  <c r="Z111" i="4"/>
  <c r="AB110" i="4"/>
  <c r="Z110" i="4"/>
  <c r="AB109" i="4"/>
  <c r="Z109" i="4"/>
  <c r="AB108" i="4"/>
  <c r="Z108" i="4"/>
  <c r="AB107" i="4"/>
  <c r="Z107" i="4"/>
  <c r="AB106" i="4"/>
  <c r="Z106" i="4"/>
  <c r="AB105" i="4"/>
  <c r="Z105" i="4"/>
  <c r="AB104" i="4"/>
  <c r="Y92" i="4"/>
  <c r="AG82" i="4"/>
  <c r="AF82" i="4"/>
  <c r="AE82" i="4"/>
  <c r="AD82" i="4"/>
  <c r="AC82" i="4"/>
  <c r="AB82" i="4"/>
  <c r="AA82" i="4"/>
  <c r="Z82" i="4"/>
  <c r="Y82" i="4"/>
  <c r="X82" i="4"/>
  <c r="W82" i="4"/>
  <c r="AG81" i="4"/>
  <c r="AF81" i="4"/>
  <c r="AE81" i="4"/>
  <c r="AD81" i="4"/>
  <c r="AC81" i="4"/>
  <c r="AB81" i="4"/>
  <c r="AA81" i="4"/>
  <c r="Z81" i="4"/>
  <c r="Y81" i="4"/>
  <c r="X81" i="4"/>
  <c r="W81" i="4"/>
  <c r="AG80" i="4"/>
  <c r="AF80" i="4"/>
  <c r="AE80" i="4"/>
  <c r="AD80" i="4"/>
  <c r="AC80" i="4"/>
  <c r="AB80" i="4"/>
  <c r="AA80" i="4"/>
  <c r="Z80" i="4"/>
  <c r="Y80" i="4"/>
  <c r="X80" i="4"/>
  <c r="W80" i="4"/>
  <c r="AG79" i="4"/>
  <c r="AF79" i="4"/>
  <c r="AE79" i="4"/>
  <c r="AD79" i="4"/>
  <c r="AC79" i="4"/>
  <c r="AB79" i="4"/>
  <c r="AA79" i="4"/>
  <c r="Z79" i="4"/>
  <c r="Y79" i="4"/>
  <c r="X79" i="4"/>
  <c r="W79" i="4"/>
  <c r="AG78" i="4"/>
  <c r="AF78" i="4"/>
  <c r="AE78" i="4"/>
  <c r="AD78" i="4"/>
  <c r="AC78" i="4"/>
  <c r="AB78" i="4"/>
  <c r="AA78" i="4"/>
  <c r="Z78" i="4"/>
  <c r="Y78" i="4"/>
  <c r="X78" i="4"/>
  <c r="W78" i="4"/>
  <c r="AG77" i="4"/>
  <c r="AF77" i="4"/>
  <c r="AE77" i="4"/>
  <c r="AD77" i="4"/>
  <c r="AC77" i="4"/>
  <c r="AB77" i="4"/>
  <c r="AA77" i="4"/>
  <c r="Z77" i="4"/>
  <c r="Y77" i="4"/>
  <c r="X77" i="4"/>
  <c r="W77" i="4"/>
  <c r="AG76" i="4"/>
  <c r="AF76" i="4"/>
  <c r="AE76" i="4"/>
  <c r="AD76" i="4"/>
  <c r="AC76" i="4"/>
  <c r="AB76" i="4"/>
  <c r="AA76" i="4"/>
  <c r="Z76" i="4"/>
  <c r="Y76" i="4"/>
  <c r="X76" i="4"/>
  <c r="W76" i="4"/>
  <c r="AG75" i="4"/>
  <c r="AF75" i="4"/>
  <c r="AE75" i="4"/>
  <c r="AD75" i="4"/>
  <c r="AC75" i="4"/>
  <c r="AB75" i="4"/>
  <c r="AA75" i="4"/>
  <c r="Z75" i="4"/>
  <c r="Y75" i="4"/>
  <c r="X75" i="4"/>
  <c r="W75" i="4"/>
  <c r="AG74" i="4"/>
  <c r="AF74" i="4"/>
  <c r="AE74" i="4"/>
  <c r="AD74" i="4"/>
  <c r="AC74" i="4"/>
  <c r="AB74" i="4"/>
  <c r="AA74" i="4"/>
  <c r="Z74" i="4"/>
  <c r="Y74" i="4"/>
  <c r="X74" i="4"/>
  <c r="W74" i="4"/>
  <c r="AG73" i="4"/>
  <c r="AF73" i="4"/>
  <c r="AE73" i="4"/>
  <c r="AD73" i="4"/>
  <c r="AC73" i="4"/>
  <c r="AB73" i="4"/>
  <c r="AA73" i="4"/>
  <c r="Z73" i="4"/>
  <c r="Y73" i="4"/>
  <c r="X73" i="4"/>
  <c r="W73" i="4"/>
  <c r="AG72" i="4"/>
  <c r="AF72" i="4"/>
  <c r="AE72" i="4"/>
  <c r="AD72" i="4"/>
  <c r="AC72" i="4"/>
  <c r="AB72" i="4"/>
  <c r="AA72" i="4"/>
  <c r="Z72" i="4"/>
  <c r="Y72" i="4"/>
  <c r="X72" i="4"/>
  <c r="W72" i="4"/>
  <c r="AG71" i="4"/>
  <c r="AF71" i="4"/>
  <c r="AE71" i="4"/>
  <c r="AD71" i="4"/>
  <c r="AC71" i="4"/>
  <c r="AB71" i="4"/>
  <c r="AA71" i="4"/>
  <c r="Z71" i="4"/>
  <c r="Y71" i="4"/>
  <c r="X71" i="4"/>
  <c r="W71" i="4"/>
  <c r="AG70" i="4"/>
  <c r="AF70" i="4"/>
  <c r="AE70" i="4"/>
  <c r="AD70" i="4"/>
  <c r="AC70" i="4"/>
  <c r="AB70" i="4"/>
  <c r="AA70" i="4"/>
  <c r="Z70" i="4"/>
  <c r="Y70" i="4"/>
  <c r="X70" i="4"/>
  <c r="W70" i="4"/>
  <c r="AG69" i="4"/>
  <c r="AF69" i="4"/>
  <c r="AE69" i="4"/>
  <c r="AD69" i="4"/>
  <c r="AC69" i="4"/>
  <c r="AB69" i="4"/>
  <c r="AA69" i="4"/>
  <c r="Z69" i="4"/>
  <c r="Y69" i="4"/>
  <c r="X69" i="4"/>
  <c r="W69" i="4"/>
  <c r="AG68" i="4"/>
  <c r="AF68" i="4"/>
  <c r="AE68" i="4"/>
  <c r="AD68" i="4"/>
  <c r="AC68" i="4"/>
  <c r="AB68" i="4"/>
  <c r="AA68" i="4"/>
  <c r="Z68" i="4"/>
  <c r="Y68" i="4"/>
  <c r="X68" i="4"/>
  <c r="W68" i="4"/>
  <c r="AG67" i="4"/>
  <c r="AF67" i="4"/>
  <c r="AE67" i="4"/>
  <c r="AD67" i="4"/>
  <c r="AC67" i="4"/>
  <c r="AB67" i="4"/>
  <c r="AA67" i="4"/>
  <c r="Z67" i="4"/>
  <c r="Y67" i="4"/>
  <c r="X67" i="4"/>
  <c r="W67" i="4"/>
  <c r="K4" i="4"/>
  <c r="AH68" i="4" s="1"/>
  <c r="K5" i="4"/>
  <c r="AH69" i="4" s="1"/>
  <c r="K6" i="4"/>
  <c r="AH70" i="4" s="1"/>
  <c r="K7" i="4"/>
  <c r="AH71" i="4" s="1"/>
  <c r="K8" i="4"/>
  <c r="AH72" i="4" s="1"/>
  <c r="K9" i="4"/>
  <c r="AH73" i="4" s="1"/>
  <c r="K10" i="4"/>
  <c r="AH74" i="4" s="1"/>
  <c r="K11" i="4"/>
  <c r="AH75" i="4" s="1"/>
  <c r="K12" i="4"/>
  <c r="AH76" i="4" s="1"/>
  <c r="K13" i="4"/>
  <c r="AH77" i="4" s="1"/>
  <c r="K14" i="4"/>
  <c r="AH78" i="4" s="1"/>
  <c r="K15" i="4"/>
  <c r="AH79" i="4" s="1"/>
  <c r="K16" i="4"/>
  <c r="AH80" i="4" s="1"/>
  <c r="K17" i="4"/>
  <c r="AH81" i="4" s="1"/>
  <c r="K18" i="4"/>
  <c r="AH82" i="4" s="1"/>
  <c r="K3" i="4"/>
  <c r="AH67" i="4" s="1"/>
  <c r="U27" i="4"/>
  <c r="X85" i="4" l="1"/>
  <c r="AD96" i="4" s="1"/>
  <c r="AD97" i="4" s="1"/>
  <c r="AG85" i="4"/>
  <c r="AB91" i="4" s="1"/>
  <c r="AF85" i="4"/>
  <c r="AA91" i="4" s="1"/>
  <c r="Z85" i="4"/>
  <c r="AF96" i="4" s="1"/>
  <c r="AF97" i="4" s="1"/>
  <c r="AB85" i="4"/>
  <c r="AH96" i="4" s="1"/>
  <c r="AH97" i="4" s="1"/>
  <c r="AD98" i="4"/>
  <c r="AM96" i="4"/>
  <c r="AA85" i="4"/>
  <c r="AG96" i="4" s="1"/>
  <c r="AG98" i="4" s="1"/>
  <c r="AC85" i="4"/>
  <c r="R87" i="4"/>
  <c r="X126" i="4" s="1"/>
  <c r="T85" i="4"/>
  <c r="U85" i="4"/>
  <c r="V85" i="4"/>
  <c r="S85" i="4"/>
  <c r="AD85" i="4"/>
  <c r="Y85" i="4"/>
  <c r="AE96" i="4" s="1"/>
  <c r="AG87" i="4"/>
  <c r="AD126" i="4" s="1"/>
  <c r="AE85" i="4"/>
  <c r="AE87" i="4" s="1"/>
  <c r="W85" i="4"/>
  <c r="AC96" i="4" s="1"/>
  <c r="Z87" i="4"/>
  <c r="AB126" i="4" s="1"/>
  <c r="AL96" i="4" l="1"/>
  <c r="AL97" i="4" s="1"/>
  <c r="AB87" i="4"/>
  <c r="AC126" i="4" s="1"/>
  <c r="AH98" i="4"/>
  <c r="AF87" i="4"/>
  <c r="X87" i="4"/>
  <c r="U87" i="4"/>
  <c r="AA96" i="4"/>
  <c r="AM98" i="4"/>
  <c r="AM97" i="4"/>
  <c r="AJ96" i="4"/>
  <c r="Y91" i="4"/>
  <c r="T87" i="4"/>
  <c r="Y126" i="4" s="1"/>
  <c r="Y129" i="4" s="1"/>
  <c r="Z96" i="4"/>
  <c r="W87" i="4"/>
  <c r="Z126" i="4" s="1"/>
  <c r="AE98" i="4"/>
  <c r="AE97" i="4"/>
  <c r="X91" i="4"/>
  <c r="AI96" i="4"/>
  <c r="AD87" i="4"/>
  <c r="AB96" i="4"/>
  <c r="V87" i="4"/>
  <c r="AG97" i="4"/>
  <c r="AF98" i="4"/>
  <c r="AC97" i="4"/>
  <c r="AC98" i="4"/>
  <c r="Z91" i="4"/>
  <c r="AK96" i="4"/>
  <c r="AA87" i="4"/>
  <c r="AC87" i="4"/>
  <c r="Y87" i="4"/>
  <c r="AA126" i="4" s="1"/>
  <c r="S87" i="4"/>
  <c r="Y96" i="4"/>
  <c r="AL98" i="4" l="1"/>
  <c r="AK97" i="4"/>
  <c r="AK98" i="4"/>
  <c r="AB98" i="4"/>
  <c r="AB97" i="4"/>
  <c r="AJ97" i="4"/>
  <c r="AJ98" i="4"/>
  <c r="AI98" i="4"/>
  <c r="AI97" i="4"/>
  <c r="Y90" i="4"/>
  <c r="AA90" i="4" s="1"/>
  <c r="AA98" i="4"/>
  <c r="AA97" i="4"/>
  <c r="Z97" i="4"/>
  <c r="Z98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4" i="4"/>
  <c r="AA110" i="4" l="1"/>
  <c r="AC110" i="4" s="1"/>
  <c r="AA104" i="4"/>
  <c r="AC104" i="4" s="1"/>
  <c r="AA116" i="4"/>
  <c r="AC116" i="4" s="1"/>
  <c r="AA114" i="4"/>
  <c r="AC114" i="4" s="1"/>
  <c r="AA105" i="4"/>
  <c r="AC105" i="4" s="1"/>
  <c r="AA118" i="4"/>
  <c r="AC118" i="4" s="1"/>
  <c r="AA117" i="4"/>
  <c r="AC117" i="4" s="1"/>
  <c r="AA111" i="4"/>
  <c r="AC111" i="4" s="1"/>
  <c r="AA115" i="4"/>
  <c r="AC115" i="4" s="1"/>
  <c r="AA107" i="4"/>
  <c r="AC107" i="4" s="1"/>
  <c r="Y93" i="4"/>
  <c r="AA106" i="4"/>
  <c r="AC106" i="4" s="1"/>
  <c r="AA108" i="4"/>
  <c r="AC108" i="4" s="1"/>
  <c r="AD99" i="4"/>
  <c r="AD100" i="4" s="1"/>
  <c r="AA112" i="4"/>
  <c r="AC112" i="4" s="1"/>
  <c r="AA109" i="4"/>
  <c r="AC109" i="4" s="1"/>
  <c r="AA113" i="4"/>
  <c r="AC113" i="4" s="1"/>
  <c r="AE99" i="4"/>
  <c r="AE100" i="4" s="1"/>
  <c r="AF99" i="4"/>
  <c r="AF100" i="4" s="1"/>
  <c r="AM99" i="4"/>
  <c r="AM100" i="4" s="1"/>
  <c r="AL99" i="4"/>
  <c r="AL100" i="4" s="1"/>
  <c r="AG99" i="4"/>
  <c r="AG100" i="4" s="1"/>
  <c r="AH99" i="4"/>
  <c r="AH100" i="4" s="1"/>
  <c r="AC99" i="4"/>
  <c r="AC100" i="4" s="1"/>
  <c r="Z99" i="4"/>
  <c r="Z100" i="4" s="1"/>
  <c r="Y99" i="4"/>
  <c r="Y100" i="4" s="1"/>
  <c r="AB99" i="4"/>
  <c r="AB100" i="4" s="1"/>
  <c r="AK99" i="4"/>
  <c r="AK100" i="4" s="1"/>
  <c r="AA99" i="4"/>
  <c r="AA100" i="4" s="1"/>
  <c r="AI99" i="4"/>
  <c r="AI100" i="4" s="1"/>
  <c r="AJ99" i="4"/>
  <c r="AJ100" i="4" s="1"/>
  <c r="K216" i="28"/>
  <c r="Y98" i="4" l="1"/>
  <c r="Y97" i="4"/>
  <c r="A244" i="28"/>
  <c r="E257" i="28"/>
  <c r="E258" i="28"/>
  <c r="E259" i="28"/>
  <c r="E260" i="28"/>
  <c r="E261" i="28"/>
  <c r="E262" i="28"/>
  <c r="E256" i="28"/>
  <c r="C257" i="28"/>
  <c r="C258" i="28"/>
  <c r="C259" i="28"/>
  <c r="C260" i="28"/>
  <c r="C261" i="28"/>
  <c r="C262" i="28"/>
  <c r="C256" i="28"/>
  <c r="I235" i="28"/>
  <c r="H235" i="28"/>
  <c r="G235" i="28"/>
  <c r="F235" i="28"/>
  <c r="I234" i="28"/>
  <c r="H234" i="28"/>
  <c r="G234" i="28"/>
  <c r="F234" i="28"/>
  <c r="I233" i="28"/>
  <c r="H233" i="28"/>
  <c r="G233" i="28"/>
  <c r="F233" i="28"/>
  <c r="I232" i="28"/>
  <c r="H232" i="28"/>
  <c r="G232" i="28"/>
  <c r="F232" i="28"/>
  <c r="I231" i="28"/>
  <c r="H231" i="28"/>
  <c r="G231" i="28"/>
  <c r="F231" i="28"/>
  <c r="I230" i="28"/>
  <c r="H230" i="28"/>
  <c r="G230" i="28"/>
  <c r="F230" i="28"/>
  <c r="I229" i="28"/>
  <c r="H229" i="28"/>
  <c r="G229" i="28"/>
  <c r="F229" i="28"/>
  <c r="I228" i="28"/>
  <c r="H228" i="28"/>
  <c r="G228" i="28"/>
  <c r="F228" i="28"/>
  <c r="K223" i="28"/>
  <c r="I223" i="28"/>
  <c r="J223" i="28" s="1"/>
  <c r="H223" i="28"/>
  <c r="K222" i="28"/>
  <c r="I222" i="28"/>
  <c r="J222" i="28" s="1"/>
  <c r="H222" i="28"/>
  <c r="K221" i="28"/>
  <c r="I221" i="28"/>
  <c r="J221" i="28" s="1"/>
  <c r="H221" i="28"/>
  <c r="K220" i="28"/>
  <c r="I220" i="28"/>
  <c r="J220" i="28" s="1"/>
  <c r="H220" i="28"/>
  <c r="K219" i="28"/>
  <c r="I219" i="28"/>
  <c r="J219" i="28" s="1"/>
  <c r="H219" i="28"/>
  <c r="K218" i="28"/>
  <c r="I218" i="28"/>
  <c r="J218" i="28" s="1"/>
  <c r="H218" i="28"/>
  <c r="K217" i="28"/>
  <c r="I217" i="28"/>
  <c r="J217" i="28" s="1"/>
  <c r="H217" i="28"/>
  <c r="I216" i="28"/>
  <c r="J216" i="28" s="1"/>
  <c r="H216" i="28"/>
  <c r="F236" i="28" l="1"/>
  <c r="F237" i="28" s="1"/>
  <c r="D236" i="28"/>
  <c r="D237" i="28" s="1"/>
  <c r="G236" i="28"/>
  <c r="G237" i="28" s="1"/>
  <c r="H236" i="28"/>
  <c r="H237" i="28" s="1"/>
  <c r="D266" i="28" s="1"/>
  <c r="B237" i="28"/>
  <c r="B266" i="28" s="1"/>
  <c r="I236" i="28"/>
  <c r="I237" i="28" s="1"/>
  <c r="C236" i="28"/>
  <c r="C237" i="28" s="1"/>
  <c r="C266" i="28" s="1"/>
  <c r="E236" i="28"/>
  <c r="E196" i="28"/>
  <c r="E197" i="28"/>
  <c r="E198" i="28"/>
  <c r="E199" i="28"/>
  <c r="E200" i="28"/>
  <c r="E201" i="28"/>
  <c r="E195" i="28"/>
  <c r="C196" i="28"/>
  <c r="C197" i="28"/>
  <c r="C198" i="28"/>
  <c r="C199" i="28"/>
  <c r="C200" i="28"/>
  <c r="C201" i="28"/>
  <c r="C195" i="28"/>
  <c r="A184" i="28"/>
  <c r="A161" i="28"/>
  <c r="I175" i="28"/>
  <c r="H175" i="28"/>
  <c r="G175" i="28"/>
  <c r="F175" i="28"/>
  <c r="I174" i="28"/>
  <c r="H174" i="28"/>
  <c r="G174" i="28"/>
  <c r="F174" i="28"/>
  <c r="I173" i="28"/>
  <c r="H173" i="28"/>
  <c r="G173" i="28"/>
  <c r="F173" i="28"/>
  <c r="I172" i="28"/>
  <c r="H172" i="28"/>
  <c r="G172" i="28"/>
  <c r="F172" i="28"/>
  <c r="I171" i="28"/>
  <c r="H171" i="28"/>
  <c r="G171" i="28"/>
  <c r="F171" i="28"/>
  <c r="I170" i="28"/>
  <c r="H170" i="28"/>
  <c r="G170" i="28"/>
  <c r="F170" i="28"/>
  <c r="I169" i="28"/>
  <c r="H169" i="28"/>
  <c r="G169" i="28"/>
  <c r="F169" i="28"/>
  <c r="I168" i="28"/>
  <c r="H168" i="28"/>
  <c r="G168" i="28"/>
  <c r="F168" i="28"/>
  <c r="A156" i="28"/>
  <c r="F141" i="28"/>
  <c r="G100" i="28" s="1"/>
  <c r="J100" i="28" s="1"/>
  <c r="F142" i="28"/>
  <c r="G101" i="28" s="1"/>
  <c r="J101" i="28" s="1"/>
  <c r="F143" i="28"/>
  <c r="G102" i="28" s="1"/>
  <c r="J102" i="28" s="1"/>
  <c r="F144" i="28"/>
  <c r="G103" i="28" s="1"/>
  <c r="J103" i="28" s="1"/>
  <c r="F145" i="28"/>
  <c r="G104" i="28" s="1"/>
  <c r="J104" i="28" s="1"/>
  <c r="F146" i="28"/>
  <c r="G105" i="28" s="1"/>
  <c r="J105" i="28" s="1"/>
  <c r="F147" i="28"/>
  <c r="G106" i="28" s="1"/>
  <c r="J106" i="28" s="1"/>
  <c r="F140" i="28"/>
  <c r="G91" i="28" s="1"/>
  <c r="J91" i="28" s="1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11" i="28"/>
  <c r="C136" i="28"/>
  <c r="C135" i="28"/>
  <c r="J70" i="28"/>
  <c r="I70" i="28"/>
  <c r="H70" i="28"/>
  <c r="G70" i="28"/>
  <c r="J69" i="28"/>
  <c r="I69" i="28"/>
  <c r="H69" i="28"/>
  <c r="G69" i="28"/>
  <c r="J68" i="28"/>
  <c r="I68" i="28"/>
  <c r="H68" i="28"/>
  <c r="G68" i="28"/>
  <c r="J67" i="28"/>
  <c r="I67" i="28"/>
  <c r="H67" i="28"/>
  <c r="G67" i="28"/>
  <c r="J66" i="28"/>
  <c r="I66" i="28"/>
  <c r="H66" i="28"/>
  <c r="G66" i="28"/>
  <c r="J65" i="28"/>
  <c r="I65" i="28"/>
  <c r="H65" i="28"/>
  <c r="G65" i="28"/>
  <c r="J64" i="28"/>
  <c r="I64" i="28"/>
  <c r="H64" i="28"/>
  <c r="G64" i="28"/>
  <c r="J63" i="28"/>
  <c r="I63" i="28"/>
  <c r="H63" i="28"/>
  <c r="G63" i="28"/>
  <c r="C30" i="28"/>
  <c r="C29" i="28"/>
  <c r="C25" i="28"/>
  <c r="C26" i="28" s="1"/>
  <c r="X9" i="28"/>
  <c r="W9" i="28"/>
  <c r="V9" i="28"/>
  <c r="U9" i="28"/>
  <c r="M9" i="28"/>
  <c r="L9" i="28"/>
  <c r="F53" i="28" s="1"/>
  <c r="J9" i="28"/>
  <c r="I9" i="28"/>
  <c r="X8" i="28"/>
  <c r="W8" i="28"/>
  <c r="V8" i="28"/>
  <c r="U8" i="28"/>
  <c r="M8" i="28"/>
  <c r="L8" i="28"/>
  <c r="H52" i="28" s="1"/>
  <c r="J8" i="28"/>
  <c r="I8" i="28"/>
  <c r="X22" i="28" s="1"/>
  <c r="X7" i="28"/>
  <c r="W7" i="28"/>
  <c r="V7" i="28"/>
  <c r="U7" i="28"/>
  <c r="M7" i="28"/>
  <c r="L7" i="28"/>
  <c r="F51" i="28" s="1"/>
  <c r="J7" i="28"/>
  <c r="I7" i="28"/>
  <c r="X21" i="28" s="1"/>
  <c r="X6" i="28"/>
  <c r="W6" i="28"/>
  <c r="V6" i="28"/>
  <c r="U6" i="28"/>
  <c r="M6" i="28"/>
  <c r="O50" i="28" s="1"/>
  <c r="L6" i="28"/>
  <c r="H50" i="28" s="1"/>
  <c r="J6" i="28"/>
  <c r="I6" i="28"/>
  <c r="X5" i="28"/>
  <c r="W5" i="28"/>
  <c r="V5" i="28"/>
  <c r="U5" i="28"/>
  <c r="M5" i="28"/>
  <c r="Q49" i="28" s="1"/>
  <c r="L5" i="28"/>
  <c r="F49" i="28" s="1"/>
  <c r="J5" i="28"/>
  <c r="I5" i="28"/>
  <c r="X19" i="28" s="1"/>
  <c r="X4" i="28"/>
  <c r="W4" i="28"/>
  <c r="V4" i="28"/>
  <c r="U4" i="28"/>
  <c r="M4" i="28"/>
  <c r="L4" i="28"/>
  <c r="H48" i="28" s="1"/>
  <c r="J4" i="28"/>
  <c r="I4" i="28"/>
  <c r="X3" i="28"/>
  <c r="W3" i="28"/>
  <c r="V3" i="28"/>
  <c r="U3" i="28"/>
  <c r="M3" i="28"/>
  <c r="L3" i="28"/>
  <c r="F47" i="28" s="1"/>
  <c r="J3" i="28"/>
  <c r="I3" i="28"/>
  <c r="X17" i="28" s="1"/>
  <c r="X2" i="28"/>
  <c r="W2" i="28"/>
  <c r="V2" i="28"/>
  <c r="U2" i="28"/>
  <c r="M2" i="28"/>
  <c r="M46" i="28" s="1"/>
  <c r="L2" i="28"/>
  <c r="H46" i="28" s="1"/>
  <c r="J2" i="28"/>
  <c r="Y16" i="28" s="1"/>
  <c r="I2" i="28"/>
  <c r="E111" i="28" l="1"/>
  <c r="C269" i="28"/>
  <c r="E127" i="28"/>
  <c r="F127" i="28" s="1"/>
  <c r="E119" i="28"/>
  <c r="F119" i="28" s="1"/>
  <c r="I18" i="28"/>
  <c r="F23" i="28"/>
  <c r="E133" i="28"/>
  <c r="F133" i="28" s="1"/>
  <c r="E125" i="28"/>
  <c r="F125" i="28" s="1"/>
  <c r="E117" i="28"/>
  <c r="F117" i="28" s="1"/>
  <c r="E132" i="28"/>
  <c r="F132" i="28" s="1"/>
  <c r="E124" i="28"/>
  <c r="F124" i="28" s="1"/>
  <c r="E116" i="28"/>
  <c r="F116" i="28" s="1"/>
  <c r="E131" i="28"/>
  <c r="F131" i="28" s="1"/>
  <c r="E123" i="28"/>
  <c r="F123" i="28" s="1"/>
  <c r="E115" i="28"/>
  <c r="F115" i="28" s="1"/>
  <c r="A240" i="28"/>
  <c r="A242" i="28" s="1"/>
  <c r="D248" i="28" s="1"/>
  <c r="E130" i="28"/>
  <c r="F130" i="28" s="1"/>
  <c r="E122" i="28"/>
  <c r="F122" i="28" s="1"/>
  <c r="E114" i="28"/>
  <c r="F114" i="28" s="1"/>
  <c r="E129" i="28"/>
  <c r="F129" i="28" s="1"/>
  <c r="E121" i="28"/>
  <c r="F121" i="28" s="1"/>
  <c r="E113" i="28"/>
  <c r="F113" i="28" s="1"/>
  <c r="D257" i="28"/>
  <c r="F257" i="28" s="1"/>
  <c r="N2" i="28"/>
  <c r="Z16" i="28" s="1"/>
  <c r="X16" i="28"/>
  <c r="H19" i="28"/>
  <c r="X18" i="28"/>
  <c r="I21" i="28"/>
  <c r="X20" i="28"/>
  <c r="E24" i="28"/>
  <c r="X23" i="28"/>
  <c r="F17" i="28"/>
  <c r="E128" i="28"/>
  <c r="F128" i="28" s="1"/>
  <c r="E120" i="28"/>
  <c r="F120" i="28" s="1"/>
  <c r="E112" i="28"/>
  <c r="F112" i="28" s="1"/>
  <c r="K3" i="28"/>
  <c r="Y17" i="28"/>
  <c r="K5" i="28"/>
  <c r="Y19" i="28"/>
  <c r="K8" i="28"/>
  <c r="Y22" i="28"/>
  <c r="J21" i="28"/>
  <c r="E134" i="28"/>
  <c r="F134" i="28" s="1"/>
  <c r="E126" i="28"/>
  <c r="F126" i="28" s="1"/>
  <c r="E118" i="28"/>
  <c r="F118" i="28" s="1"/>
  <c r="K4" i="28"/>
  <c r="Y18" i="28"/>
  <c r="K6" i="28"/>
  <c r="Y20" i="28"/>
  <c r="K7" i="28"/>
  <c r="Y21" i="28"/>
  <c r="K9" i="28"/>
  <c r="Y23" i="28"/>
  <c r="F111" i="28"/>
  <c r="E237" i="28"/>
  <c r="J10" i="28"/>
  <c r="C13" i="28" s="1"/>
  <c r="C14" i="28" s="1"/>
  <c r="C36" i="28" s="1"/>
  <c r="C37" i="28" s="1"/>
  <c r="J11" i="28"/>
  <c r="A152" i="28" s="1"/>
  <c r="A154" i="28" s="1"/>
  <c r="G95" i="28"/>
  <c r="J95" i="28" s="1"/>
  <c r="G83" i="28"/>
  <c r="J83" i="28" s="1"/>
  <c r="G99" i="28"/>
  <c r="J99" i="28" s="1"/>
  <c r="K2" i="28"/>
  <c r="I17" i="28"/>
  <c r="H17" i="28"/>
  <c r="J18" i="28"/>
  <c r="N3" i="28"/>
  <c r="G18" i="28"/>
  <c r="G19" i="28"/>
  <c r="N4" i="28"/>
  <c r="J19" i="28"/>
  <c r="H20" i="28"/>
  <c r="I20" i="28"/>
  <c r="N5" i="28"/>
  <c r="Z19" i="28" s="1"/>
  <c r="J22" i="28"/>
  <c r="N7" i="28"/>
  <c r="Z21" i="28" s="1"/>
  <c r="E22" i="28"/>
  <c r="G23" i="28"/>
  <c r="N8" i="28"/>
  <c r="Z22" i="28" s="1"/>
  <c r="D23" i="28"/>
  <c r="H24" i="28"/>
  <c r="G24" i="28"/>
  <c r="N9" i="28"/>
  <c r="Z23" i="28" s="1"/>
  <c r="D21" i="28"/>
  <c r="G87" i="28"/>
  <c r="J87" i="28" s="1"/>
  <c r="N6" i="28"/>
  <c r="Z20" i="28" s="1"/>
  <c r="G90" i="28"/>
  <c r="J90" i="28" s="1"/>
  <c r="G86" i="28"/>
  <c r="J86" i="28" s="1"/>
  <c r="G98" i="28"/>
  <c r="J98" i="28" s="1"/>
  <c r="G94" i="28"/>
  <c r="J94" i="28" s="1"/>
  <c r="G89" i="28"/>
  <c r="J89" i="28" s="1"/>
  <c r="G85" i="28"/>
  <c r="J85" i="28" s="1"/>
  <c r="G97" i="28"/>
  <c r="J97" i="28" s="1"/>
  <c r="G93" i="28"/>
  <c r="J93" i="28" s="1"/>
  <c r="G88" i="28"/>
  <c r="J88" i="28" s="1"/>
  <c r="G84" i="28"/>
  <c r="J84" i="28" s="1"/>
  <c r="G96" i="28"/>
  <c r="J96" i="28" s="1"/>
  <c r="G92" i="28"/>
  <c r="J92" i="28" s="1"/>
  <c r="A159" i="28"/>
  <c r="G46" i="28"/>
  <c r="G47" i="28"/>
  <c r="G48" i="28"/>
  <c r="G49" i="28"/>
  <c r="G50" i="28"/>
  <c r="G51" i="28"/>
  <c r="G52" i="28"/>
  <c r="G53" i="28"/>
  <c r="E48" i="28"/>
  <c r="E50" i="28"/>
  <c r="E52" i="28"/>
  <c r="J17" i="28"/>
  <c r="F21" i="28"/>
  <c r="H23" i="28"/>
  <c r="I24" i="28"/>
  <c r="I46" i="28"/>
  <c r="I47" i="28"/>
  <c r="I48" i="28"/>
  <c r="I49" i="28"/>
  <c r="I50" i="28"/>
  <c r="I51" i="28"/>
  <c r="I52" i="28"/>
  <c r="I53" i="28"/>
  <c r="E46" i="28"/>
  <c r="E47" i="28"/>
  <c r="E49" i="28"/>
  <c r="E51" i="28"/>
  <c r="E53" i="28"/>
  <c r="D19" i="28"/>
  <c r="E20" i="28"/>
  <c r="G22" i="28"/>
  <c r="D17" i="28"/>
  <c r="E18" i="28"/>
  <c r="F19" i="28"/>
  <c r="G20" i="28"/>
  <c r="H21" i="28"/>
  <c r="I22" i="28"/>
  <c r="J23" i="28"/>
  <c r="C46" i="28"/>
  <c r="C47" i="28"/>
  <c r="C48" i="28"/>
  <c r="C49" i="28"/>
  <c r="C50" i="28"/>
  <c r="C51" i="28"/>
  <c r="C52" i="28"/>
  <c r="C53" i="28"/>
  <c r="C78" i="28"/>
  <c r="P47" i="28"/>
  <c r="L47" i="28"/>
  <c r="R47" i="28"/>
  <c r="N47" i="28"/>
  <c r="R48" i="28"/>
  <c r="N48" i="28"/>
  <c r="P48" i="28"/>
  <c r="L48" i="28"/>
  <c r="P51" i="28"/>
  <c r="L51" i="28"/>
  <c r="R51" i="28"/>
  <c r="N51" i="28"/>
  <c r="P53" i="28"/>
  <c r="L53" i="28"/>
  <c r="O53" i="28"/>
  <c r="R53" i="28"/>
  <c r="N53" i="28"/>
  <c r="O47" i="28"/>
  <c r="Q48" i="28"/>
  <c r="M50" i="28"/>
  <c r="O51" i="28"/>
  <c r="Q53" i="28"/>
  <c r="M49" i="28"/>
  <c r="M47" i="28"/>
  <c r="O48" i="28"/>
  <c r="M51" i="28"/>
  <c r="M53" i="28"/>
  <c r="R46" i="28"/>
  <c r="N46" i="28"/>
  <c r="P46" i="28"/>
  <c r="L46" i="28"/>
  <c r="M78" i="28"/>
  <c r="P49" i="28"/>
  <c r="L49" i="28"/>
  <c r="R49" i="28"/>
  <c r="N49" i="28"/>
  <c r="R50" i="28"/>
  <c r="N50" i="28"/>
  <c r="P50" i="28"/>
  <c r="L50" i="28"/>
  <c r="R52" i="28"/>
  <c r="N52" i="28"/>
  <c r="Q52" i="28"/>
  <c r="M52" i="28"/>
  <c r="P52" i="28"/>
  <c r="L52" i="28"/>
  <c r="O46" i="28"/>
  <c r="Q47" i="28"/>
  <c r="Q51" i="28"/>
  <c r="Q46" i="28"/>
  <c r="M48" i="28"/>
  <c r="O49" i="28"/>
  <c r="Q50" i="28"/>
  <c r="O52" i="28"/>
  <c r="G17" i="28"/>
  <c r="D18" i="28"/>
  <c r="H18" i="28"/>
  <c r="E19" i="28"/>
  <c r="I19" i="28"/>
  <c r="F20" i="28"/>
  <c r="J20" i="28"/>
  <c r="G21" i="28"/>
  <c r="D22" i="28"/>
  <c r="H22" i="28"/>
  <c r="E23" i="28"/>
  <c r="I23" i="28"/>
  <c r="F24" i="28"/>
  <c r="J24" i="28"/>
  <c r="F46" i="28"/>
  <c r="D47" i="28"/>
  <c r="H47" i="28"/>
  <c r="F48" i="28"/>
  <c r="D49" i="28"/>
  <c r="H49" i="28"/>
  <c r="F50" i="28"/>
  <c r="D51" i="28"/>
  <c r="H51" i="28"/>
  <c r="F52" i="28"/>
  <c r="D53" i="28"/>
  <c r="H53" i="28"/>
  <c r="E17" i="28"/>
  <c r="F18" i="28"/>
  <c r="D20" i="28"/>
  <c r="E21" i="28"/>
  <c r="F22" i="28"/>
  <c r="D24" i="28"/>
  <c r="D46" i="28"/>
  <c r="D48" i="28"/>
  <c r="D50" i="28"/>
  <c r="D52" i="28"/>
  <c r="D260" i="28" l="1"/>
  <c r="F260" i="28" s="1"/>
  <c r="D258" i="28"/>
  <c r="F258" i="28" s="1"/>
  <c r="G248" i="28"/>
  <c r="E248" i="28"/>
  <c r="D250" i="28"/>
  <c r="D251" i="28" s="1"/>
  <c r="E30" i="28"/>
  <c r="C34" i="28" s="1"/>
  <c r="F250" i="28"/>
  <c r="F251" i="28" s="1"/>
  <c r="C248" i="28"/>
  <c r="D256" i="28"/>
  <c r="F256" i="28" s="1"/>
  <c r="F249" i="28"/>
  <c r="D259" i="28"/>
  <c r="F259" i="28" s="1"/>
  <c r="H249" i="28"/>
  <c r="G250" i="28"/>
  <c r="G251" i="28" s="1"/>
  <c r="E249" i="28"/>
  <c r="D261" i="28"/>
  <c r="F261" i="28" s="1"/>
  <c r="B250" i="28"/>
  <c r="B251" i="28" s="1"/>
  <c r="F248" i="28"/>
  <c r="B248" i="28"/>
  <c r="B249" i="28"/>
  <c r="D262" i="28"/>
  <c r="F262" i="28" s="1"/>
  <c r="H248" i="28"/>
  <c r="G249" i="28"/>
  <c r="E250" i="28"/>
  <c r="E251" i="28" s="1"/>
  <c r="C249" i="28"/>
  <c r="C250" i="28"/>
  <c r="C251" i="28" s="1"/>
  <c r="D249" i="28"/>
  <c r="H250" i="28"/>
  <c r="H251" i="28" s="1"/>
  <c r="E176" i="28"/>
  <c r="Z18" i="28"/>
  <c r="C176" i="28"/>
  <c r="C177" i="28" s="1"/>
  <c r="C207" i="28" s="1"/>
  <c r="Z17" i="28"/>
  <c r="E29" i="28"/>
  <c r="C35" i="28" s="1"/>
  <c r="K11" i="28"/>
  <c r="G25" i="28"/>
  <c r="B177" i="28"/>
  <c r="B207" i="28" s="1"/>
  <c r="D176" i="28"/>
  <c r="I25" i="28"/>
  <c r="I26" i="28" s="1"/>
  <c r="G176" i="28"/>
  <c r="I176" i="28"/>
  <c r="H176" i="28"/>
  <c r="F176" i="28"/>
  <c r="I55" i="28"/>
  <c r="J77" i="28" s="1"/>
  <c r="J78" i="28" s="1"/>
  <c r="G55" i="28"/>
  <c r="H77" i="28" s="1"/>
  <c r="H78" i="28" s="1"/>
  <c r="M55" i="28"/>
  <c r="O77" i="28" s="1"/>
  <c r="O78" i="28" s="1"/>
  <c r="E55" i="28"/>
  <c r="F77" i="28" s="1"/>
  <c r="F78" i="28" s="1"/>
  <c r="H55" i="28"/>
  <c r="I77" i="28" s="1"/>
  <c r="I78" i="28" s="1"/>
  <c r="J25" i="28"/>
  <c r="J26" i="28" s="1"/>
  <c r="H25" i="28"/>
  <c r="H35" i="28" s="1"/>
  <c r="D25" i="28"/>
  <c r="D34" i="28" s="1"/>
  <c r="C55" i="28"/>
  <c r="D77" i="28" s="1"/>
  <c r="D78" i="28" s="1"/>
  <c r="F25" i="28"/>
  <c r="F26" i="28" s="1"/>
  <c r="O55" i="28"/>
  <c r="Q77" i="28" s="1"/>
  <c r="Q78" i="28" s="1"/>
  <c r="N55" i="28"/>
  <c r="P77" i="28" s="1"/>
  <c r="P78" i="28" s="1"/>
  <c r="F36" i="28"/>
  <c r="F37" i="28" s="1"/>
  <c r="F35" i="28"/>
  <c r="F34" i="28"/>
  <c r="D55" i="28"/>
  <c r="E77" i="28" s="1"/>
  <c r="E78" i="28" s="1"/>
  <c r="R55" i="28"/>
  <c r="T77" i="28" s="1"/>
  <c r="T78" i="28" s="1"/>
  <c r="L55" i="28"/>
  <c r="N77" i="28" s="1"/>
  <c r="N78" i="28" s="1"/>
  <c r="E25" i="28"/>
  <c r="F55" i="28"/>
  <c r="G77" i="28" s="1"/>
  <c r="G78" i="28" s="1"/>
  <c r="Q55" i="28"/>
  <c r="S77" i="28" s="1"/>
  <c r="S78" i="28" s="1"/>
  <c r="P55" i="28"/>
  <c r="R77" i="28" s="1"/>
  <c r="R78" i="28" s="1"/>
  <c r="J36" i="28" l="1"/>
  <c r="J37" i="28" s="1"/>
  <c r="G34" i="28"/>
  <c r="G36" i="28"/>
  <c r="G37" i="28" s="1"/>
  <c r="I34" i="28"/>
  <c r="G26" i="28"/>
  <c r="J34" i="28"/>
  <c r="A180" i="28"/>
  <c r="A182" i="28" s="1"/>
  <c r="C189" i="28" s="1"/>
  <c r="C190" i="28" s="1"/>
  <c r="E177" i="28"/>
  <c r="D207" i="28" s="1"/>
  <c r="J35" i="28"/>
  <c r="H34" i="28"/>
  <c r="H36" i="28"/>
  <c r="H37" i="28" s="1"/>
  <c r="H26" i="28"/>
  <c r="G35" i="28"/>
  <c r="F177" i="28"/>
  <c r="D26" i="28"/>
  <c r="I35" i="28"/>
  <c r="H177" i="28"/>
  <c r="E207" i="28" s="1"/>
  <c r="D177" i="28"/>
  <c r="D35" i="28"/>
  <c r="I36" i="28"/>
  <c r="I37" i="28" s="1"/>
  <c r="I177" i="28"/>
  <c r="D36" i="28"/>
  <c r="D37" i="28" s="1"/>
  <c r="G177" i="28"/>
  <c r="R60" i="28"/>
  <c r="Q70" i="28" s="1"/>
  <c r="E35" i="28"/>
  <c r="E26" i="28"/>
  <c r="E36" i="28"/>
  <c r="E37" i="28" s="1"/>
  <c r="E34" i="28"/>
  <c r="P60" i="28"/>
  <c r="Q67" i="28" s="1"/>
  <c r="C210" i="28" l="1"/>
  <c r="E187" i="28"/>
  <c r="D195" i="28"/>
  <c r="D197" i="28"/>
  <c r="C188" i="28"/>
  <c r="F187" i="28"/>
  <c r="F188" i="28"/>
  <c r="F189" i="28"/>
  <c r="F190" i="28" s="1"/>
  <c r="G189" i="28"/>
  <c r="G190" i="28" s="1"/>
  <c r="D189" i="28"/>
  <c r="D190" i="28" s="1"/>
  <c r="E189" i="28"/>
  <c r="E190" i="28" s="1"/>
  <c r="H188" i="28"/>
  <c r="G188" i="28"/>
  <c r="E188" i="28"/>
  <c r="B189" i="28"/>
  <c r="B190" i="28" s="1"/>
  <c r="G187" i="28"/>
  <c r="C187" i="28"/>
  <c r="H187" i="28"/>
  <c r="H189" i="28"/>
  <c r="H190" i="28" s="1"/>
  <c r="H85" i="28"/>
  <c r="H89" i="28"/>
  <c r="H93" i="28"/>
  <c r="I93" i="28" s="1"/>
  <c r="H97" i="28"/>
  <c r="I97" i="28" s="1"/>
  <c r="H101" i="28"/>
  <c r="I101" i="28" s="1"/>
  <c r="H105" i="28"/>
  <c r="I105" i="28" s="1"/>
  <c r="N60" i="28"/>
  <c r="Q64" i="28" s="1"/>
  <c r="H86" i="28"/>
  <c r="H102" i="28"/>
  <c r="I102" i="28" s="1"/>
  <c r="H98" i="28"/>
  <c r="I98" i="28" s="1"/>
  <c r="H90" i="28"/>
  <c r="H106" i="28"/>
  <c r="I106" i="28" s="1"/>
  <c r="H94" i="28"/>
  <c r="I94" i="28" s="1"/>
  <c r="H104" i="28"/>
  <c r="I104" i="28" s="1"/>
  <c r="H88" i="28"/>
  <c r="H95" i="28"/>
  <c r="I95" i="28" s="1"/>
  <c r="H103" i="28"/>
  <c r="I103" i="28" s="1"/>
  <c r="H100" i="28"/>
  <c r="I100" i="28" s="1"/>
  <c r="H84" i="28"/>
  <c r="H91" i="28"/>
  <c r="I91" i="28" s="1"/>
  <c r="H87" i="28"/>
  <c r="H96" i="28"/>
  <c r="I96" i="28" s="1"/>
  <c r="H83" i="28"/>
  <c r="H92" i="28"/>
  <c r="I92" i="28" s="1"/>
  <c r="H99" i="28"/>
  <c r="I99" i="28" s="1"/>
  <c r="D196" i="28"/>
  <c r="F196" i="28" s="1"/>
  <c r="D200" i="28"/>
  <c r="F200" i="28" s="1"/>
  <c r="F197" i="28"/>
  <c r="D199" i="28"/>
  <c r="F199" i="28" s="1"/>
  <c r="F195" i="28"/>
  <c r="D201" i="28"/>
  <c r="F201" i="28" s="1"/>
  <c r="D198" i="28"/>
  <c r="F198" i="28" s="1"/>
  <c r="B187" i="28"/>
  <c r="B188" i="28"/>
  <c r="D187" i="28"/>
  <c r="D188" i="28"/>
  <c r="AA3" i="4"/>
  <c r="Z3" i="4"/>
  <c r="Y3" i="4"/>
  <c r="X3" i="4"/>
  <c r="W3" i="4"/>
  <c r="I87" i="28" l="1"/>
  <c r="G144" i="28"/>
  <c r="G142" i="28"/>
  <c r="I85" i="28"/>
  <c r="I86" i="28"/>
  <c r="G143" i="28"/>
  <c r="I83" i="28"/>
  <c r="G140" i="28"/>
  <c r="G141" i="28"/>
  <c r="I84" i="28"/>
  <c r="G145" i="28"/>
  <c r="I88" i="28"/>
  <c r="I90" i="28"/>
  <c r="G147" i="28"/>
  <c r="G146" i="28"/>
  <c r="I89" i="28"/>
  <c r="AB20" i="4"/>
  <c r="T127" i="4"/>
  <c r="S127" i="4"/>
  <c r="R127" i="4"/>
  <c r="Q127" i="4"/>
  <c r="P127" i="4"/>
  <c r="O127" i="4"/>
  <c r="N127" i="4"/>
  <c r="M127" i="4"/>
  <c r="L127" i="4"/>
  <c r="K127" i="4"/>
  <c r="J127" i="4"/>
  <c r="T126" i="4"/>
  <c r="S126" i="4"/>
  <c r="R126" i="4"/>
  <c r="Q126" i="4"/>
  <c r="P126" i="4"/>
  <c r="O126" i="4"/>
  <c r="N126" i="4"/>
  <c r="M126" i="4"/>
  <c r="L126" i="4"/>
  <c r="K126" i="4"/>
  <c r="J126" i="4"/>
  <c r="T125" i="4"/>
  <c r="S125" i="4"/>
  <c r="R125" i="4"/>
  <c r="Q125" i="4"/>
  <c r="P125" i="4"/>
  <c r="O125" i="4"/>
  <c r="N125" i="4"/>
  <c r="M125" i="4"/>
  <c r="L125" i="4"/>
  <c r="K125" i="4"/>
  <c r="J125" i="4"/>
  <c r="T124" i="4"/>
  <c r="S124" i="4"/>
  <c r="R124" i="4"/>
  <c r="Q124" i="4"/>
  <c r="P124" i="4"/>
  <c r="O124" i="4"/>
  <c r="N124" i="4"/>
  <c r="M124" i="4"/>
  <c r="L124" i="4"/>
  <c r="K124" i="4"/>
  <c r="J124" i="4"/>
  <c r="T123" i="4"/>
  <c r="S123" i="4"/>
  <c r="R123" i="4"/>
  <c r="Q123" i="4"/>
  <c r="P123" i="4"/>
  <c r="O123" i="4"/>
  <c r="N123" i="4"/>
  <c r="M123" i="4"/>
  <c r="L123" i="4"/>
  <c r="K123" i="4"/>
  <c r="J123" i="4"/>
  <c r="T122" i="4"/>
  <c r="S122" i="4"/>
  <c r="R122" i="4"/>
  <c r="Q122" i="4"/>
  <c r="P122" i="4"/>
  <c r="O122" i="4"/>
  <c r="N122" i="4"/>
  <c r="M122" i="4"/>
  <c r="L122" i="4"/>
  <c r="K122" i="4"/>
  <c r="J122" i="4"/>
  <c r="T121" i="4"/>
  <c r="S121" i="4"/>
  <c r="R121" i="4"/>
  <c r="Q121" i="4"/>
  <c r="P121" i="4"/>
  <c r="O121" i="4"/>
  <c r="N121" i="4"/>
  <c r="M121" i="4"/>
  <c r="L121" i="4"/>
  <c r="K121" i="4"/>
  <c r="J121" i="4"/>
  <c r="T120" i="4"/>
  <c r="S120" i="4"/>
  <c r="R120" i="4"/>
  <c r="Q120" i="4"/>
  <c r="P120" i="4"/>
  <c r="O120" i="4"/>
  <c r="N120" i="4"/>
  <c r="M120" i="4"/>
  <c r="L120" i="4"/>
  <c r="K120" i="4"/>
  <c r="J120" i="4"/>
  <c r="T119" i="4"/>
  <c r="S119" i="4"/>
  <c r="R119" i="4"/>
  <c r="Q119" i="4"/>
  <c r="P119" i="4"/>
  <c r="O119" i="4"/>
  <c r="N119" i="4"/>
  <c r="M119" i="4"/>
  <c r="L119" i="4"/>
  <c r="K119" i="4"/>
  <c r="J119" i="4"/>
  <c r="T118" i="4"/>
  <c r="S118" i="4"/>
  <c r="R118" i="4"/>
  <c r="Q118" i="4"/>
  <c r="P118" i="4"/>
  <c r="O118" i="4"/>
  <c r="N118" i="4"/>
  <c r="M118" i="4"/>
  <c r="L118" i="4"/>
  <c r="K118" i="4"/>
  <c r="J118" i="4"/>
  <c r="T117" i="4"/>
  <c r="S117" i="4"/>
  <c r="R117" i="4"/>
  <c r="Q117" i="4"/>
  <c r="P117" i="4"/>
  <c r="O117" i="4"/>
  <c r="N117" i="4"/>
  <c r="M117" i="4"/>
  <c r="L117" i="4"/>
  <c r="K117" i="4"/>
  <c r="J117" i="4"/>
  <c r="T116" i="4"/>
  <c r="S116" i="4"/>
  <c r="R116" i="4"/>
  <c r="Q116" i="4"/>
  <c r="P116" i="4"/>
  <c r="O116" i="4"/>
  <c r="N116" i="4"/>
  <c r="M116" i="4"/>
  <c r="L116" i="4"/>
  <c r="K116" i="4"/>
  <c r="J116" i="4"/>
  <c r="T115" i="4"/>
  <c r="S115" i="4"/>
  <c r="R115" i="4"/>
  <c r="Q115" i="4"/>
  <c r="P115" i="4"/>
  <c r="O115" i="4"/>
  <c r="N115" i="4"/>
  <c r="M115" i="4"/>
  <c r="L115" i="4"/>
  <c r="K115" i="4"/>
  <c r="J115" i="4"/>
  <c r="T114" i="4"/>
  <c r="S114" i="4"/>
  <c r="R114" i="4"/>
  <c r="Q114" i="4"/>
  <c r="P114" i="4"/>
  <c r="O114" i="4"/>
  <c r="N114" i="4"/>
  <c r="M114" i="4"/>
  <c r="L114" i="4"/>
  <c r="K114" i="4"/>
  <c r="J114" i="4"/>
  <c r="T113" i="4"/>
  <c r="S113" i="4"/>
  <c r="R113" i="4"/>
  <c r="Q113" i="4"/>
  <c r="P113" i="4"/>
  <c r="O113" i="4"/>
  <c r="N113" i="4"/>
  <c r="M113" i="4"/>
  <c r="L113" i="4"/>
  <c r="K113" i="4"/>
  <c r="J113" i="4"/>
  <c r="T112" i="4"/>
  <c r="S112" i="4"/>
  <c r="R112" i="4"/>
  <c r="Q112" i="4"/>
  <c r="P112" i="4"/>
  <c r="O112" i="4"/>
  <c r="N112" i="4"/>
  <c r="M112" i="4"/>
  <c r="L112" i="4"/>
  <c r="K112" i="4"/>
  <c r="J112" i="4"/>
  <c r="T111" i="4"/>
  <c r="S111" i="4"/>
  <c r="R111" i="4"/>
  <c r="Q111" i="4"/>
  <c r="P111" i="4"/>
  <c r="O111" i="4"/>
  <c r="N111" i="4"/>
  <c r="M111" i="4"/>
  <c r="L111" i="4"/>
  <c r="K111" i="4"/>
  <c r="J111" i="4"/>
  <c r="T110" i="4"/>
  <c r="S110" i="4"/>
  <c r="R110" i="4"/>
  <c r="Q110" i="4"/>
  <c r="P110" i="4"/>
  <c r="O110" i="4"/>
  <c r="N110" i="4"/>
  <c r="M110" i="4"/>
  <c r="L110" i="4"/>
  <c r="K110" i="4"/>
  <c r="J110" i="4"/>
  <c r="T109" i="4"/>
  <c r="S109" i="4"/>
  <c r="R109" i="4"/>
  <c r="Q109" i="4"/>
  <c r="P109" i="4"/>
  <c r="O109" i="4"/>
  <c r="N109" i="4"/>
  <c r="M109" i="4"/>
  <c r="L109" i="4"/>
  <c r="K109" i="4"/>
  <c r="J109" i="4"/>
  <c r="T108" i="4"/>
  <c r="S108" i="4"/>
  <c r="R108" i="4"/>
  <c r="Q108" i="4"/>
  <c r="P108" i="4"/>
  <c r="O108" i="4"/>
  <c r="N108" i="4"/>
  <c r="M108" i="4"/>
  <c r="L108" i="4"/>
  <c r="K108" i="4"/>
  <c r="J108" i="4"/>
  <c r="T107" i="4"/>
  <c r="S107" i="4"/>
  <c r="R107" i="4"/>
  <c r="Q107" i="4"/>
  <c r="P107" i="4"/>
  <c r="O107" i="4"/>
  <c r="N107" i="4"/>
  <c r="M107" i="4"/>
  <c r="L107" i="4"/>
  <c r="K107" i="4"/>
  <c r="J107" i="4"/>
  <c r="T106" i="4"/>
  <c r="S106" i="4"/>
  <c r="R106" i="4"/>
  <c r="Q106" i="4"/>
  <c r="P106" i="4"/>
  <c r="O106" i="4"/>
  <c r="N106" i="4"/>
  <c r="M106" i="4"/>
  <c r="L106" i="4"/>
  <c r="K106" i="4"/>
  <c r="J106" i="4"/>
  <c r="T105" i="4"/>
  <c r="S105" i="4"/>
  <c r="R105" i="4"/>
  <c r="Q105" i="4"/>
  <c r="P105" i="4"/>
  <c r="O105" i="4"/>
  <c r="N105" i="4"/>
  <c r="M105" i="4"/>
  <c r="L105" i="4"/>
  <c r="K105" i="4"/>
  <c r="J105" i="4"/>
  <c r="T104" i="4"/>
  <c r="S104" i="4"/>
  <c r="R104" i="4"/>
  <c r="Q104" i="4"/>
  <c r="P104" i="4"/>
  <c r="O104" i="4"/>
  <c r="N104" i="4"/>
  <c r="M104" i="4"/>
  <c r="L104" i="4"/>
  <c r="K104" i="4"/>
  <c r="J104" i="4"/>
  <c r="T103" i="4"/>
  <c r="S103" i="4"/>
  <c r="R103" i="4"/>
  <c r="Q103" i="4"/>
  <c r="P103" i="4"/>
  <c r="O103" i="4"/>
  <c r="N103" i="4"/>
  <c r="M103" i="4"/>
  <c r="L103" i="4"/>
  <c r="K103" i="4"/>
  <c r="J103" i="4"/>
  <c r="T102" i="4"/>
  <c r="S102" i="4"/>
  <c r="R102" i="4"/>
  <c r="Q102" i="4"/>
  <c r="P102" i="4"/>
  <c r="O102" i="4"/>
  <c r="N102" i="4"/>
  <c r="M102" i="4"/>
  <c r="L102" i="4"/>
  <c r="K102" i="4"/>
  <c r="J102" i="4"/>
  <c r="T101" i="4"/>
  <c r="S101" i="4"/>
  <c r="R101" i="4"/>
  <c r="Q101" i="4"/>
  <c r="P101" i="4"/>
  <c r="O101" i="4"/>
  <c r="N101" i="4"/>
  <c r="M101" i="4"/>
  <c r="L101" i="4"/>
  <c r="K101" i="4"/>
  <c r="J101" i="4"/>
  <c r="T100" i="4"/>
  <c r="S100" i="4"/>
  <c r="R100" i="4"/>
  <c r="Q100" i="4"/>
  <c r="P100" i="4"/>
  <c r="O100" i="4"/>
  <c r="N100" i="4"/>
  <c r="M100" i="4"/>
  <c r="L100" i="4"/>
  <c r="K100" i="4"/>
  <c r="J100" i="4"/>
  <c r="T99" i="4"/>
  <c r="S99" i="4"/>
  <c r="R99" i="4"/>
  <c r="Q99" i="4"/>
  <c r="P99" i="4"/>
  <c r="O99" i="4"/>
  <c r="N99" i="4"/>
  <c r="M99" i="4"/>
  <c r="L99" i="4"/>
  <c r="K99" i="4"/>
  <c r="J99" i="4"/>
  <c r="T98" i="4"/>
  <c r="S98" i="4"/>
  <c r="R98" i="4"/>
  <c r="Q98" i="4"/>
  <c r="P98" i="4"/>
  <c r="O98" i="4"/>
  <c r="N98" i="4"/>
  <c r="M98" i="4"/>
  <c r="L98" i="4"/>
  <c r="K98" i="4"/>
  <c r="J98" i="4"/>
  <c r="T97" i="4"/>
  <c r="S97" i="4"/>
  <c r="R97" i="4"/>
  <c r="Q97" i="4"/>
  <c r="P97" i="4"/>
  <c r="O97" i="4"/>
  <c r="N97" i="4"/>
  <c r="M97" i="4"/>
  <c r="L97" i="4"/>
  <c r="K97" i="4"/>
  <c r="J97" i="4"/>
  <c r="T96" i="4"/>
  <c r="S96" i="4"/>
  <c r="R96" i="4"/>
  <c r="Q96" i="4"/>
  <c r="P96" i="4"/>
  <c r="O96" i="4"/>
  <c r="N96" i="4"/>
  <c r="M96" i="4"/>
  <c r="L96" i="4"/>
  <c r="K96" i="4"/>
  <c r="J96" i="4"/>
  <c r="W4" i="4" l="1"/>
  <c r="X4" i="4"/>
  <c r="Y4" i="4"/>
  <c r="Z4" i="4"/>
  <c r="AA4" i="4"/>
  <c r="W5" i="4"/>
  <c r="X5" i="4"/>
  <c r="Y5" i="4"/>
  <c r="Z5" i="4"/>
  <c r="AA5" i="4"/>
  <c r="W6" i="4"/>
  <c r="X6" i="4"/>
  <c r="Y6" i="4"/>
  <c r="Z6" i="4"/>
  <c r="AA6" i="4"/>
  <c r="W7" i="4"/>
  <c r="X7" i="4"/>
  <c r="Y7" i="4"/>
  <c r="Z7" i="4"/>
  <c r="AA7" i="4"/>
  <c r="W8" i="4"/>
  <c r="X8" i="4"/>
  <c r="Y8" i="4"/>
  <c r="Z8" i="4"/>
  <c r="AA8" i="4"/>
  <c r="W9" i="4"/>
  <c r="X9" i="4"/>
  <c r="Y9" i="4"/>
  <c r="Z9" i="4"/>
  <c r="AA9" i="4"/>
  <c r="W10" i="4"/>
  <c r="X10" i="4"/>
  <c r="Y10" i="4"/>
  <c r="Z10" i="4"/>
  <c r="AA10" i="4"/>
  <c r="W11" i="4"/>
  <c r="X11" i="4"/>
  <c r="Y11" i="4"/>
  <c r="Z11" i="4"/>
  <c r="AA11" i="4"/>
  <c r="W12" i="4"/>
  <c r="X12" i="4"/>
  <c r="Y12" i="4"/>
  <c r="Z12" i="4"/>
  <c r="AA12" i="4"/>
  <c r="W13" i="4"/>
  <c r="X13" i="4"/>
  <c r="Y13" i="4"/>
  <c r="Z13" i="4"/>
  <c r="AA13" i="4"/>
  <c r="W14" i="4"/>
  <c r="X14" i="4"/>
  <c r="Y14" i="4"/>
  <c r="Z14" i="4"/>
  <c r="AA14" i="4"/>
  <c r="W15" i="4"/>
  <c r="X15" i="4"/>
  <c r="Y15" i="4"/>
  <c r="Z15" i="4"/>
  <c r="AA15" i="4"/>
  <c r="W16" i="4"/>
  <c r="X16" i="4"/>
  <c r="Y16" i="4"/>
  <c r="Z16" i="4"/>
  <c r="AA16" i="4"/>
  <c r="W17" i="4"/>
  <c r="X17" i="4"/>
  <c r="Y17" i="4"/>
  <c r="Z17" i="4"/>
  <c r="AA17" i="4"/>
  <c r="W18" i="4"/>
  <c r="X18" i="4"/>
  <c r="Y18" i="4"/>
  <c r="Z18" i="4"/>
  <c r="AA18" i="4"/>
  <c r="Q3" i="4"/>
  <c r="V18" i="4"/>
  <c r="U18" i="4"/>
  <c r="T18" i="4"/>
  <c r="S18" i="4"/>
  <c r="R18" i="4"/>
  <c r="Q18" i="4"/>
  <c r="V17" i="4"/>
  <c r="U17" i="4"/>
  <c r="T17" i="4"/>
  <c r="S17" i="4"/>
  <c r="R17" i="4"/>
  <c r="Q17" i="4"/>
  <c r="V16" i="4"/>
  <c r="U16" i="4"/>
  <c r="T16" i="4"/>
  <c r="S16" i="4"/>
  <c r="R16" i="4"/>
  <c r="Q16" i="4"/>
  <c r="V15" i="4"/>
  <c r="U15" i="4"/>
  <c r="T15" i="4"/>
  <c r="S15" i="4"/>
  <c r="R15" i="4"/>
  <c r="Q15" i="4"/>
  <c r="V14" i="4"/>
  <c r="U14" i="4"/>
  <c r="T14" i="4"/>
  <c r="S14" i="4"/>
  <c r="R14" i="4"/>
  <c r="Q14" i="4"/>
  <c r="V13" i="4"/>
  <c r="U13" i="4"/>
  <c r="T13" i="4"/>
  <c r="S13" i="4"/>
  <c r="R13" i="4"/>
  <c r="Q13" i="4"/>
  <c r="V12" i="4"/>
  <c r="U12" i="4"/>
  <c r="T12" i="4"/>
  <c r="S12" i="4"/>
  <c r="R12" i="4"/>
  <c r="Q12" i="4"/>
  <c r="V11" i="4"/>
  <c r="U11" i="4"/>
  <c r="T11" i="4"/>
  <c r="S11" i="4"/>
  <c r="R11" i="4"/>
  <c r="Q11" i="4"/>
  <c r="V10" i="4"/>
  <c r="U10" i="4"/>
  <c r="T10" i="4"/>
  <c r="S10" i="4"/>
  <c r="R10" i="4"/>
  <c r="Q10" i="4"/>
  <c r="V9" i="4"/>
  <c r="U9" i="4"/>
  <c r="T9" i="4"/>
  <c r="S9" i="4"/>
  <c r="R9" i="4"/>
  <c r="Q9" i="4"/>
  <c r="V8" i="4"/>
  <c r="U8" i="4"/>
  <c r="T8" i="4"/>
  <c r="S8" i="4"/>
  <c r="R8" i="4"/>
  <c r="Q8" i="4"/>
  <c r="V7" i="4"/>
  <c r="U7" i="4"/>
  <c r="T7" i="4"/>
  <c r="S7" i="4"/>
  <c r="R7" i="4"/>
  <c r="Q7" i="4"/>
  <c r="V6" i="4"/>
  <c r="U6" i="4"/>
  <c r="T6" i="4"/>
  <c r="S6" i="4"/>
  <c r="R6" i="4"/>
  <c r="Q6" i="4"/>
  <c r="V5" i="4"/>
  <c r="U5" i="4"/>
  <c r="T5" i="4"/>
  <c r="S5" i="4"/>
  <c r="R5" i="4"/>
  <c r="Q5" i="4"/>
  <c r="V4" i="4"/>
  <c r="U4" i="4"/>
  <c r="T4" i="4"/>
  <c r="S4" i="4"/>
  <c r="R4" i="4"/>
  <c r="Q4" i="4"/>
  <c r="V3" i="4"/>
  <c r="U3" i="4"/>
  <c r="T3" i="4"/>
  <c r="S3" i="4"/>
  <c r="R3" i="4"/>
  <c r="K2" i="8"/>
  <c r="O46" i="8" s="1"/>
  <c r="Q2" i="8"/>
  <c r="K3" i="8"/>
  <c r="N47" i="8" s="1"/>
  <c r="K4" i="8"/>
  <c r="O48" i="8" s="1"/>
  <c r="K5" i="8"/>
  <c r="P49" i="8" s="1"/>
  <c r="K6" i="8"/>
  <c r="Q50" i="8" s="1"/>
  <c r="K7" i="8"/>
  <c r="N51" i="8" s="1"/>
  <c r="K8" i="8"/>
  <c r="K52" i="8" s="1"/>
  <c r="K9" i="8"/>
  <c r="L53" i="8" s="1"/>
  <c r="J3" i="8"/>
  <c r="J4" i="8"/>
  <c r="J5" i="8"/>
  <c r="J6" i="8"/>
  <c r="J7" i="8"/>
  <c r="J8" i="8"/>
  <c r="J9" i="8"/>
  <c r="J2" i="8"/>
  <c r="B46" i="8" s="1"/>
  <c r="N48" i="8" l="1"/>
  <c r="L47" i="8"/>
  <c r="Q51" i="8"/>
  <c r="P46" i="8"/>
  <c r="Q46" i="8"/>
  <c r="Q52" i="8"/>
  <c r="P51" i="8"/>
  <c r="M49" i="8"/>
  <c r="K47" i="8"/>
  <c r="O51" i="8"/>
  <c r="L49" i="8"/>
  <c r="L78" i="8"/>
  <c r="P50" i="8"/>
  <c r="B78" i="8"/>
  <c r="O50" i="8"/>
  <c r="M48" i="8"/>
  <c r="N50" i="8"/>
  <c r="L48" i="8"/>
  <c r="N49" i="8"/>
  <c r="K53" i="8"/>
  <c r="M50" i="8"/>
  <c r="K48" i="8"/>
  <c r="O49" i="8"/>
  <c r="M47" i="8"/>
  <c r="L46" i="8"/>
  <c r="O53" i="8"/>
  <c r="N52" i="8"/>
  <c r="M51" i="8"/>
  <c r="L50" i="8"/>
  <c r="K49" i="8"/>
  <c r="Q47" i="8"/>
  <c r="Q53" i="8"/>
  <c r="P52" i="8"/>
  <c r="P53" i="8"/>
  <c r="O52" i="8"/>
  <c r="M46" i="8"/>
  <c r="N53" i="8"/>
  <c r="M52" i="8"/>
  <c r="L51" i="8"/>
  <c r="K50" i="8"/>
  <c r="Q48" i="8"/>
  <c r="P47" i="8"/>
  <c r="N46" i="8"/>
  <c r="M53" i="8"/>
  <c r="L52" i="8"/>
  <c r="K51" i="8"/>
  <c r="Q49" i="8"/>
  <c r="P48" i="8"/>
  <c r="O47" i="8"/>
  <c r="K46" i="8"/>
  <c r="I73" i="4"/>
  <c r="J64" i="4"/>
  <c r="I64" i="4"/>
  <c r="H64" i="4"/>
  <c r="K55" i="8" l="1"/>
  <c r="M77" i="8" s="1"/>
  <c r="M78" i="8" s="1"/>
  <c r="M55" i="8"/>
  <c r="O77" i="8" s="1"/>
  <c r="O78" i="8" s="1"/>
  <c r="N55" i="8"/>
  <c r="P77" i="8" s="1"/>
  <c r="P78" i="8" s="1"/>
  <c r="L55" i="8"/>
  <c r="N77" i="8" s="1"/>
  <c r="N78" i="8" s="1"/>
  <c r="Q55" i="8"/>
  <c r="S77" i="8" s="1"/>
  <c r="S78" i="8" s="1"/>
  <c r="O55" i="8"/>
  <c r="Q77" i="8" s="1"/>
  <c r="Q78" i="8" s="1"/>
  <c r="P55" i="8"/>
  <c r="R77" i="8" s="1"/>
  <c r="R78" i="8" s="1"/>
  <c r="F63" i="8"/>
  <c r="G63" i="8"/>
  <c r="H63" i="8"/>
  <c r="I70" i="8"/>
  <c r="H70" i="8"/>
  <c r="G70" i="8"/>
  <c r="F70" i="8"/>
  <c r="I69" i="8"/>
  <c r="H69" i="8"/>
  <c r="G69" i="8"/>
  <c r="F69" i="8"/>
  <c r="I68" i="8"/>
  <c r="H68" i="8"/>
  <c r="G68" i="8"/>
  <c r="F68" i="8"/>
  <c r="I67" i="8"/>
  <c r="H67" i="8"/>
  <c r="G67" i="8"/>
  <c r="F67" i="8"/>
  <c r="I66" i="8"/>
  <c r="H66" i="8"/>
  <c r="G66" i="8"/>
  <c r="F66" i="8"/>
  <c r="I65" i="8"/>
  <c r="H65" i="8"/>
  <c r="G65" i="8"/>
  <c r="F65" i="8"/>
  <c r="I64" i="8"/>
  <c r="H64" i="8"/>
  <c r="G64" i="8"/>
  <c r="F64" i="8"/>
  <c r="I63" i="8"/>
  <c r="H17" i="9"/>
  <c r="G17" i="9"/>
  <c r="F17" i="9"/>
  <c r="E17" i="9"/>
  <c r="H16" i="9"/>
  <c r="G16" i="9"/>
  <c r="F16" i="9"/>
  <c r="E16" i="9"/>
  <c r="H15" i="9"/>
  <c r="G15" i="9"/>
  <c r="F15" i="9"/>
  <c r="E15" i="9"/>
  <c r="H14" i="9"/>
  <c r="G14" i="9"/>
  <c r="F14" i="9"/>
  <c r="E14" i="9"/>
  <c r="H13" i="9"/>
  <c r="G13" i="9"/>
  <c r="F13" i="9"/>
  <c r="E13" i="9"/>
  <c r="H12" i="9"/>
  <c r="G12" i="9"/>
  <c r="F12" i="9"/>
  <c r="E12" i="9"/>
  <c r="H11" i="9"/>
  <c r="G11" i="9"/>
  <c r="F11" i="9"/>
  <c r="E11" i="9"/>
  <c r="H10" i="9"/>
  <c r="G10" i="9"/>
  <c r="F10" i="9"/>
  <c r="E10" i="9"/>
  <c r="H9" i="9"/>
  <c r="G9" i="9"/>
  <c r="F9" i="9"/>
  <c r="E9" i="9"/>
  <c r="H8" i="9"/>
  <c r="G8" i="9"/>
  <c r="F8" i="9"/>
  <c r="E8" i="9"/>
  <c r="H7" i="9"/>
  <c r="G7" i="9"/>
  <c r="F7" i="9"/>
  <c r="E7" i="9"/>
  <c r="H6" i="9"/>
  <c r="G6" i="9"/>
  <c r="F6" i="9"/>
  <c r="E6" i="9"/>
  <c r="H5" i="9"/>
  <c r="G5" i="9"/>
  <c r="F5" i="9"/>
  <c r="E5" i="9"/>
  <c r="H4" i="9"/>
  <c r="G4" i="9"/>
  <c r="F4" i="9"/>
  <c r="E4" i="9"/>
  <c r="H3" i="9"/>
  <c r="G3" i="9"/>
  <c r="F3" i="9"/>
  <c r="E3" i="9"/>
  <c r="H2" i="9"/>
  <c r="G2" i="9"/>
  <c r="F2" i="9"/>
  <c r="E2" i="9"/>
  <c r="S9" i="8"/>
  <c r="R9" i="8"/>
  <c r="R2" i="8"/>
  <c r="S4" i="8"/>
  <c r="S3" i="8"/>
  <c r="S2" i="8"/>
  <c r="B30" i="8"/>
  <c r="H25" i="9"/>
  <c r="G25" i="9"/>
  <c r="F25" i="9"/>
  <c r="E25" i="9"/>
  <c r="H24" i="9"/>
  <c r="G24" i="9"/>
  <c r="F24" i="9"/>
  <c r="E24" i="9"/>
  <c r="H23" i="9"/>
  <c r="G23" i="9"/>
  <c r="F23" i="9"/>
  <c r="E23" i="9"/>
  <c r="H22" i="9"/>
  <c r="G22" i="9"/>
  <c r="F22" i="9"/>
  <c r="E22" i="9"/>
  <c r="H21" i="9"/>
  <c r="G21" i="9"/>
  <c r="F21" i="9"/>
  <c r="E21" i="9"/>
  <c r="H20" i="9"/>
  <c r="G20" i="9"/>
  <c r="F20" i="9"/>
  <c r="E20" i="9"/>
  <c r="H19" i="9"/>
  <c r="G19" i="9"/>
  <c r="F19" i="9"/>
  <c r="E19" i="9"/>
  <c r="H18" i="9"/>
  <c r="G18" i="9"/>
  <c r="F18" i="9"/>
  <c r="E18" i="9"/>
  <c r="T9" i="9"/>
  <c r="S9" i="9"/>
  <c r="R9" i="9"/>
  <c r="Q9" i="9"/>
  <c r="T8" i="9"/>
  <c r="S8" i="9"/>
  <c r="R8" i="9"/>
  <c r="Q8" i="9"/>
  <c r="T7" i="9"/>
  <c r="S7" i="9"/>
  <c r="R7" i="9"/>
  <c r="Q7" i="9"/>
  <c r="T6" i="9"/>
  <c r="S6" i="9"/>
  <c r="R6" i="9"/>
  <c r="Q6" i="9"/>
  <c r="T5" i="9"/>
  <c r="S5" i="9"/>
  <c r="R5" i="9"/>
  <c r="Q5" i="9"/>
  <c r="T4" i="9"/>
  <c r="S4" i="9"/>
  <c r="R4" i="9"/>
  <c r="Q4" i="9"/>
  <c r="T3" i="9"/>
  <c r="S3" i="9"/>
  <c r="R3" i="9"/>
  <c r="Q3" i="9"/>
  <c r="T2" i="9"/>
  <c r="S2" i="9"/>
  <c r="R2" i="9"/>
  <c r="Q2" i="9"/>
  <c r="Q3" i="8"/>
  <c r="R3" i="8"/>
  <c r="T3" i="8"/>
  <c r="Q4" i="8"/>
  <c r="R4" i="8"/>
  <c r="T4" i="8"/>
  <c r="Q5" i="8"/>
  <c r="R5" i="8"/>
  <c r="S5" i="8"/>
  <c r="T5" i="8"/>
  <c r="Q6" i="8"/>
  <c r="R6" i="8"/>
  <c r="S6" i="8"/>
  <c r="T6" i="8"/>
  <c r="Q7" i="8"/>
  <c r="R7" i="8"/>
  <c r="S7" i="8"/>
  <c r="T7" i="8"/>
  <c r="Q8" i="8"/>
  <c r="R8" i="8"/>
  <c r="S8" i="8"/>
  <c r="T8" i="8"/>
  <c r="Q9" i="8"/>
  <c r="T9" i="8"/>
  <c r="T2" i="8"/>
  <c r="I9" i="8"/>
  <c r="Q60" i="8" l="1"/>
  <c r="P70" i="8" s="1"/>
  <c r="B29" i="8"/>
  <c r="B25" i="8"/>
  <c r="H9" i="8"/>
  <c r="I8" i="8"/>
  <c r="H8" i="8"/>
  <c r="C23" i="8" s="1"/>
  <c r="I7" i="8"/>
  <c r="H7" i="8"/>
  <c r="I6" i="8"/>
  <c r="H6" i="8"/>
  <c r="I5" i="8"/>
  <c r="H5" i="8"/>
  <c r="I4" i="8"/>
  <c r="H4" i="8"/>
  <c r="D19" i="8" s="1"/>
  <c r="I3" i="8"/>
  <c r="H3" i="8"/>
  <c r="F18" i="8" s="1"/>
  <c r="I2" i="8"/>
  <c r="H2" i="8"/>
  <c r="K84" i="4"/>
  <c r="J84" i="4"/>
  <c r="I84" i="4"/>
  <c r="H84" i="4"/>
  <c r="G84" i="4"/>
  <c r="F84" i="4"/>
  <c r="K83" i="4"/>
  <c r="J83" i="4"/>
  <c r="I83" i="4"/>
  <c r="H83" i="4"/>
  <c r="G83" i="4"/>
  <c r="F83" i="4"/>
  <c r="K82" i="4"/>
  <c r="J82" i="4"/>
  <c r="I82" i="4"/>
  <c r="H82" i="4"/>
  <c r="G82" i="4"/>
  <c r="F82" i="4"/>
  <c r="K81" i="4"/>
  <c r="J81" i="4"/>
  <c r="I81" i="4"/>
  <c r="H81" i="4"/>
  <c r="G81" i="4"/>
  <c r="F81" i="4"/>
  <c r="K80" i="4"/>
  <c r="J80" i="4"/>
  <c r="I80" i="4"/>
  <c r="H80" i="4"/>
  <c r="G80" i="4"/>
  <c r="F80" i="4"/>
  <c r="K79" i="4"/>
  <c r="J79" i="4"/>
  <c r="I79" i="4"/>
  <c r="H79" i="4"/>
  <c r="G79" i="4"/>
  <c r="F79" i="4"/>
  <c r="K78" i="4"/>
  <c r="J78" i="4"/>
  <c r="I78" i="4"/>
  <c r="H78" i="4"/>
  <c r="G78" i="4"/>
  <c r="F78" i="4"/>
  <c r="K77" i="4"/>
  <c r="J77" i="4"/>
  <c r="I77" i="4"/>
  <c r="H77" i="4"/>
  <c r="G77" i="4"/>
  <c r="F77" i="4"/>
  <c r="K76" i="4"/>
  <c r="J76" i="4"/>
  <c r="I76" i="4"/>
  <c r="H76" i="4"/>
  <c r="G76" i="4"/>
  <c r="F76" i="4"/>
  <c r="K75" i="4"/>
  <c r="J75" i="4"/>
  <c r="I75" i="4"/>
  <c r="H75" i="4"/>
  <c r="G75" i="4"/>
  <c r="F75" i="4"/>
  <c r="K74" i="4"/>
  <c r="J74" i="4"/>
  <c r="I74" i="4"/>
  <c r="H74" i="4"/>
  <c r="G74" i="4"/>
  <c r="F74" i="4"/>
  <c r="K73" i="4"/>
  <c r="J73" i="4"/>
  <c r="H73" i="4"/>
  <c r="G73" i="4"/>
  <c r="F73" i="4"/>
  <c r="K72" i="4"/>
  <c r="J72" i="4"/>
  <c r="I72" i="4"/>
  <c r="H72" i="4"/>
  <c r="G72" i="4"/>
  <c r="F72" i="4"/>
  <c r="K71" i="4"/>
  <c r="J71" i="4"/>
  <c r="I71" i="4"/>
  <c r="H71" i="4"/>
  <c r="G71" i="4"/>
  <c r="F71" i="4"/>
  <c r="K70" i="4"/>
  <c r="J70" i="4"/>
  <c r="I70" i="4"/>
  <c r="H70" i="4"/>
  <c r="G70" i="4"/>
  <c r="F70" i="4"/>
  <c r="K69" i="4"/>
  <c r="J69" i="4"/>
  <c r="I69" i="4"/>
  <c r="H69" i="4"/>
  <c r="G69" i="4"/>
  <c r="F6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J3" i="4" l="1"/>
  <c r="L69" i="4" s="1"/>
  <c r="AB3" i="4"/>
  <c r="J4" i="4"/>
  <c r="J6" i="4"/>
  <c r="AB6" i="4" s="1"/>
  <c r="J8" i="4"/>
  <c r="J10" i="4"/>
  <c r="AB10" i="4" s="1"/>
  <c r="J12" i="4"/>
  <c r="AB12" i="4" s="1"/>
  <c r="J14" i="4"/>
  <c r="AB14" i="4" s="1"/>
  <c r="J16" i="4"/>
  <c r="AB16" i="4" s="1"/>
  <c r="J18" i="4"/>
  <c r="AB18" i="4" s="1"/>
  <c r="J5" i="4"/>
  <c r="AB5" i="4" s="1"/>
  <c r="J7" i="4"/>
  <c r="AB7" i="4" s="1"/>
  <c r="J9" i="4"/>
  <c r="AB9" i="4" s="1"/>
  <c r="J11" i="4"/>
  <c r="AB11" i="4" s="1"/>
  <c r="J13" i="4"/>
  <c r="AB13" i="4" s="1"/>
  <c r="J15" i="4"/>
  <c r="AB15" i="4" s="1"/>
  <c r="J17" i="4"/>
  <c r="AB17" i="4" s="1"/>
  <c r="D20" i="8"/>
  <c r="E21" i="8"/>
  <c r="E50" i="8"/>
  <c r="G21" i="8"/>
  <c r="D18" i="8"/>
  <c r="F22" i="8"/>
  <c r="C19" i="8"/>
  <c r="G23" i="8"/>
  <c r="I21" i="8"/>
  <c r="E19" i="8"/>
  <c r="G22" i="8"/>
  <c r="H50" i="8"/>
  <c r="D50" i="8"/>
  <c r="F50" i="8"/>
  <c r="B50" i="8"/>
  <c r="C50" i="8"/>
  <c r="G50" i="8"/>
  <c r="G19" i="8"/>
  <c r="H22" i="8"/>
  <c r="I17" i="8"/>
  <c r="G17" i="8"/>
  <c r="C17" i="8"/>
  <c r="H17" i="8"/>
  <c r="E20" i="8"/>
  <c r="I10" i="8"/>
  <c r="B13" i="8" s="1"/>
  <c r="B14" i="8" s="1"/>
  <c r="B36" i="8" s="1"/>
  <c r="B37" i="8" s="1"/>
  <c r="F20" i="8"/>
  <c r="I23" i="8"/>
  <c r="E17" i="8"/>
  <c r="H20" i="8"/>
  <c r="F21" i="8"/>
  <c r="L26" i="4"/>
  <c r="D26" i="4"/>
  <c r="P26" i="4"/>
  <c r="B26" i="8"/>
  <c r="D30" i="8"/>
  <c r="D29" i="8"/>
  <c r="H24" i="8"/>
  <c r="G24" i="8"/>
  <c r="F24" i="8"/>
  <c r="E24" i="8"/>
  <c r="C24" i="8"/>
  <c r="I24" i="8"/>
  <c r="I18" i="8"/>
  <c r="H18" i="8"/>
  <c r="G18" i="8"/>
  <c r="E18" i="8"/>
  <c r="C18" i="8"/>
  <c r="D24" i="8"/>
  <c r="H23" i="8"/>
  <c r="D17" i="8"/>
  <c r="F19" i="8"/>
  <c r="G20" i="8"/>
  <c r="H21" i="8"/>
  <c r="I22" i="8"/>
  <c r="F17" i="8"/>
  <c r="H19" i="8"/>
  <c r="I20" i="8"/>
  <c r="C22" i="8"/>
  <c r="D23" i="8"/>
  <c r="I19" i="8"/>
  <c r="C21" i="8"/>
  <c r="D22" i="8"/>
  <c r="E23" i="8"/>
  <c r="C20" i="8"/>
  <c r="D21" i="8"/>
  <c r="E22" i="8"/>
  <c r="F23" i="8"/>
  <c r="H29" i="4" l="1"/>
  <c r="AB8" i="4"/>
  <c r="B26" i="4"/>
  <c r="AB4" i="4"/>
  <c r="M20" i="4" s="1"/>
  <c r="J19" i="4"/>
  <c r="AB19" i="4" s="1"/>
  <c r="N20" i="4"/>
  <c r="R20" i="4"/>
  <c r="P20" i="4"/>
  <c r="Q20" i="4"/>
  <c r="U20" i="4"/>
  <c r="S20" i="4"/>
  <c r="X20" i="4"/>
  <c r="T20" i="4"/>
  <c r="F30" i="4"/>
  <c r="H26" i="4"/>
  <c r="D31" i="4"/>
  <c r="B28" i="4"/>
  <c r="L27" i="4"/>
  <c r="D27" i="4"/>
  <c r="B31" i="4"/>
  <c r="F26" i="4"/>
  <c r="F31" i="4"/>
  <c r="B29" i="4"/>
  <c r="L30" i="4"/>
  <c r="B32" i="4"/>
  <c r="J33" i="4"/>
  <c r="F29" i="4"/>
  <c r="H33" i="4"/>
  <c r="D33" i="4"/>
  <c r="H32" i="4"/>
  <c r="J27" i="4"/>
  <c r="N29" i="4"/>
  <c r="L81" i="4"/>
  <c r="O81" i="4" s="1"/>
  <c r="L80" i="4"/>
  <c r="O80" i="4" s="1"/>
  <c r="F28" i="4"/>
  <c r="J29" i="4"/>
  <c r="P31" i="4"/>
  <c r="J26" i="4"/>
  <c r="L33" i="4"/>
  <c r="L73" i="4"/>
  <c r="O73" i="4" s="1"/>
  <c r="L74" i="4"/>
  <c r="O74" i="4" s="1"/>
  <c r="D29" i="4"/>
  <c r="N30" i="4"/>
  <c r="N33" i="4"/>
  <c r="L75" i="4"/>
  <c r="O75" i="4" s="1"/>
  <c r="L84" i="4"/>
  <c r="O84" i="4" s="1"/>
  <c r="N28" i="4"/>
  <c r="J28" i="4"/>
  <c r="J30" i="4"/>
  <c r="B33" i="4"/>
  <c r="L79" i="4"/>
  <c r="O79" i="4" s="1"/>
  <c r="L32" i="4"/>
  <c r="P32" i="4"/>
  <c r="D32" i="4"/>
  <c r="F33" i="4"/>
  <c r="O69" i="4"/>
  <c r="J32" i="4"/>
  <c r="H30" i="4"/>
  <c r="A90" i="4"/>
  <c r="P27" i="4"/>
  <c r="N32" i="4"/>
  <c r="L28" i="4"/>
  <c r="N31" i="4"/>
  <c r="P30" i="4"/>
  <c r="N26" i="4"/>
  <c r="L31" i="4"/>
  <c r="L71" i="4"/>
  <c r="O71" i="4" s="1"/>
  <c r="L82" i="4"/>
  <c r="O82" i="4" s="1"/>
  <c r="H28" i="4"/>
  <c r="L72" i="4"/>
  <c r="L83" i="4"/>
  <c r="O83" i="4" s="1"/>
  <c r="F32" i="4"/>
  <c r="P28" i="4"/>
  <c r="J31" i="4"/>
  <c r="D28" i="4"/>
  <c r="D30" i="4"/>
  <c r="L77" i="4"/>
  <c r="O77" i="4" s="1"/>
  <c r="O72" i="4"/>
  <c r="E25" i="8"/>
  <c r="E26" i="8" s="1"/>
  <c r="H31" i="4"/>
  <c r="L29" i="4"/>
  <c r="B27" i="4"/>
  <c r="P29" i="4"/>
  <c r="L70" i="4"/>
  <c r="H27" i="4"/>
  <c r="F27" i="4"/>
  <c r="L78" i="4"/>
  <c r="O78" i="4" s="1"/>
  <c r="B30" i="4"/>
  <c r="N27" i="4"/>
  <c r="P33" i="4"/>
  <c r="L76" i="4"/>
  <c r="O76" i="4" s="1"/>
  <c r="I25" i="8"/>
  <c r="I36" i="8" s="1"/>
  <c r="I37" i="8" s="1"/>
  <c r="F49" i="8"/>
  <c r="B49" i="8"/>
  <c r="D49" i="8"/>
  <c r="H49" i="8"/>
  <c r="G49" i="8"/>
  <c r="C49" i="8"/>
  <c r="E49" i="8"/>
  <c r="D48" i="8"/>
  <c r="G48" i="8"/>
  <c r="F48" i="8"/>
  <c r="H48" i="8"/>
  <c r="B48" i="8"/>
  <c r="E48" i="8"/>
  <c r="C48" i="8"/>
  <c r="H46" i="8"/>
  <c r="E46" i="8"/>
  <c r="F46" i="8"/>
  <c r="D46" i="8"/>
  <c r="G46" i="8"/>
  <c r="C46" i="8"/>
  <c r="D52" i="8"/>
  <c r="E52" i="8"/>
  <c r="G52" i="8"/>
  <c r="F52" i="8"/>
  <c r="H52" i="8"/>
  <c r="C52" i="8"/>
  <c r="B52" i="8"/>
  <c r="E51" i="8"/>
  <c r="B51" i="8"/>
  <c r="C51" i="8"/>
  <c r="D51" i="8"/>
  <c r="F51" i="8"/>
  <c r="G51" i="8"/>
  <c r="H51" i="8"/>
  <c r="C25" i="8"/>
  <c r="C26" i="8" s="1"/>
  <c r="F53" i="8"/>
  <c r="H53" i="8"/>
  <c r="E53" i="8"/>
  <c r="B53" i="8"/>
  <c r="D53" i="8"/>
  <c r="C53" i="8"/>
  <c r="G53" i="8"/>
  <c r="B47" i="8"/>
  <c r="C47" i="8"/>
  <c r="D47" i="8"/>
  <c r="G47" i="8"/>
  <c r="E47" i="8"/>
  <c r="F47" i="8"/>
  <c r="H47" i="8"/>
  <c r="F25" i="8"/>
  <c r="G25" i="8"/>
  <c r="H25" i="8"/>
  <c r="D25" i="8"/>
  <c r="B35" i="8"/>
  <c r="B34" i="8"/>
  <c r="N40" i="29" l="1"/>
  <c r="AF36" i="4"/>
  <c r="N30" i="29"/>
  <c r="V36" i="4"/>
  <c r="N35" i="29"/>
  <c r="AA36" i="4"/>
  <c r="W20" i="4"/>
  <c r="W22" i="4" s="1"/>
  <c r="AA31" i="4" s="1"/>
  <c r="N33" i="29"/>
  <c r="Y36" i="4"/>
  <c r="N29" i="29"/>
  <c r="U36" i="4"/>
  <c r="N36" i="29"/>
  <c r="AB36" i="4"/>
  <c r="N37" i="29"/>
  <c r="AC36" i="4"/>
  <c r="L22" i="4"/>
  <c r="N32" i="29"/>
  <c r="X36" i="4"/>
  <c r="N34" i="29"/>
  <c r="Z36" i="4"/>
  <c r="AA20" i="4"/>
  <c r="AA22" i="4" s="1"/>
  <c r="AC31" i="4" s="1"/>
  <c r="Y20" i="4"/>
  <c r="Y22" i="4" s="1"/>
  <c r="O20" i="4"/>
  <c r="O22" i="4" s="1"/>
  <c r="Z20" i="4"/>
  <c r="Z22" i="4" s="1"/>
  <c r="V20" i="4"/>
  <c r="V22" i="4" s="1"/>
  <c r="M22" i="4"/>
  <c r="U31" i="4" s="1"/>
  <c r="Q22" i="4"/>
  <c r="R22" i="4"/>
  <c r="U22" i="4"/>
  <c r="N22" i="4"/>
  <c r="V31" i="4" s="1"/>
  <c r="S22" i="4"/>
  <c r="Y31" i="4" s="1"/>
  <c r="T22" i="4"/>
  <c r="Z31" i="4" s="1"/>
  <c r="P22" i="4"/>
  <c r="W31" i="4" s="1"/>
  <c r="U26" i="4"/>
  <c r="X22" i="4"/>
  <c r="AB31" i="4" s="1"/>
  <c r="D34" i="4"/>
  <c r="B38" i="4" s="1"/>
  <c r="B88" i="4"/>
  <c r="B90" i="4" s="1"/>
  <c r="F34" i="4"/>
  <c r="C39" i="4" s="1"/>
  <c r="J34" i="4"/>
  <c r="D41" i="4" s="1"/>
  <c r="N34" i="4"/>
  <c r="E43" i="4" s="1"/>
  <c r="B34" i="4"/>
  <c r="B37" i="4" s="1"/>
  <c r="L34" i="4"/>
  <c r="D42" i="4" s="1"/>
  <c r="H34" i="4"/>
  <c r="C40" i="4" s="1"/>
  <c r="P34" i="4"/>
  <c r="E44" i="4" s="1"/>
  <c r="I26" i="8"/>
  <c r="E36" i="8"/>
  <c r="E37" i="8" s="1"/>
  <c r="F35" i="8"/>
  <c r="F34" i="8"/>
  <c r="C36" i="8"/>
  <c r="C37" i="8" s="1"/>
  <c r="C35" i="8"/>
  <c r="C34" i="8"/>
  <c r="D34" i="8"/>
  <c r="D35" i="8"/>
  <c r="H34" i="8"/>
  <c r="H35" i="8"/>
  <c r="E35" i="8"/>
  <c r="E34" i="8"/>
  <c r="G35" i="8"/>
  <c r="G34" i="8"/>
  <c r="I34" i="8"/>
  <c r="I35" i="8"/>
  <c r="O70" i="4"/>
  <c r="E88" i="4"/>
  <c r="E90" i="4" s="1"/>
  <c r="D88" i="4"/>
  <c r="D90" i="4" s="1"/>
  <c r="G88" i="4"/>
  <c r="G90" i="4" s="1"/>
  <c r="H88" i="4"/>
  <c r="H90" i="4" s="1"/>
  <c r="I88" i="4"/>
  <c r="I90" i="4" s="1"/>
  <c r="K88" i="4"/>
  <c r="K90" i="4" s="1"/>
  <c r="F88" i="4"/>
  <c r="F90" i="4" s="1"/>
  <c r="J88" i="4"/>
  <c r="J90" i="4" s="1"/>
  <c r="C88" i="4"/>
  <c r="C90" i="4" s="1"/>
  <c r="E55" i="8"/>
  <c r="F77" i="8" s="1"/>
  <c r="F78" i="8" s="1"/>
  <c r="H55" i="8"/>
  <c r="I77" i="8" s="1"/>
  <c r="I78" i="8" s="1"/>
  <c r="C55" i="8"/>
  <c r="D77" i="8" s="1"/>
  <c r="D78" i="8" s="1"/>
  <c r="G55" i="8"/>
  <c r="H77" i="8" s="1"/>
  <c r="H78" i="8" s="1"/>
  <c r="B55" i="8"/>
  <c r="C77" i="8" s="1"/>
  <c r="C78" i="8" s="1"/>
  <c r="D55" i="8"/>
  <c r="E77" i="8" s="1"/>
  <c r="E78" i="8" s="1"/>
  <c r="F55" i="8"/>
  <c r="G77" i="8" s="1"/>
  <c r="G78" i="8" s="1"/>
  <c r="G26" i="8"/>
  <c r="M60" i="8" s="1"/>
  <c r="P64" i="8" s="1"/>
  <c r="G36" i="8"/>
  <c r="G37" i="8" s="1"/>
  <c r="H26" i="8"/>
  <c r="H36" i="8"/>
  <c r="H37" i="8" s="1"/>
  <c r="F26" i="8"/>
  <c r="F36" i="8"/>
  <c r="F37" i="8" s="1"/>
  <c r="D36" i="8"/>
  <c r="D37" i="8" s="1"/>
  <c r="D26" i="8"/>
  <c r="U34" i="4" l="1"/>
  <c r="N41" i="29"/>
  <c r="AG36" i="4"/>
  <c r="N31" i="29"/>
  <c r="W36" i="4"/>
  <c r="N43" i="29"/>
  <c r="AI36" i="4"/>
  <c r="X26" i="4"/>
  <c r="N42" i="29"/>
  <c r="AH36" i="4"/>
  <c r="N39" i="29"/>
  <c r="AE36" i="4"/>
  <c r="T26" i="4"/>
  <c r="N38" i="29"/>
  <c r="AD36" i="4"/>
  <c r="O60" i="8"/>
  <c r="P67" i="8" s="1"/>
  <c r="R34" i="4"/>
  <c r="S57" i="4" s="1"/>
  <c r="B98" i="4"/>
  <c r="U25" i="4" l="1"/>
  <c r="W25" i="4" s="1"/>
  <c r="U28" i="4" s="1"/>
  <c r="AC39" i="4"/>
  <c r="AC40" i="4" s="1"/>
  <c r="V39" i="4"/>
  <c r="V40" i="4" s="1"/>
  <c r="AB39" i="4"/>
  <c r="AB40" i="4" s="1"/>
  <c r="X39" i="4"/>
  <c r="X40" i="4" s="1"/>
  <c r="AA39" i="4"/>
  <c r="AA40" i="4" s="1"/>
  <c r="U39" i="4"/>
  <c r="U40" i="4" s="1"/>
  <c r="Z39" i="4"/>
  <c r="Z40" i="4" s="1"/>
  <c r="AF39" i="4"/>
  <c r="AF40" i="4" s="1"/>
  <c r="Y39" i="4"/>
  <c r="Y40" i="4" s="1"/>
  <c r="AG39" i="4"/>
  <c r="AG40" i="4" s="1"/>
  <c r="AE39" i="4"/>
  <c r="AE40" i="4" s="1"/>
  <c r="W39" i="4"/>
  <c r="W40" i="4" s="1"/>
  <c r="AI39" i="4"/>
  <c r="AI40" i="4" s="1"/>
  <c r="AD39" i="4"/>
  <c r="AD40" i="4" s="1"/>
  <c r="AH39" i="4"/>
  <c r="AH40" i="4" s="1"/>
  <c r="AF7" i="4"/>
  <c r="AH7" i="4" s="1"/>
  <c r="AF15" i="4"/>
  <c r="AH15" i="4" s="1"/>
  <c r="AF18" i="4"/>
  <c r="AH18" i="4" s="1"/>
  <c r="AF5" i="4"/>
  <c r="AH5" i="4" s="1"/>
  <c r="AF8" i="4"/>
  <c r="AH8" i="4" s="1"/>
  <c r="AF16" i="4"/>
  <c r="AH16" i="4" s="1"/>
  <c r="AF9" i="4"/>
  <c r="AH9" i="4" s="1"/>
  <c r="AF17" i="4"/>
  <c r="AH17" i="4" s="1"/>
  <c r="AF10" i="4"/>
  <c r="AH10" i="4" s="1"/>
  <c r="AF14" i="4"/>
  <c r="AH14" i="4" s="1"/>
  <c r="AF11" i="4"/>
  <c r="AH11" i="4" s="1"/>
  <c r="AF4" i="4"/>
  <c r="AH4" i="4" s="1"/>
  <c r="AF12" i="4"/>
  <c r="AH12" i="4" s="1"/>
  <c r="AF13" i="4"/>
  <c r="AH13" i="4" s="1"/>
  <c r="AF6" i="4"/>
  <c r="AH6" i="4" s="1"/>
  <c r="K57" i="4"/>
  <c r="K53" i="4" s="1"/>
  <c r="O57" i="4"/>
  <c r="O56" i="4" s="1"/>
  <c r="S56" i="4" s="1"/>
  <c r="AE37" i="4" l="1"/>
  <c r="AD38" i="4"/>
  <c r="AD37" i="4"/>
  <c r="W38" i="4"/>
  <c r="AH37" i="4"/>
  <c r="AI38" i="4"/>
  <c r="AH38" i="4"/>
  <c r="AI37" i="4"/>
  <c r="AG37" i="4"/>
  <c r="W37" i="4"/>
  <c r="AG38" i="4"/>
  <c r="AE38" i="4"/>
  <c r="AB38" i="4"/>
  <c r="Y38" i="4"/>
  <c r="U38" i="4"/>
  <c r="V38" i="4"/>
  <c r="Y37" i="4"/>
  <c r="AC38" i="4"/>
  <c r="AA38" i="4"/>
  <c r="AF38" i="4"/>
  <c r="AA37" i="4"/>
  <c r="AF37" i="4"/>
  <c r="V37" i="4"/>
  <c r="AC37" i="4"/>
  <c r="AB37" i="4"/>
  <c r="Z38" i="4"/>
  <c r="X37" i="4"/>
  <c r="Z37" i="4"/>
  <c r="X38" i="4"/>
  <c r="U37" i="4"/>
  <c r="K55" i="4"/>
  <c r="S55" i="4" s="1"/>
  <c r="O54" i="4"/>
  <c r="S54" i="4" s="1"/>
  <c r="K54" i="4"/>
  <c r="O53" i="4"/>
  <c r="S53" i="4" s="1"/>
  <c r="O55" i="4"/>
  <c r="K56" i="4"/>
  <c r="AB65" i="4" l="1"/>
  <c r="S58" i="4"/>
  <c r="K58" i="4"/>
  <c r="O5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資料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1!$A$46:$C$50" type="102" refreshedVersion="5" minRefreshableVersion="5">
    <extLst>
      <ext xmlns:x15="http://schemas.microsoft.com/office/spreadsheetml/2010/11/main" uri="{DE250136-89BD-433C-8126-D09CA5730AF9}">
        <x15:connection id="範圍-84bcd8b9-4c9f-4b08-8f30-869a09f5c714" autoDelete="1" usedByAddin="1">
          <x15:rangePr sourceName="_xlcn.WorksheetConnection_1A46C50"/>
        </x15:connection>
      </ext>
    </extLst>
  </connection>
</connections>
</file>

<file path=xl/sharedStrings.xml><?xml version="1.0" encoding="utf-8"?>
<sst xmlns="http://schemas.openxmlformats.org/spreadsheetml/2006/main" count="979" uniqueCount="396">
  <si>
    <t>avg</t>
    <phoneticPr fontId="1" type="noConversion"/>
  </si>
  <si>
    <t>E2</t>
    <phoneticPr fontId="1" type="noConversion"/>
  </si>
  <si>
    <t>E12</t>
    <phoneticPr fontId="1" type="noConversion"/>
  </si>
  <si>
    <t>x2</t>
    <phoneticPr fontId="1" type="noConversion"/>
  </si>
  <si>
    <t>x1</t>
    <phoneticPr fontId="1" type="noConversion"/>
  </si>
  <si>
    <t>test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</si>
  <si>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</si>
  <si>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</si>
  <si>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</si>
  <si>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</si>
  <si>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Run1</t>
    <phoneticPr fontId="1" type="noConversion"/>
  </si>
  <si>
    <t>Run2</t>
    <phoneticPr fontId="1" type="noConversion"/>
  </si>
  <si>
    <t>mean</t>
    <phoneticPr fontId="1" type="noConversion"/>
  </si>
  <si>
    <t>var</t>
    <phoneticPr fontId="1" type="noConversion"/>
  </si>
  <si>
    <t>X1+</t>
    <phoneticPr fontId="1" type="noConversion"/>
  </si>
  <si>
    <t>X1-</t>
    <phoneticPr fontId="1" type="noConversion"/>
  </si>
  <si>
    <t>X2+</t>
    <phoneticPr fontId="1" type="noConversion"/>
  </si>
  <si>
    <t>X2-</t>
    <phoneticPr fontId="1" type="noConversion"/>
  </si>
  <si>
    <t>X3+</t>
    <phoneticPr fontId="1" type="noConversion"/>
  </si>
  <si>
    <t>X3-</t>
    <phoneticPr fontId="1" type="noConversion"/>
  </si>
  <si>
    <t>X4+</t>
    <phoneticPr fontId="1" type="noConversion"/>
  </si>
  <si>
    <t>X4-</t>
    <phoneticPr fontId="1" type="noConversion"/>
  </si>
  <si>
    <t>AVG</t>
    <phoneticPr fontId="1" type="noConversion"/>
  </si>
  <si>
    <t>X1</t>
    <phoneticPr fontId="1" type="noConversion"/>
  </si>
  <si>
    <t>total averagew</t>
    <phoneticPr fontId="1" type="noConversion"/>
  </si>
  <si>
    <t>contribution</t>
    <phoneticPr fontId="1" type="noConversion"/>
  </si>
  <si>
    <t>Factor</t>
    <phoneticPr fontId="1" type="noConversion"/>
  </si>
  <si>
    <t>setting</t>
    <phoneticPr fontId="1" type="noConversion"/>
  </si>
  <si>
    <t>overall mean</t>
    <phoneticPr fontId="1" type="noConversion"/>
  </si>
  <si>
    <t>total</t>
    <phoneticPr fontId="1" type="noConversion"/>
  </si>
  <si>
    <t>all high level</t>
    <phoneticPr fontId="1" type="noConversion"/>
  </si>
  <si>
    <t>all low level</t>
    <phoneticPr fontId="1" type="noConversion"/>
  </si>
  <si>
    <t>optimal</t>
    <phoneticPr fontId="1" type="noConversion"/>
  </si>
  <si>
    <t>optimized set</t>
    <phoneticPr fontId="1" type="noConversion"/>
  </si>
  <si>
    <t>test</t>
  </si>
  <si>
    <t>X1</t>
  </si>
  <si>
    <t>X2</t>
  </si>
  <si>
    <t>X3</t>
  </si>
  <si>
    <t>X4</t>
  </si>
  <si>
    <t>Run1</t>
  </si>
  <si>
    <t>Run2</t>
  </si>
  <si>
    <t>mean</t>
  </si>
  <si>
    <t>var</t>
  </si>
  <si>
    <t>factor effect</t>
    <phoneticPr fontId="1" type="noConversion"/>
  </si>
  <si>
    <t>X1X2</t>
  </si>
  <si>
    <t>X1X2</t>
    <phoneticPr fontId="1" type="noConversion"/>
  </si>
  <si>
    <t>regression model</t>
    <phoneticPr fontId="1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</si>
  <si>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</si>
  <si>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</si>
  <si>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</si>
  <si>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</si>
  <si>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</si>
  <si>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</si>
  <si>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</si>
  <si>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</si>
  <si>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</si>
  <si>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</si>
  <si>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</si>
  <si>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</si>
  <si>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</si>
  <si>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</si>
  <si>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</si>
  <si>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</si>
  <si>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</si>
  <si>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</si>
  <si>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</si>
  <si>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</si>
  <si>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</si>
  <si>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</si>
  <si>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</si>
  <si>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</si>
  <si>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X1X3</t>
  </si>
  <si>
    <t>X1X3</t>
    <phoneticPr fontId="1" type="noConversion"/>
  </si>
  <si>
    <t>X1X4</t>
    <phoneticPr fontId="1" type="noConversion"/>
  </si>
  <si>
    <t>X2X3</t>
  </si>
  <si>
    <t>X2X3</t>
    <phoneticPr fontId="1" type="noConversion"/>
  </si>
  <si>
    <t>X2X4</t>
    <phoneticPr fontId="1" type="noConversion"/>
  </si>
  <si>
    <t>X3X4</t>
    <phoneticPr fontId="1" type="noConversion"/>
  </si>
  <si>
    <t>time</t>
    <phoneticPr fontId="1" type="noConversion"/>
  </si>
  <si>
    <t>trial_1</t>
    <phoneticPr fontId="1" type="noConversion"/>
  </si>
  <si>
    <t>trial_2</t>
    <phoneticPr fontId="1" type="noConversion"/>
  </si>
  <si>
    <t>trial_3</t>
    <phoneticPr fontId="1" type="noConversion"/>
  </si>
  <si>
    <t>overall noise</t>
    <phoneticPr fontId="1" type="noConversion"/>
  </si>
  <si>
    <t>VAR(E1)</t>
    <phoneticPr fontId="1" type="noConversion"/>
  </si>
  <si>
    <t>effect std</t>
    <phoneticPr fontId="1" type="noConversion"/>
  </si>
  <si>
    <t>t=(Ei-0)/s</t>
    <phoneticPr fontId="1" type="noConversion"/>
  </si>
  <si>
    <t>confidence interval</t>
    <phoneticPr fontId="1" type="noConversion"/>
  </si>
  <si>
    <t>upper  limit</t>
    <phoneticPr fontId="1" type="noConversion"/>
  </si>
  <si>
    <t>lowe limit</t>
    <phoneticPr fontId="1" type="noConversion"/>
  </si>
  <si>
    <t>X1X2X3</t>
  </si>
  <si>
    <t>average</t>
  </si>
  <si>
    <t>average</t>
    <phoneticPr fontId="1" type="noConversion"/>
  </si>
  <si>
    <t>b0</t>
    <phoneticPr fontId="1" type="noConversion"/>
  </si>
  <si>
    <t>b1(X1)</t>
    <phoneticPr fontId="1" type="noConversion"/>
  </si>
  <si>
    <t>b2(X2)</t>
    <phoneticPr fontId="1" type="noConversion"/>
  </si>
  <si>
    <t>b3(X3)</t>
    <phoneticPr fontId="1" type="noConversion"/>
  </si>
  <si>
    <t>b4(X4)</t>
    <phoneticPr fontId="1" type="noConversion"/>
  </si>
  <si>
    <t>b5(X1X2)</t>
    <phoneticPr fontId="1" type="noConversion"/>
  </si>
  <si>
    <t>b6(X1X3)</t>
    <phoneticPr fontId="1" type="noConversion"/>
  </si>
  <si>
    <t>b7(X1X4)</t>
    <phoneticPr fontId="1" type="noConversion"/>
  </si>
  <si>
    <t>b8(X2X3)</t>
    <phoneticPr fontId="1" type="noConversion"/>
  </si>
  <si>
    <t>b9(X2X4)</t>
    <phoneticPr fontId="1" type="noConversion"/>
  </si>
  <si>
    <t>b10(X3X4)</t>
    <phoneticPr fontId="1" type="noConversion"/>
  </si>
  <si>
    <t>E1(X1)</t>
    <phoneticPr fontId="1" type="noConversion"/>
  </si>
  <si>
    <t>E2(X2)</t>
    <phoneticPr fontId="1" type="noConversion"/>
  </si>
  <si>
    <t>E3(X3)</t>
    <phoneticPr fontId="1" type="noConversion"/>
  </si>
  <si>
    <t>E4(X4)</t>
    <phoneticPr fontId="1" type="noConversion"/>
  </si>
  <si>
    <t>E5(X1X2)</t>
    <phoneticPr fontId="1" type="noConversion"/>
  </si>
  <si>
    <t>E6(X1X3)</t>
    <phoneticPr fontId="1" type="noConversion"/>
  </si>
  <si>
    <t>E7(X1X4)</t>
    <phoneticPr fontId="1" type="noConversion"/>
  </si>
  <si>
    <t>E8(X2X3)</t>
    <phoneticPr fontId="1" type="noConversion"/>
  </si>
  <si>
    <t>E9(X2X4)</t>
    <phoneticPr fontId="1" type="noConversion"/>
  </si>
  <si>
    <t>E10(X3X4)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</si>
  <si>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</si>
  <si>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</si>
  <si>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</si>
  <si>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</si>
  <si>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obj</t>
    <phoneticPr fontId="1" type="noConversion"/>
  </si>
  <si>
    <t>Ei</t>
    <phoneticPr fontId="1" type="noConversion"/>
  </si>
  <si>
    <t>bi</t>
    <phoneticPr fontId="1" type="noConversion"/>
  </si>
  <si>
    <t>y</t>
    <phoneticPr fontId="1" type="noConversion"/>
  </si>
  <si>
    <t>S/N</t>
    <phoneticPr fontId="1" type="noConversion"/>
  </si>
  <si>
    <t>S/N ratio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</si>
  <si>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</si>
  <si>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</si>
  <si>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</si>
  <si>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B0</t>
    <phoneticPr fontId="1" type="noConversion"/>
  </si>
  <si>
    <t>p-value</t>
    <phoneticPr fontId="1" type="noConversion"/>
  </si>
  <si>
    <t>S/N ratio</t>
    <phoneticPr fontId="1" type="noConversion"/>
  </si>
  <si>
    <t>var</t>
    <phoneticPr fontId="1" type="noConversion"/>
  </si>
  <si>
    <t>temp</t>
    <phoneticPr fontId="1" type="noConversion"/>
  </si>
  <si>
    <t>pres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</si>
  <si>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</si>
  <si>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</si>
  <si>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</si>
  <si>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X1X2</t>
    <phoneticPr fontId="1" type="noConversion"/>
  </si>
  <si>
    <t>X1X3</t>
    <phoneticPr fontId="1" type="noConversion"/>
  </si>
  <si>
    <t>X1X2X3</t>
    <phoneticPr fontId="1" type="noConversion"/>
  </si>
  <si>
    <t>Ei</t>
  </si>
  <si>
    <t>bi</t>
  </si>
  <si>
    <t>avg</t>
    <phoneticPr fontId="1" type="noConversion"/>
  </si>
  <si>
    <t>t test result</t>
    <phoneticPr fontId="1" type="noConversion"/>
  </si>
  <si>
    <t>H1 stands</t>
    <phoneticPr fontId="1" type="noConversion"/>
  </si>
  <si>
    <t>H1 stands</t>
    <phoneticPr fontId="1" type="noConversion"/>
  </si>
  <si>
    <t>H0 stands</t>
    <phoneticPr fontId="1" type="noConversion"/>
  </si>
  <si>
    <t>H0 stands</t>
    <phoneticPr fontId="1" type="noConversion"/>
  </si>
  <si>
    <t>H0 stands</t>
    <phoneticPr fontId="1" type="noConversion"/>
  </si>
  <si>
    <t>significant?</t>
    <phoneticPr fontId="1" type="noConversion"/>
  </si>
  <si>
    <t>significant</t>
    <phoneticPr fontId="1" type="noConversion"/>
  </si>
  <si>
    <t>significant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</si>
  <si>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</si>
  <si>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</si>
  <si>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</si>
  <si>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significant</t>
    <phoneticPr fontId="1" type="noConversion"/>
  </si>
  <si>
    <t>output</t>
    <phoneticPr fontId="1" type="noConversion"/>
  </si>
  <si>
    <t>1_1</t>
    <phoneticPr fontId="1" type="noConversion"/>
  </si>
  <si>
    <t>1_2</t>
    <phoneticPr fontId="1" type="noConversion"/>
  </si>
  <si>
    <t>1_3</t>
    <phoneticPr fontId="1" type="noConversion"/>
  </si>
  <si>
    <t>1_4</t>
  </si>
  <si>
    <t>1_5</t>
  </si>
  <si>
    <t>1_6</t>
  </si>
  <si>
    <t>1_7</t>
  </si>
  <si>
    <t>1_8</t>
  </si>
  <si>
    <t>2_1</t>
    <phoneticPr fontId="1" type="noConversion"/>
  </si>
  <si>
    <t>2_2</t>
    <phoneticPr fontId="1" type="noConversion"/>
  </si>
  <si>
    <t>2_3</t>
  </si>
  <si>
    <t>2_4</t>
  </si>
  <si>
    <t>2_5</t>
  </si>
  <si>
    <t>2_6</t>
  </si>
  <si>
    <t>2_7</t>
  </si>
  <si>
    <t>2_8</t>
  </si>
  <si>
    <t>3_1</t>
    <phoneticPr fontId="1" type="noConversion"/>
  </si>
  <si>
    <t>3_2</t>
    <phoneticPr fontId="1" type="noConversion"/>
  </si>
  <si>
    <t>3_3</t>
  </si>
  <si>
    <t>3_4</t>
  </si>
  <si>
    <t>3_5</t>
  </si>
  <si>
    <t>3_6</t>
  </si>
  <si>
    <t>3_7</t>
  </si>
  <si>
    <t>3_8</t>
  </si>
  <si>
    <t>X2X3</t>
    <phoneticPr fontId="1" type="noConversion"/>
  </si>
  <si>
    <t>E6(X2X3)</t>
    <phoneticPr fontId="1" type="noConversion"/>
  </si>
  <si>
    <t>E7(X1X3)</t>
    <phoneticPr fontId="1" type="noConversion"/>
  </si>
  <si>
    <t>E8(X1X2X3)</t>
    <phoneticPr fontId="1" type="noConversion"/>
  </si>
  <si>
    <t>B5(X2X3)</t>
    <phoneticPr fontId="1" type="noConversion"/>
  </si>
  <si>
    <t>B6(X1X3)</t>
    <phoneticPr fontId="1" type="noConversion"/>
  </si>
  <si>
    <t>B4(X1X2)</t>
    <phoneticPr fontId="1" type="noConversion"/>
  </si>
  <si>
    <t>B7(X1X2X3)</t>
    <phoneticPr fontId="1" type="noConversion"/>
  </si>
  <si>
    <t>E2(X2)</t>
    <phoneticPr fontId="1" type="noConversion"/>
  </si>
  <si>
    <t>E3(X3)</t>
    <phoneticPr fontId="1" type="noConversion"/>
  </si>
  <si>
    <t>E5(X1X3)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</si>
  <si>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</si>
  <si>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</si>
  <si>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</si>
  <si>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X1X3</t>
    <phoneticPr fontId="1" type="noConversion"/>
  </si>
  <si>
    <t>X2X3</t>
    <phoneticPr fontId="1" type="noConversion"/>
  </si>
  <si>
    <t>E1</t>
  </si>
  <si>
    <t>E1</t>
    <phoneticPr fontId="1" type="noConversion"/>
  </si>
  <si>
    <t>E2</t>
  </si>
  <si>
    <t>E2</t>
    <phoneticPr fontId="1" type="noConversion"/>
  </si>
  <si>
    <t>E3</t>
  </si>
  <si>
    <t>E3</t>
    <phoneticPr fontId="1" type="noConversion"/>
  </si>
  <si>
    <t>E13</t>
  </si>
  <si>
    <t>E23</t>
  </si>
  <si>
    <t>E23</t>
    <phoneticPr fontId="1" type="noConversion"/>
  </si>
  <si>
    <t>E13</t>
    <phoneticPr fontId="1" type="noConversion"/>
  </si>
  <si>
    <t>E123</t>
  </si>
  <si>
    <t>E123</t>
    <phoneticPr fontId="1" type="noConversion"/>
  </si>
  <si>
    <t>S/N</t>
    <phoneticPr fontId="1" type="noConversion"/>
  </si>
  <si>
    <t>Bi</t>
  </si>
  <si>
    <t>Bi</t>
    <phoneticPr fontId="1" type="noConversion"/>
  </si>
  <si>
    <t>E12</t>
    <phoneticPr fontId="1" type="noConversion"/>
  </si>
  <si>
    <t>E12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</si>
  <si>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</si>
  <si>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</si>
  <si>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</si>
  <si>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x2</t>
    <phoneticPr fontId="1" type="noConversion"/>
  </si>
  <si>
    <t>y</t>
    <phoneticPr fontId="1" type="noConversion"/>
  </si>
  <si>
    <t>y</t>
    <phoneticPr fontId="1" type="noConversion"/>
  </si>
  <si>
    <t>X1+</t>
    <phoneticPr fontId="1" type="noConversion"/>
  </si>
  <si>
    <t>X2+</t>
    <phoneticPr fontId="1" type="noConversion"/>
  </si>
  <si>
    <t>X3-</t>
    <phoneticPr fontId="1" type="noConversion"/>
  </si>
  <si>
    <t>X4+</t>
    <phoneticPr fontId="1" type="noConversion"/>
  </si>
  <si>
    <t>regression on average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</si>
  <si>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</si>
  <si>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</si>
  <si>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</si>
  <si>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Y</t>
    <phoneticPr fontId="1" type="noConversion"/>
  </si>
  <si>
    <t>S/N</t>
    <phoneticPr fontId="1" type="noConversion"/>
  </si>
  <si>
    <t>average</t>
    <phoneticPr fontId="1" type="noConversion"/>
  </si>
  <si>
    <t>S/N 1</t>
    <phoneticPr fontId="1" type="noConversion"/>
  </si>
  <si>
    <t>S/N 2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</si>
  <si>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</si>
  <si>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</si>
  <si>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</si>
  <si>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y</t>
    <phoneticPr fontId="1" type="noConversion"/>
  </si>
  <si>
    <t>regression on S/N ratio 2</t>
    <phoneticPr fontId="1" type="noConversion"/>
  </si>
  <si>
    <t>regression on S/N ratio 1</t>
    <phoneticPr fontId="1" type="noConversion"/>
  </si>
  <si>
    <t>S/N ratio</t>
    <phoneticPr fontId="1" type="noConversion"/>
  </si>
  <si>
    <t>X1X2X3</t>
    <phoneticPr fontId="1" type="noConversion"/>
  </si>
  <si>
    <t>X1X2X4</t>
    <phoneticPr fontId="1" type="noConversion"/>
  </si>
  <si>
    <t>X1X3X4</t>
    <phoneticPr fontId="1" type="noConversion"/>
  </si>
  <si>
    <t>X2X3X4</t>
    <phoneticPr fontId="1" type="noConversion"/>
  </si>
  <si>
    <t>X1X2X3X4</t>
    <phoneticPr fontId="1" type="noConversion"/>
  </si>
  <si>
    <t>SN</t>
    <phoneticPr fontId="1" type="noConversion"/>
  </si>
  <si>
    <t>E11(X1X2X3)</t>
    <phoneticPr fontId="1" type="noConversion"/>
  </si>
  <si>
    <t>E12(X1X2X4)</t>
    <phoneticPr fontId="1" type="noConversion"/>
  </si>
  <si>
    <t>E13(X1X3X4)</t>
    <phoneticPr fontId="1" type="noConversion"/>
  </si>
  <si>
    <t>E14(X2X3X4)</t>
    <phoneticPr fontId="1" type="noConversion"/>
  </si>
  <si>
    <t>E15(X1X2X3X4)</t>
    <phoneticPr fontId="1" type="noConversion"/>
  </si>
  <si>
    <t>S_eff^2 of higher order</t>
    <phoneticPr fontId="1" type="noConversion"/>
  </si>
  <si>
    <t>S_eff</t>
    <phoneticPr fontId="1" type="noConversion"/>
  </si>
  <si>
    <t>Effect estimation(t*S_eff)</t>
    <phoneticPr fontId="1" type="noConversion"/>
  </si>
  <si>
    <t>S/N</t>
    <phoneticPr fontId="1" type="noConversion"/>
  </si>
  <si>
    <t xml:space="preserve">response </t>
    <phoneticPr fontId="1" type="noConversion"/>
  </si>
  <si>
    <t>QQ plot of residual</t>
    <phoneticPr fontId="1" type="noConversion"/>
  </si>
  <si>
    <t>沒有參照</t>
    <phoneticPr fontId="1" type="noConversion"/>
  </si>
  <si>
    <t>avg</t>
    <phoneticPr fontId="1" type="noConversion"/>
  </si>
  <si>
    <t>std</t>
    <phoneticPr fontId="1" type="noConversion"/>
  </si>
  <si>
    <t>run order</t>
    <phoneticPr fontId="1" type="noConversion"/>
  </si>
  <si>
    <t>prob</t>
    <phoneticPr fontId="1" type="noConversion"/>
  </si>
  <si>
    <t>norm</t>
    <phoneticPr fontId="1" type="noConversion"/>
  </si>
  <si>
    <t>errora</t>
    <phoneticPr fontId="1" type="noConversion"/>
  </si>
  <si>
    <t>a</t>
    <phoneticPr fontId="1" type="noConversion"/>
  </si>
  <si>
    <t>predicted</t>
    <phoneticPr fontId="1" type="noConversion"/>
  </si>
  <si>
    <t>error</t>
    <phoneticPr fontId="1" type="noConversion"/>
  </si>
  <si>
    <t>nominal S/N</t>
    <phoneticPr fontId="1" type="noConversion"/>
  </si>
  <si>
    <t>bartlett test</t>
    <phoneticPr fontId="1" type="noConversion"/>
  </si>
  <si>
    <t>sum</t>
    <phoneticPr fontId="1" type="noConversion"/>
  </si>
  <si>
    <t>M</t>
    <phoneticPr fontId="1" type="noConversion"/>
  </si>
  <si>
    <t>c</t>
    <phoneticPr fontId="1" type="noConversion"/>
  </si>
  <si>
    <t>chi cal</t>
    <phoneticPr fontId="1" type="noConversion"/>
  </si>
  <si>
    <t>chi</t>
    <phoneticPr fontId="1" type="noConversion"/>
  </si>
  <si>
    <t>nominal S/N ratio effect</t>
    <phoneticPr fontId="1" type="noConversion"/>
  </si>
  <si>
    <t>Higher order effect</t>
    <phoneticPr fontId="1" type="noConversion"/>
  </si>
  <si>
    <t>s.e. of higher order</t>
    <phoneticPr fontId="1" type="noConversion"/>
  </si>
  <si>
    <t>t_2,0.995</t>
    <phoneticPr fontId="1" type="noConversion"/>
  </si>
  <si>
    <t>Effect estimate</t>
    <phoneticPr fontId="1" type="noConversion"/>
  </si>
  <si>
    <t>E1(X1)</t>
    <phoneticPr fontId="1" type="noConversion"/>
  </si>
  <si>
    <t>E2(X2)</t>
    <phoneticPr fontId="1" type="noConversion"/>
  </si>
  <si>
    <t>E3(X3)</t>
    <phoneticPr fontId="1" type="noConversion"/>
  </si>
  <si>
    <t>E4(X1X2)</t>
    <phoneticPr fontId="1" type="noConversion"/>
  </si>
  <si>
    <t>E5(X1X3)</t>
    <phoneticPr fontId="1" type="noConversion"/>
  </si>
  <si>
    <t>E6(X2X3)</t>
    <phoneticPr fontId="1" type="noConversion"/>
  </si>
  <si>
    <t>E7(X1X2X3)</t>
    <phoneticPr fontId="1" type="noConversion"/>
  </si>
  <si>
    <t>UCL</t>
    <phoneticPr fontId="1" type="noConversion"/>
  </si>
  <si>
    <t>LCL</t>
    <phoneticPr fontId="1" type="noConversion"/>
  </si>
  <si>
    <t>p value</t>
    <phoneticPr fontId="1" type="noConversion"/>
  </si>
  <si>
    <t xml:space="preserve">t </t>
    <phoneticPr fontId="1" type="noConversion"/>
  </si>
  <si>
    <t>significant test</t>
    <phoneticPr fontId="1" type="noConversion"/>
  </si>
  <si>
    <t>significant</t>
    <phoneticPr fontId="1" type="noConversion"/>
  </si>
  <si>
    <t>NaN</t>
    <phoneticPr fontId="1" type="noConversion"/>
  </si>
  <si>
    <t>Q-Q</t>
    <phoneticPr fontId="1" type="noConversion"/>
  </si>
  <si>
    <t>data</t>
    <phoneticPr fontId="1" type="noConversion"/>
  </si>
  <si>
    <t>order</t>
    <phoneticPr fontId="1" type="noConversion"/>
  </si>
  <si>
    <t>i</t>
    <phoneticPr fontId="1" type="noConversion"/>
  </si>
  <si>
    <t>F-1</t>
    <phoneticPr fontId="1" type="noConversion"/>
  </si>
  <si>
    <t>Regression model</t>
    <phoneticPr fontId="1" type="noConversion"/>
  </si>
  <si>
    <t>B0</t>
    <phoneticPr fontId="1" type="noConversion"/>
  </si>
  <si>
    <t>B1</t>
    <phoneticPr fontId="1" type="noConversion"/>
  </si>
  <si>
    <t>B3</t>
    <phoneticPr fontId="1" type="noConversion"/>
  </si>
  <si>
    <t>B6</t>
    <phoneticPr fontId="1" type="noConversion"/>
  </si>
  <si>
    <t>X1</t>
    <phoneticPr fontId="1" type="noConversion"/>
  </si>
  <si>
    <t>X3</t>
    <phoneticPr fontId="1" type="noConversion"/>
  </si>
  <si>
    <t>optimization</t>
    <phoneticPr fontId="1" type="noConversion"/>
  </si>
  <si>
    <t>obj</t>
    <phoneticPr fontId="1" type="noConversion"/>
  </si>
  <si>
    <t>X2</t>
    <phoneticPr fontId="1" type="noConversion"/>
  </si>
  <si>
    <t>S/N ratio 100</t>
    <phoneticPr fontId="1" type="noConversion"/>
  </si>
  <si>
    <t>higher order effect</t>
    <phoneticPr fontId="1" type="noConversion"/>
  </si>
  <si>
    <t>s.e. higher order effect</t>
    <phoneticPr fontId="1" type="noConversion"/>
  </si>
  <si>
    <t>Q-Q</t>
    <phoneticPr fontId="1" type="noConversion"/>
  </si>
  <si>
    <t>order</t>
    <phoneticPr fontId="1" type="noConversion"/>
  </si>
  <si>
    <t>data</t>
    <phoneticPr fontId="1" type="noConversion"/>
  </si>
  <si>
    <t>i</t>
    <phoneticPr fontId="1" type="noConversion"/>
  </si>
  <si>
    <t>prob</t>
    <phoneticPr fontId="1" type="noConversion"/>
  </si>
  <si>
    <t>B1</t>
    <phoneticPr fontId="1" type="noConversion"/>
  </si>
  <si>
    <t>B6</t>
    <phoneticPr fontId="1" type="noConversion"/>
  </si>
  <si>
    <t>mean</t>
    <phoneticPr fontId="1" type="noConversion"/>
  </si>
  <si>
    <t>predict</t>
    <phoneticPr fontId="1" type="noConversion"/>
  </si>
  <si>
    <t>model error</t>
    <phoneticPr fontId="1" type="noConversion"/>
  </si>
  <si>
    <t>y-y_bar</t>
    <phoneticPr fontId="1" type="noConversion"/>
  </si>
  <si>
    <t>test</t>
    <phoneticPr fontId="1" type="noConversion"/>
  </si>
  <si>
    <t>NaN</t>
    <phoneticPr fontId="1" type="noConversion"/>
  </si>
  <si>
    <t>nominal S/N</t>
    <phoneticPr fontId="1" type="noConversion"/>
  </si>
  <si>
    <t>vars</t>
    <phoneticPr fontId="1" type="noConversion"/>
  </si>
  <si>
    <t>std</t>
    <phoneticPr fontId="1" type="noConversion"/>
  </si>
  <si>
    <t>NaN</t>
    <phoneticPr fontId="1" type="noConversion"/>
  </si>
  <si>
    <t>NaN</t>
    <phoneticPr fontId="1" type="noConversion"/>
  </si>
  <si>
    <t>order</t>
    <phoneticPr fontId="1" type="noConversion"/>
  </si>
  <si>
    <t>data</t>
    <phoneticPr fontId="1" type="noConversion"/>
  </si>
  <si>
    <t>prob</t>
    <phoneticPr fontId="1" type="noConversion"/>
  </si>
  <si>
    <t>F-1</t>
    <phoneticPr fontId="1" type="noConversion"/>
  </si>
  <si>
    <t>data</t>
    <phoneticPr fontId="1" type="noConversion"/>
  </si>
  <si>
    <t>F-1</t>
    <phoneticPr fontId="1" type="noConversion"/>
  </si>
  <si>
    <t>B0</t>
    <phoneticPr fontId="1" type="noConversion"/>
  </si>
  <si>
    <t>B2</t>
    <phoneticPr fontId="1" type="noConversion"/>
  </si>
  <si>
    <t>B4</t>
    <phoneticPr fontId="1" type="noConversion"/>
  </si>
  <si>
    <t>B7</t>
    <phoneticPr fontId="1" type="noConversion"/>
  </si>
  <si>
    <t>B8</t>
    <phoneticPr fontId="1" type="noConversion"/>
  </si>
  <si>
    <t>B11</t>
    <phoneticPr fontId="1" type="noConversion"/>
  </si>
  <si>
    <t>B12</t>
    <phoneticPr fontId="1" type="noConversion"/>
  </si>
  <si>
    <t>B15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</si>
  <si>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</si>
  <si>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</si>
  <si>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</si>
  <si>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</si>
  <si>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obj</t>
    <phoneticPr fontId="1" type="noConversion"/>
  </si>
  <si>
    <t>B1</t>
    <phoneticPr fontId="1" type="noConversion"/>
  </si>
  <si>
    <t>B6</t>
    <phoneticPr fontId="1" type="noConversion"/>
  </si>
  <si>
    <t>E</t>
    <phoneticPr fontId="1" type="noConversion"/>
  </si>
  <si>
    <t>UCL</t>
    <phoneticPr fontId="1" type="noConversion"/>
  </si>
  <si>
    <t>LCL</t>
    <phoneticPr fontId="1" type="noConversion"/>
  </si>
  <si>
    <t>t value</t>
    <phoneticPr fontId="1" type="noConversion"/>
  </si>
  <si>
    <t>X1X4</t>
  </si>
  <si>
    <t>X2X4</t>
  </si>
  <si>
    <t>X3X4</t>
  </si>
  <si>
    <t>X1X2X4</t>
  </si>
  <si>
    <t>X1X3X4</t>
  </si>
  <si>
    <t>X2X3X4</t>
  </si>
  <si>
    <t>X1X2X3X4</t>
  </si>
  <si>
    <t>p value</t>
    <phoneticPr fontId="1" type="noConversion"/>
  </si>
  <si>
    <t>E1</t>
    <phoneticPr fontId="1" type="noConversion"/>
  </si>
  <si>
    <t>E2</t>
    <phoneticPr fontId="1" type="noConversion"/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</si>
  <si>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</si>
  <si>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</si>
  <si>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</si>
  <si>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</si>
  <si>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</si>
  <si>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</si>
  <si>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</si>
  <si>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</si>
  <si>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</si>
  <si>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E14</t>
  </si>
  <si>
    <t>E15</t>
  </si>
  <si>
    <t>t_5,0.995</t>
    <phoneticPr fontId="1" type="noConversion"/>
  </si>
  <si>
    <t>S/N smaller better</t>
    <phoneticPr fontId="1" type="noConversion"/>
  </si>
  <si>
    <t>QQ</t>
    <phoneticPr fontId="1" type="noConversion"/>
  </si>
  <si>
    <t>B0</t>
    <phoneticPr fontId="1" type="noConversion"/>
  </si>
  <si>
    <t>B2</t>
    <phoneticPr fontId="1" type="noConversion"/>
  </si>
  <si>
    <t>B5</t>
    <phoneticPr fontId="1" type="noConversion"/>
  </si>
  <si>
    <t>B7</t>
    <phoneticPr fontId="1" type="noConversion"/>
  </si>
  <si>
    <t>B8</t>
    <phoneticPr fontId="1" type="noConversion"/>
  </si>
  <si>
    <t>B10</t>
    <phoneticPr fontId="1" type="noConversion"/>
  </si>
  <si>
    <t>B15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</si>
  <si>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</si>
  <si>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</si>
  <si>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</si>
  <si>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</si>
  <si>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obj</t>
    <phoneticPr fontId="1" type="noConversion"/>
  </si>
  <si>
    <t>b10(X3X4)</t>
    <phoneticPr fontId="1" type="noConversion"/>
  </si>
  <si>
    <t>b11(X1X2X3)</t>
    <phoneticPr fontId="1" type="noConversion"/>
  </si>
  <si>
    <t>b12(X1X2X4)</t>
    <phoneticPr fontId="1" type="noConversion"/>
  </si>
  <si>
    <t>b13(X1X3X4)</t>
    <phoneticPr fontId="1" type="noConversion"/>
  </si>
  <si>
    <t>b14(X2X3X4)</t>
    <phoneticPr fontId="1" type="noConversion"/>
  </si>
  <si>
    <t>b15(X1X2X3X4)</t>
    <phoneticPr fontId="1" type="noConversion"/>
  </si>
  <si>
    <t>Significant?</t>
    <phoneticPr fontId="1" type="noConversion"/>
  </si>
  <si>
    <t>NaN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</si>
</sst>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月&quot;d&quot;日&quot;"/>
    <numFmt numFmtId="177" formatCode="0.000_ "/>
    <numFmt numFmtId="178" formatCode="0.0000_ "/>
    <numFmt numFmtId="179" formatCode="0.00000000000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6">
    <xf numFmtId="0" fontId="0" fillId="0" borderId="0" xfId="0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Continuous" vertical="center"/>
    </xf>
    <xf numFmtId="0" fontId="2" fillId="0" borderId="18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7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9" xfId="0" applyFont="1" applyBorder="1">
      <alignment vertical="center"/>
    </xf>
    <xf numFmtId="177" fontId="2" fillId="4" borderId="1" xfId="0" applyNumberFormat="1" applyFont="1" applyFill="1" applyBorder="1" applyAlignment="1">
      <alignment horizontal="center" vertical="center"/>
    </xf>
    <xf numFmtId="177" fontId="2" fillId="4" borderId="2" xfId="0" applyNumberFormat="1" applyFont="1" applyFill="1" applyBorder="1" applyAlignment="1">
      <alignment horizontal="center" vertical="center"/>
    </xf>
    <xf numFmtId="177" fontId="2" fillId="4" borderId="17" xfId="0" applyNumberFormat="1" applyFont="1" applyFill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177" fontId="2" fillId="2" borderId="24" xfId="0" applyNumberFormat="1" applyFont="1" applyFill="1" applyBorder="1" applyAlignment="1">
      <alignment horizontal="center" vertical="center"/>
    </xf>
    <xf numFmtId="177" fontId="2" fillId="2" borderId="25" xfId="0" applyNumberFormat="1" applyFont="1" applyFill="1" applyBorder="1" applyAlignment="1">
      <alignment horizontal="center" vertical="center"/>
    </xf>
    <xf numFmtId="177" fontId="2" fillId="2" borderId="26" xfId="0" applyNumberFormat="1" applyFont="1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4" borderId="17" xfId="0" applyFont="1" applyFill="1" applyBorder="1">
      <alignment vertical="center"/>
    </xf>
    <xf numFmtId="0" fontId="4" fillId="0" borderId="1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0" xfId="0" applyNumberFormat="1" applyFont="1">
      <alignment vertical="center"/>
    </xf>
    <xf numFmtId="0" fontId="2" fillId="5" borderId="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4" borderId="5" xfId="0" applyFont="1" applyFill="1" applyBorder="1">
      <alignment vertical="center"/>
    </xf>
    <xf numFmtId="178" fontId="2" fillId="5" borderId="2" xfId="0" applyNumberFormat="1" applyFont="1" applyFill="1" applyBorder="1">
      <alignment vertical="center"/>
    </xf>
    <xf numFmtId="178" fontId="2" fillId="0" borderId="4" xfId="0" applyNumberFormat="1" applyFont="1" applyBorder="1">
      <alignment vertical="center"/>
    </xf>
    <xf numFmtId="178" fontId="2" fillId="0" borderId="6" xfId="0" applyNumberFormat="1" applyFont="1" applyBorder="1">
      <alignment vertical="center"/>
    </xf>
    <xf numFmtId="178" fontId="2" fillId="5" borderId="30" xfId="0" applyNumberFormat="1" applyFont="1" applyFill="1" applyBorder="1">
      <alignment vertical="center"/>
    </xf>
    <xf numFmtId="178" fontId="2" fillId="0" borderId="7" xfId="0" applyNumberFormat="1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76" fontId="2" fillId="4" borderId="5" xfId="0" applyNumberFormat="1" applyFont="1" applyFill="1" applyBorder="1" applyAlignment="1">
      <alignment horizontal="center" vertical="center"/>
    </xf>
    <xf numFmtId="176" fontId="2" fillId="4" borderId="24" xfId="0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17" xfId="0" applyNumberFormat="1" applyFont="1" applyBorder="1" applyAlignment="1">
      <alignment horizontal="center" vertical="center"/>
    </xf>
    <xf numFmtId="177" fontId="2" fillId="0" borderId="33" xfId="0" applyNumberFormat="1" applyFont="1" applyBorder="1" applyAlignment="1">
      <alignment horizontal="center" vertical="center"/>
    </xf>
    <xf numFmtId="177" fontId="2" fillId="0" borderId="34" xfId="0" applyNumberFormat="1" applyFont="1" applyBorder="1" applyAlignment="1">
      <alignment horizontal="center" vertical="center"/>
    </xf>
    <xf numFmtId="177" fontId="4" fillId="3" borderId="27" xfId="0" applyNumberFormat="1" applyFont="1" applyFill="1" applyBorder="1" applyAlignment="1">
      <alignment horizontal="center" vertical="center"/>
    </xf>
    <xf numFmtId="177" fontId="4" fillId="3" borderId="28" xfId="0" applyNumberFormat="1" applyFont="1" applyFill="1" applyBorder="1" applyAlignment="1">
      <alignment horizontal="center" vertical="center"/>
    </xf>
    <xf numFmtId="177" fontId="4" fillId="3" borderId="29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8" fontId="2" fillId="5" borderId="17" xfId="0" applyNumberFormat="1" applyFont="1" applyFill="1" applyBorder="1">
      <alignment vertical="center"/>
    </xf>
    <xf numFmtId="178" fontId="2" fillId="0" borderId="18" xfId="0" applyNumberFormat="1" applyFont="1" applyBorder="1">
      <alignment vertical="center"/>
    </xf>
    <xf numFmtId="178" fontId="2" fillId="0" borderId="22" xfId="0" applyNumberFormat="1" applyFont="1" applyBorder="1">
      <alignment vertical="center"/>
    </xf>
    <xf numFmtId="178" fontId="2" fillId="0" borderId="19" xfId="0" applyNumberFormat="1" applyFont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177" fontId="4" fillId="3" borderId="17" xfId="0" applyNumberFormat="1" applyFont="1" applyFill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179" fontId="2" fillId="0" borderId="0" xfId="0" applyNumberFormat="1" applyFont="1">
      <alignment vertical="center"/>
    </xf>
    <xf numFmtId="0" fontId="5" fillId="0" borderId="0" xfId="0" applyFont="1">
      <alignment vertical="center"/>
    </xf>
    <xf numFmtId="178" fontId="2" fillId="0" borderId="0" xfId="0" applyNumberFormat="1" applyFont="1">
      <alignment vertical="center"/>
    </xf>
    <xf numFmtId="178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6" xfId="0" applyFont="1" applyBorder="1">
      <alignment vertical="center"/>
    </xf>
    <xf numFmtId="0" fontId="2" fillId="5" borderId="17" xfId="0" applyFont="1" applyFill="1" applyBorder="1">
      <alignment vertical="center"/>
    </xf>
    <xf numFmtId="0" fontId="2" fillId="0" borderId="19" xfId="0" applyFont="1" applyBorder="1">
      <alignment vertical="center"/>
    </xf>
    <xf numFmtId="177" fontId="4" fillId="0" borderId="20" xfId="0" applyNumberFormat="1" applyFont="1" applyBorder="1" applyAlignment="1">
      <alignment horizontal="center" vertical="center"/>
    </xf>
    <xf numFmtId="177" fontId="2" fillId="7" borderId="36" xfId="0" applyNumberFormat="1" applyFont="1" applyFill="1" applyBorder="1" applyAlignment="1">
      <alignment horizontal="center" vertical="center"/>
    </xf>
    <xf numFmtId="177" fontId="2" fillId="7" borderId="27" xfId="0" applyNumberFormat="1" applyFont="1" applyFill="1" applyBorder="1" applyAlignment="1">
      <alignment horizontal="center" vertical="center"/>
    </xf>
    <xf numFmtId="177" fontId="2" fillId="7" borderId="28" xfId="0" applyNumberFormat="1" applyFont="1" applyFill="1" applyBorder="1" applyAlignment="1">
      <alignment horizontal="center" vertical="center"/>
    </xf>
    <xf numFmtId="177" fontId="2" fillId="7" borderId="29" xfId="0" applyNumberFormat="1" applyFont="1" applyFill="1" applyBorder="1" applyAlignment="1">
      <alignment horizontal="center" vertical="center"/>
    </xf>
    <xf numFmtId="177" fontId="2" fillId="5" borderId="37" xfId="0" applyNumberFormat="1" applyFont="1" applyFill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177" fontId="2" fillId="0" borderId="25" xfId="0" applyNumberFormat="1" applyFont="1" applyBorder="1" applyAlignment="1">
      <alignment horizontal="center" vertical="center"/>
    </xf>
    <xf numFmtId="177" fontId="2" fillId="0" borderId="26" xfId="0" applyNumberFormat="1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177" fontId="2" fillId="5" borderId="38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177" fontId="2" fillId="7" borderId="3" xfId="0" applyNumberFormat="1" applyFont="1" applyFill="1" applyBorder="1" applyAlignment="1">
      <alignment horizontal="center" vertical="center"/>
    </xf>
    <xf numFmtId="177" fontId="2" fillId="7" borderId="4" xfId="0" applyNumberFormat="1" applyFont="1" applyFill="1" applyBorder="1" applyAlignment="1">
      <alignment horizontal="center" vertical="center"/>
    </xf>
    <xf numFmtId="177" fontId="2" fillId="7" borderId="18" xfId="0" applyNumberFormat="1" applyFont="1" applyFill="1" applyBorder="1" applyAlignment="1">
      <alignment horizontal="center" vertical="center"/>
    </xf>
    <xf numFmtId="177" fontId="2" fillId="5" borderId="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 applyAlignment="1">
      <alignment horizontal="center" vertical="center"/>
    </xf>
    <xf numFmtId="177" fontId="2" fillId="0" borderId="0" xfId="0" applyNumberFormat="1" applyFo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7" fontId="3" fillId="0" borderId="27" xfId="0" applyNumberFormat="1" applyFont="1" applyBorder="1" applyAlignment="1">
      <alignment horizontal="center" vertical="center"/>
    </xf>
    <xf numFmtId="177" fontId="3" fillId="0" borderId="28" xfId="0" applyNumberFormat="1" applyFont="1" applyBorder="1" applyAlignment="1">
      <alignment horizontal="center" vertical="center"/>
    </xf>
    <xf numFmtId="177" fontId="3" fillId="0" borderId="29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7" fontId="2" fillId="0" borderId="31" xfId="0" applyNumberFormat="1" applyFont="1" applyBorder="1" applyAlignment="1">
      <alignment horizontal="center" vertical="center"/>
    </xf>
    <xf numFmtId="177" fontId="2" fillId="0" borderId="39" xfId="0" applyNumberFormat="1" applyFont="1" applyBorder="1" applyAlignment="1">
      <alignment horizontal="center" vertical="center"/>
    </xf>
    <xf numFmtId="177" fontId="2" fillId="0" borderId="32" xfId="0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17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paralism(-10log(mean^2/var.s))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'3'!$B$36</c:f>
              <c:strCache>
                <c:ptCount val="1"/>
                <c:pt idx="0">
                  <c:v>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'3'!$A$37:$A$44</c:f>
              <c:strCache>
                <c:ptCount val="8"/>
                <c:pt idx="0">
                  <c:v>X1+</c:v>
                </c:pt>
                <c:pt idx="1">
                  <c:v>X1-</c:v>
                </c:pt>
                <c:pt idx="2">
                  <c:v>X2+</c:v>
                </c:pt>
                <c:pt idx="3">
                  <c:v>X2-</c:v>
                </c:pt>
                <c:pt idx="4">
                  <c:v>X3+</c:v>
                </c:pt>
                <c:pt idx="5">
                  <c:v>X3-</c:v>
                </c:pt>
                <c:pt idx="6">
                  <c:v>X4+</c:v>
                </c:pt>
                <c:pt idx="7">
                  <c:v>X4-</c:v>
                </c:pt>
              </c:strCache>
            </c:strRef>
          </c:cat>
          <c:val>
            <c:numRef>
              <c:f>'3'!$B$37:$B$44</c:f>
              <c:numCache>
                <c:formatCode>General</c:formatCode>
                <c:ptCount val="8"/>
                <c:pt idx="0">
                  <c:v>8.5727609780480218</c:v>
                </c:pt>
                <c:pt idx="1">
                  <c:v>3.4093477171226265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1-4D0B-AEDA-4D5AE95CE0CE}"/>
            </c:ext>
          </c:extLst>
        </c:ser>
        <c:ser>
          <c:idx val="1"/>
          <c:order val="1"/>
          <c:tx>
            <c:strRef>
              <c:f>'3'!$C$36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'3'!$A$37:$A$44</c:f>
              <c:strCache>
                <c:ptCount val="8"/>
                <c:pt idx="0">
                  <c:v>X1+</c:v>
                </c:pt>
                <c:pt idx="1">
                  <c:v>X1-</c:v>
                </c:pt>
                <c:pt idx="2">
                  <c:v>X2+</c:v>
                </c:pt>
                <c:pt idx="3">
                  <c:v>X2-</c:v>
                </c:pt>
                <c:pt idx="4">
                  <c:v>X3+</c:v>
                </c:pt>
                <c:pt idx="5">
                  <c:v>X3-</c:v>
                </c:pt>
                <c:pt idx="6">
                  <c:v>X4+</c:v>
                </c:pt>
                <c:pt idx="7">
                  <c:v>X4-</c:v>
                </c:pt>
              </c:strCache>
            </c:strRef>
          </c:cat>
          <c:val>
            <c:numRef>
              <c:f>'3'!$C$37:$C$44</c:f>
              <c:numCache>
                <c:formatCode>General</c:formatCode>
                <c:ptCount val="8"/>
                <c:pt idx="2">
                  <c:v>10.005221276611842</c:v>
                </c:pt>
                <c:pt idx="3">
                  <c:v>1.9768874185588052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1-4D0B-AEDA-4D5AE95CE0CE}"/>
            </c:ext>
          </c:extLst>
        </c:ser>
        <c:ser>
          <c:idx val="2"/>
          <c:order val="2"/>
          <c:tx>
            <c:strRef>
              <c:f>'3'!$D$36</c:f>
              <c:strCache>
                <c:ptCount val="1"/>
                <c:pt idx="0">
                  <c:v>X3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'3'!$A$37:$A$44</c:f>
              <c:strCache>
                <c:ptCount val="8"/>
                <c:pt idx="0">
                  <c:v>X1+</c:v>
                </c:pt>
                <c:pt idx="1">
                  <c:v>X1-</c:v>
                </c:pt>
                <c:pt idx="2">
                  <c:v>X2+</c:v>
                </c:pt>
                <c:pt idx="3">
                  <c:v>X2-</c:v>
                </c:pt>
                <c:pt idx="4">
                  <c:v>X3+</c:v>
                </c:pt>
                <c:pt idx="5">
                  <c:v>X3-</c:v>
                </c:pt>
                <c:pt idx="6">
                  <c:v>X4+</c:v>
                </c:pt>
                <c:pt idx="7">
                  <c:v>X4-</c:v>
                </c:pt>
              </c:strCache>
            </c:strRef>
          </c:cat>
          <c:val>
            <c:numRef>
              <c:f>'3'!$D$37:$D$44</c:f>
              <c:numCache>
                <c:formatCode>General</c:formatCode>
                <c:ptCount val="8"/>
                <c:pt idx="4">
                  <c:v>4.0387221247788778</c:v>
                </c:pt>
                <c:pt idx="5">
                  <c:v>7.9433865703917714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1-4D0B-AEDA-4D5AE95CE0CE}"/>
            </c:ext>
          </c:extLst>
        </c:ser>
        <c:ser>
          <c:idx val="3"/>
          <c:order val="3"/>
          <c:tx>
            <c:strRef>
              <c:f>'3'!$E$36</c:f>
              <c:strCache>
                <c:ptCount val="1"/>
                <c:pt idx="0">
                  <c:v>X4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'3'!$A$37:$A$44</c:f>
              <c:strCache>
                <c:ptCount val="8"/>
                <c:pt idx="0">
                  <c:v>X1+</c:v>
                </c:pt>
                <c:pt idx="1">
                  <c:v>X1-</c:v>
                </c:pt>
                <c:pt idx="2">
                  <c:v>X2+</c:v>
                </c:pt>
                <c:pt idx="3">
                  <c:v>X2-</c:v>
                </c:pt>
                <c:pt idx="4">
                  <c:v>X3+</c:v>
                </c:pt>
                <c:pt idx="5">
                  <c:v>X3-</c:v>
                </c:pt>
                <c:pt idx="6">
                  <c:v>X4+</c:v>
                </c:pt>
                <c:pt idx="7">
                  <c:v>X4-</c:v>
                </c:pt>
              </c:strCache>
            </c:strRef>
          </c:cat>
          <c:val>
            <c:numRef>
              <c:f>'3'!$E$37:$E$44</c:f>
              <c:numCache>
                <c:formatCode>General</c:formatCode>
                <c:ptCount val="8"/>
                <c:pt idx="6">
                  <c:v>8.9933647000536165</c:v>
                </c:pt>
                <c:pt idx="7">
                  <c:v>2.9887439951170318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1-4D0B-AEDA-4D5AE95CE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575936"/>
        <c:axId val="293576496"/>
      </c:lineChart>
      <c:catAx>
        <c:axId val="2935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3576496"/>
        <c:crosses val="autoZero"/>
        <c:auto val="1"/>
        <c:lblAlgn val="ctr"/>
        <c:lblOffset val="100"/>
        <c:noMultiLvlLbl val="0"/>
      </c:catAx>
      <c:valAx>
        <c:axId val="2935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35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x3</a:t>
            </a:r>
            <a:r>
              <a:rPr lang="en-US" altLang="zh-TW" baseline="0"/>
              <a:t> vs residual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'2'!$J$82</c:f>
              <c:strCache>
                <c:ptCount val="1"/>
                <c:pt idx="0">
                  <c:v>y-y_bar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'2'!$E$83:$E$106</c:f>
              <c:numCache>
                <c:formatCode>General</c:formatCode>
                <c:ptCount val="2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xVal>
          <c:yVal>
            <c:numRef>
              <c:f>'2'!$J$83:$J$106</c:f>
              <c:numCache>
                <c:formatCode>General</c:formatCode>
                <c:ptCount val="24"/>
                <c:pt idx="0">
                  <c:v>2.403333333333336</c:v>
                </c:pt>
                <c:pt idx="1">
                  <c:v>-0.69333333333332803</c:v>
                </c:pt>
                <c:pt idx="2">
                  <c:v>-1.360000000000003</c:v>
                </c:pt>
                <c:pt idx="3">
                  <c:v>-3.9999999999999147E-2</c:v>
                </c:pt>
                <c:pt idx="4">
                  <c:v>4.5</c:v>
                </c:pt>
                <c:pt idx="5">
                  <c:v>1.9533333333333331</c:v>
                </c:pt>
                <c:pt idx="6">
                  <c:v>-3.1400000000000006</c:v>
                </c:pt>
                <c:pt idx="7">
                  <c:v>-2.5533333333333275</c:v>
                </c:pt>
                <c:pt idx="8">
                  <c:v>-0.44666666666666544</c:v>
                </c:pt>
                <c:pt idx="9">
                  <c:v>1.2566666666666606</c:v>
                </c:pt>
                <c:pt idx="10">
                  <c:v>5.1599999999999966</c:v>
                </c:pt>
                <c:pt idx="11">
                  <c:v>-2.9199999999999946</c:v>
                </c:pt>
                <c:pt idx="12">
                  <c:v>0.39000000000000057</c:v>
                </c:pt>
                <c:pt idx="13">
                  <c:v>2.6833333333333371</c:v>
                </c:pt>
                <c:pt idx="14">
                  <c:v>1.1899999999999977</c:v>
                </c:pt>
                <c:pt idx="15">
                  <c:v>0.93666666666666742</c:v>
                </c:pt>
                <c:pt idx="16">
                  <c:v>-1.9566666666666634</c:v>
                </c:pt>
                <c:pt idx="17">
                  <c:v>-0.56333333333333258</c:v>
                </c:pt>
                <c:pt idx="18">
                  <c:v>-3.8000000000000043</c:v>
                </c:pt>
                <c:pt idx="19">
                  <c:v>2.9600000000000009</c:v>
                </c:pt>
                <c:pt idx="20">
                  <c:v>-4.8900000000000006</c:v>
                </c:pt>
                <c:pt idx="21">
                  <c:v>-4.6366666666666632</c:v>
                </c:pt>
                <c:pt idx="22">
                  <c:v>1.9499999999999957</c:v>
                </c:pt>
                <c:pt idx="23">
                  <c:v>1.6166666666666742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9-4E96-97B5-747393162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97168"/>
        <c:axId val="404097728"/>
      </c:scatterChart>
      <c:valAx>
        <c:axId val="4040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x3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97728"/>
        <c:crosses val="autoZero"/>
        <c:crossBetween val="midCat"/>
      </c:valAx>
      <c:valAx>
        <c:axId val="4040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residual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9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Q-Q plot on higher</a:t>
            </a:r>
            <a:r>
              <a:rPr lang="en-US" altLang="zh-TW" baseline="0"/>
              <a:t> order S.e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'2'!$E$194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'2'!$D$195:$D$201</c:f>
              <c:numCache>
                <c:formatCode>General</c:formatCode>
                <c:ptCount val="7"/>
                <c:pt idx="0">
                  <c:v>-0.83848378240503219</c:v>
                </c:pt>
                <c:pt idx="1">
                  <c:v>-0.45301721638697023</c:v>
                </c:pt>
                <c:pt idx="2">
                  <c:v>-0.20950529829784828</c:v>
                </c:pt>
                <c:pt idx="3">
                  <c:v>0</c:v>
                </c:pt>
                <c:pt idx="4">
                  <c:v>0.20950529829784834</c:v>
                </c:pt>
                <c:pt idx="5">
                  <c:v>0.45301721638697023</c:v>
                </c:pt>
                <c:pt idx="6">
                  <c:v>0.83848378240503241</c:v>
                </c:pt>
              </c:numCache>
            </c:numRef>
          </c:xVal>
          <c:yVal>
            <c:numRef>
              <c:f>'2'!$E$195:$E$201</c:f>
              <c:numCache>
                <c:formatCode>General</c:formatCode>
                <c:ptCount val="7"/>
                <c:pt idx="0">
                  <c:v>-4.5002041648160089</c:v>
                </c:pt>
                <c:pt idx="1">
                  <c:v>-1.0989054978357187</c:v>
                </c:pt>
                <c:pt idx="2">
                  <c:v>-0.69782943954573806</c:v>
                </c:pt>
                <c:pt idx="3">
                  <c:v>-0.61281971265021884</c:v>
                </c:pt>
                <c:pt idx="4">
                  <c:v>-0.40985369105080327</c:v>
                </c:pt>
                <c:pt idx="5">
                  <c:v>7.5733971031189347</c:v>
                </c:pt>
                <c:pt idx="6">
                  <c:v>11.723282883809215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6-42FB-B3F4-C4AF3032F880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'2'!$D$195:$D$201</c:f>
              <c:numCache>
                <c:formatCode>General</c:formatCode>
                <c:ptCount val="7"/>
                <c:pt idx="0">
                  <c:v>-0.83848378240503219</c:v>
                </c:pt>
                <c:pt idx="1">
                  <c:v>-0.45301721638697023</c:v>
                </c:pt>
                <c:pt idx="2">
                  <c:v>-0.20950529829784828</c:v>
                </c:pt>
                <c:pt idx="3">
                  <c:v>0</c:v>
                </c:pt>
                <c:pt idx="4">
                  <c:v>0.20950529829784834</c:v>
                </c:pt>
                <c:pt idx="5">
                  <c:v>0.45301721638697023</c:v>
                </c:pt>
                <c:pt idx="6">
                  <c:v>0.83848378240503241</c:v>
                </c:pt>
              </c:numCache>
            </c:numRef>
          </c:xVal>
          <c:yVal>
            <c:numRef>
              <c:f>'2'!$F$195:$F$201</c:f>
              <c:numCache>
                <c:formatCode>General</c:formatCode>
                <c:ptCount val="7"/>
                <c:pt idx="0">
                  <c:v>-0.83848378240503219</c:v>
                </c:pt>
                <c:pt idx="1">
                  <c:v>-0.45301721638697023</c:v>
                </c:pt>
                <c:pt idx="2">
                  <c:v>-0.20950529829784828</c:v>
                </c:pt>
                <c:pt idx="3">
                  <c:v>0</c:v>
                </c:pt>
                <c:pt idx="4">
                  <c:v>0.20950529829784834</c:v>
                </c:pt>
                <c:pt idx="5">
                  <c:v>0.45301721638697023</c:v>
                </c:pt>
                <c:pt idx="6">
                  <c:v>0.83848378240503241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96-42FB-B3F4-C4AF3032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00528"/>
        <c:axId val="404101088"/>
      </c:scatterChart>
      <c:valAx>
        <c:axId val="4041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F^-1 prob.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101088"/>
        <c:crosses val="autoZero"/>
        <c:crossBetween val="midCat"/>
      </c:valAx>
      <c:valAx>
        <c:axId val="4041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1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Q-Q plot</a:t>
            </a:r>
            <a:r>
              <a:rPr lang="en-US" altLang="zh-TW" baseline="0"/>
              <a:t> S/N ratio 100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'2'!$E$255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'2'!$D$256:$D$262</c:f>
              <c:numCache>
                <c:formatCode>General</c:formatCode>
                <c:ptCount val="7"/>
                <c:pt idx="0">
                  <c:v>-1.1402386910843181</c:v>
                </c:pt>
                <c:pt idx="1">
                  <c:v>-0.616049789740859</c:v>
                </c:pt>
                <c:pt idx="2">
                  <c:v>-0.28490240612784262</c:v>
                </c:pt>
                <c:pt idx="3">
                  <c:v>0</c:v>
                </c:pt>
                <c:pt idx="4">
                  <c:v>0.28490240612784273</c:v>
                </c:pt>
                <c:pt idx="5">
                  <c:v>0.616049789740859</c:v>
                </c:pt>
                <c:pt idx="6">
                  <c:v>1.1402386910843183</c:v>
                </c:pt>
              </c:numCache>
            </c:numRef>
          </c:xVal>
          <c:yVal>
            <c:numRef>
              <c:f>'2'!$E$256:$E$262</c:f>
              <c:numCache>
                <c:formatCode>General</c:formatCode>
                <c:ptCount val="7"/>
                <c:pt idx="0">
                  <c:v>-1.431468532634689</c:v>
                </c:pt>
                <c:pt idx="1">
                  <c:v>-0.14022283984064288</c:v>
                </c:pt>
                <c:pt idx="2">
                  <c:v>6.7893246120579676E-2</c:v>
                </c:pt>
                <c:pt idx="3">
                  <c:v>0.37320298613974145</c:v>
                </c:pt>
                <c:pt idx="4">
                  <c:v>1.0984387634756558</c:v>
                </c:pt>
                <c:pt idx="5">
                  <c:v>4.1049207855529346</c:v>
                </c:pt>
                <c:pt idx="6">
                  <c:v>5.3798591363635779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1-4730-91E2-33C1D7D4E332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'2'!$D$256:$D$262</c:f>
              <c:numCache>
                <c:formatCode>General</c:formatCode>
                <c:ptCount val="7"/>
                <c:pt idx="0">
                  <c:v>-1.1402386910843181</c:v>
                </c:pt>
                <c:pt idx="1">
                  <c:v>-0.616049789740859</c:v>
                </c:pt>
                <c:pt idx="2">
                  <c:v>-0.28490240612784262</c:v>
                </c:pt>
                <c:pt idx="3">
                  <c:v>0</c:v>
                </c:pt>
                <c:pt idx="4">
                  <c:v>0.28490240612784273</c:v>
                </c:pt>
                <c:pt idx="5">
                  <c:v>0.616049789740859</c:v>
                </c:pt>
                <c:pt idx="6">
                  <c:v>1.1402386910843183</c:v>
                </c:pt>
              </c:numCache>
            </c:numRef>
          </c:xVal>
          <c:yVal>
            <c:numRef>
              <c:f>'2'!$F$256:$F$262</c:f>
              <c:numCache>
                <c:formatCode>General</c:formatCode>
                <c:ptCount val="7"/>
                <c:pt idx="0">
                  <c:v>-1.1402386910843181</c:v>
                </c:pt>
                <c:pt idx="1">
                  <c:v>-0.616049789740859</c:v>
                </c:pt>
                <c:pt idx="2">
                  <c:v>-0.28490240612784262</c:v>
                </c:pt>
                <c:pt idx="3">
                  <c:v>0</c:v>
                </c:pt>
                <c:pt idx="4">
                  <c:v>0.28490240612784273</c:v>
                </c:pt>
                <c:pt idx="5">
                  <c:v>0.616049789740859</c:v>
                </c:pt>
                <c:pt idx="6">
                  <c:v>1.1402386910843183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1-4730-91E2-33C1D7D4E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73056"/>
        <c:axId val="291673616"/>
      </c:scatterChart>
      <c:valAx>
        <c:axId val="2916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F^-1</a:t>
                </a:r>
                <a:r>
                  <a:rPr lang="en-US" altLang="zh-TW" baseline="0"/>
                  <a:t>(prob.)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673616"/>
        <c:crosses val="autoZero"/>
        <c:crossBetween val="midCat"/>
      </c:valAx>
      <c:valAx>
        <c:axId val="2916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6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Q-Q plot from higher</a:t>
            </a:r>
            <a:r>
              <a:rPr lang="en-US" altLang="zh-TW" baseline="0"/>
              <a:t> order S/N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'3'!$AG$3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'3'!$AF$4:$AF$18</c:f>
              <c:numCache>
                <c:formatCode>General</c:formatCode>
                <c:ptCount val="15"/>
                <c:pt idx="0">
                  <c:v>-8.6014804689649544</c:v>
                </c:pt>
                <c:pt idx="1">
                  <c:v>-6.0107709190613825</c:v>
                </c:pt>
                <c:pt idx="2">
                  <c:v>-4.5374291385035566</c:v>
                </c:pt>
                <c:pt idx="3">
                  <c:v>-3.4140803679408318</c:v>
                </c:pt>
                <c:pt idx="4">
                  <c:v>-2.4595587383851338</c:v>
                </c:pt>
                <c:pt idx="5">
                  <c:v>-1.5979369180230607</c:v>
                </c:pt>
                <c:pt idx="6">
                  <c:v>-0.78746140896503436</c:v>
                </c:pt>
                <c:pt idx="7">
                  <c:v>0</c:v>
                </c:pt>
                <c:pt idx="8">
                  <c:v>0.78746140896503436</c:v>
                </c:pt>
                <c:pt idx="9">
                  <c:v>1.5979369180230603</c:v>
                </c:pt>
                <c:pt idx="10">
                  <c:v>2.4595587383851334</c:v>
                </c:pt>
                <c:pt idx="11">
                  <c:v>3.4140803679408314</c:v>
                </c:pt>
                <c:pt idx="12">
                  <c:v>4.5374291385035566</c:v>
                </c:pt>
                <c:pt idx="13">
                  <c:v>6.0107709190613825</c:v>
                </c:pt>
                <c:pt idx="14">
                  <c:v>8.6014804689649544</c:v>
                </c:pt>
              </c:numCache>
            </c:numRef>
          </c:xVal>
          <c:yVal>
            <c:numRef>
              <c:f>'3'!$AG$4:$AG$18</c:f>
              <c:numCache>
                <c:formatCode>General</c:formatCode>
                <c:ptCount val="15"/>
                <c:pt idx="0">
                  <c:v>-11.175145023916301</c:v>
                </c:pt>
                <c:pt idx="1">
                  <c:v>-4.2797869595714246</c:v>
                </c:pt>
                <c:pt idx="2">
                  <c:v>-3.9046644456128949</c:v>
                </c:pt>
                <c:pt idx="3">
                  <c:v>-1.9376057938671765</c:v>
                </c:pt>
                <c:pt idx="4">
                  <c:v>-1.2688340874221198</c:v>
                </c:pt>
                <c:pt idx="5">
                  <c:v>-1.0102392334310841</c:v>
                </c:pt>
                <c:pt idx="6">
                  <c:v>0.94557012742281255</c:v>
                </c:pt>
                <c:pt idx="7">
                  <c:v>3.3591627205257928</c:v>
                </c:pt>
                <c:pt idx="8">
                  <c:v>3.505968400020552</c:v>
                </c:pt>
                <c:pt idx="9">
                  <c:v>5.1524947239258925</c:v>
                </c:pt>
                <c:pt idx="10">
                  <c:v>5.1634132609253989</c:v>
                </c:pt>
                <c:pt idx="11">
                  <c:v>6.0046207049365847</c:v>
                </c:pt>
                <c:pt idx="12">
                  <c:v>8.0283338580530383</c:v>
                </c:pt>
                <c:pt idx="13">
                  <c:v>8.2087871690129148</c:v>
                </c:pt>
                <c:pt idx="14">
                  <c:v>8.8484347444410414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4-4CD5-99B5-A9B48C97F9E6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'3'!$AF$4:$AF$18</c:f>
              <c:numCache>
                <c:formatCode>General</c:formatCode>
                <c:ptCount val="15"/>
                <c:pt idx="0">
                  <c:v>-8.6014804689649544</c:v>
                </c:pt>
                <c:pt idx="1">
                  <c:v>-6.0107709190613825</c:v>
                </c:pt>
                <c:pt idx="2">
                  <c:v>-4.5374291385035566</c:v>
                </c:pt>
                <c:pt idx="3">
                  <c:v>-3.4140803679408318</c:v>
                </c:pt>
                <c:pt idx="4">
                  <c:v>-2.4595587383851338</c:v>
                </c:pt>
                <c:pt idx="5">
                  <c:v>-1.5979369180230607</c:v>
                </c:pt>
                <c:pt idx="6">
                  <c:v>-0.78746140896503436</c:v>
                </c:pt>
                <c:pt idx="7">
                  <c:v>0</c:v>
                </c:pt>
                <c:pt idx="8">
                  <c:v>0.78746140896503436</c:v>
                </c:pt>
                <c:pt idx="9">
                  <c:v>1.5979369180230603</c:v>
                </c:pt>
                <c:pt idx="10">
                  <c:v>2.4595587383851334</c:v>
                </c:pt>
                <c:pt idx="11">
                  <c:v>3.4140803679408314</c:v>
                </c:pt>
                <c:pt idx="12">
                  <c:v>4.5374291385035566</c:v>
                </c:pt>
                <c:pt idx="13">
                  <c:v>6.0107709190613825</c:v>
                </c:pt>
                <c:pt idx="14">
                  <c:v>8.6014804689649544</c:v>
                </c:pt>
              </c:numCache>
            </c:numRef>
          </c:xVal>
          <c:yVal>
            <c:numRef>
              <c:f>'3'!$AH$4:$AH$18</c:f>
              <c:numCache>
                <c:formatCode>General</c:formatCode>
                <c:ptCount val="15"/>
                <c:pt idx="0">
                  <c:v>-8.6014804689649544</c:v>
                </c:pt>
                <c:pt idx="1">
                  <c:v>-6.0107709190613825</c:v>
                </c:pt>
                <c:pt idx="2">
                  <c:v>-4.5374291385035566</c:v>
                </c:pt>
                <c:pt idx="3">
                  <c:v>-3.4140803679408318</c:v>
                </c:pt>
                <c:pt idx="4">
                  <c:v>-2.4595587383851338</c:v>
                </c:pt>
                <c:pt idx="5">
                  <c:v>-1.5979369180230607</c:v>
                </c:pt>
                <c:pt idx="6">
                  <c:v>-0.78746140896503436</c:v>
                </c:pt>
                <c:pt idx="7">
                  <c:v>0</c:v>
                </c:pt>
                <c:pt idx="8">
                  <c:v>0.78746140896503436</c:v>
                </c:pt>
                <c:pt idx="9">
                  <c:v>1.5979369180230603</c:v>
                </c:pt>
                <c:pt idx="10">
                  <c:v>2.4595587383851334</c:v>
                </c:pt>
                <c:pt idx="11">
                  <c:v>3.4140803679408314</c:v>
                </c:pt>
                <c:pt idx="12">
                  <c:v>4.5374291385035566</c:v>
                </c:pt>
                <c:pt idx="13">
                  <c:v>6.0107709190613825</c:v>
                </c:pt>
                <c:pt idx="14">
                  <c:v>8.6014804689649544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74-4CD5-99B5-A9B48C97F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81136"/>
        <c:axId val="298581696"/>
      </c:scatterChart>
      <c:valAx>
        <c:axId val="2985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/>
                  <a:t>F^-1(prob.)</a:t>
                </a:r>
                <a:endParaRPr lang="zh-TW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81696"/>
        <c:crosses val="autoZero"/>
        <c:crossBetween val="midCat"/>
      </c:valAx>
      <c:valAx>
        <c:axId val="2985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Data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8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Q-Q</a:t>
            </a:r>
            <a:r>
              <a:rPr lang="zh-TW" altLang="en-US"/>
              <a:t> </a:t>
            </a:r>
            <a:r>
              <a:rPr lang="en-US" altLang="zh-TW"/>
              <a:t>plot S/N smaller better</a:t>
            </a:r>
            <a:r>
              <a:rPr lang="en-US" altLang="zh-TW" baseline="0"/>
              <a:t> higher order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'3'!$AB$103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'3'!$AA$104:$AA$118</c:f>
              <c:numCache>
                <c:formatCode>General</c:formatCode>
                <c:ptCount val="15"/>
                <c:pt idx="0">
                  <c:v>-5.4039382318833828</c:v>
                </c:pt>
                <c:pt idx="1">
                  <c:v>-3.7763074496078315</c:v>
                </c:pt>
                <c:pt idx="2">
                  <c:v>-2.8506705193939275</c:v>
                </c:pt>
                <c:pt idx="3">
                  <c:v>-2.1449190628991843</c:v>
                </c:pt>
                <c:pt idx="4">
                  <c:v>-1.5452343986455244</c:v>
                </c:pt>
                <c:pt idx="5">
                  <c:v>-1.0039146673179411</c:v>
                </c:pt>
                <c:pt idx="6">
                  <c:v>-0.49472795170468731</c:v>
                </c:pt>
                <c:pt idx="7">
                  <c:v>0</c:v>
                </c:pt>
                <c:pt idx="8">
                  <c:v>0.49472795170468731</c:v>
                </c:pt>
                <c:pt idx="9">
                  <c:v>1.0039146673179407</c:v>
                </c:pt>
                <c:pt idx="10">
                  <c:v>1.5452343986455239</c:v>
                </c:pt>
                <c:pt idx="11">
                  <c:v>2.1449190628991839</c:v>
                </c:pt>
                <c:pt idx="12">
                  <c:v>2.8506705193939275</c:v>
                </c:pt>
                <c:pt idx="13">
                  <c:v>3.7763074496078315</c:v>
                </c:pt>
                <c:pt idx="14">
                  <c:v>5.4039382318833828</c:v>
                </c:pt>
              </c:numCache>
            </c:numRef>
          </c:xVal>
          <c:yVal>
            <c:numRef>
              <c:f>'3'!$AB$104:$AB$118</c:f>
              <c:numCache>
                <c:formatCode>General</c:formatCode>
                <c:ptCount val="15"/>
                <c:pt idx="0">
                  <c:v>-6.434317599148538</c:v>
                </c:pt>
                <c:pt idx="1">
                  <c:v>-6.1796009301131409</c:v>
                </c:pt>
                <c:pt idx="2">
                  <c:v>-5.9989579866179623</c:v>
                </c:pt>
                <c:pt idx="3">
                  <c:v>-2.2953276215420204</c:v>
                </c:pt>
                <c:pt idx="4">
                  <c:v>-2.1594677989026403</c:v>
                </c:pt>
                <c:pt idx="5">
                  <c:v>-0.98774011557397845</c:v>
                </c:pt>
                <c:pt idx="6">
                  <c:v>-0.48475951776919457</c:v>
                </c:pt>
                <c:pt idx="7">
                  <c:v>0.13737943731159163</c:v>
                </c:pt>
                <c:pt idx="8">
                  <c:v>1.4410351811521878</c:v>
                </c:pt>
                <c:pt idx="9">
                  <c:v>1.5841745840872017</c:v>
                </c:pt>
                <c:pt idx="10">
                  <c:v>2.9783443018428795</c:v>
                </c:pt>
                <c:pt idx="11">
                  <c:v>3.1574451816076907</c:v>
                </c:pt>
                <c:pt idx="12">
                  <c:v>4.4965610861247036</c:v>
                </c:pt>
                <c:pt idx="13">
                  <c:v>7.4852399579443656</c:v>
                </c:pt>
                <c:pt idx="14">
                  <c:v>7.5764626510917266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4-4556-9ED4-6894172D85A7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'3'!$AA$104:$AA$118</c:f>
              <c:numCache>
                <c:formatCode>General</c:formatCode>
                <c:ptCount val="15"/>
                <c:pt idx="0">
                  <c:v>-5.4039382318833828</c:v>
                </c:pt>
                <c:pt idx="1">
                  <c:v>-3.7763074496078315</c:v>
                </c:pt>
                <c:pt idx="2">
                  <c:v>-2.8506705193939275</c:v>
                </c:pt>
                <c:pt idx="3">
                  <c:v>-2.1449190628991843</c:v>
                </c:pt>
                <c:pt idx="4">
                  <c:v>-1.5452343986455244</c:v>
                </c:pt>
                <c:pt idx="5">
                  <c:v>-1.0039146673179411</c:v>
                </c:pt>
                <c:pt idx="6">
                  <c:v>-0.49472795170468731</c:v>
                </c:pt>
                <c:pt idx="7">
                  <c:v>0</c:v>
                </c:pt>
                <c:pt idx="8">
                  <c:v>0.49472795170468731</c:v>
                </c:pt>
                <c:pt idx="9">
                  <c:v>1.0039146673179407</c:v>
                </c:pt>
                <c:pt idx="10">
                  <c:v>1.5452343986455239</c:v>
                </c:pt>
                <c:pt idx="11">
                  <c:v>2.1449190628991839</c:v>
                </c:pt>
                <c:pt idx="12">
                  <c:v>2.8506705193939275</c:v>
                </c:pt>
                <c:pt idx="13">
                  <c:v>3.7763074496078315</c:v>
                </c:pt>
                <c:pt idx="14">
                  <c:v>5.4039382318833828</c:v>
                </c:pt>
              </c:numCache>
            </c:numRef>
          </c:xVal>
          <c:yVal>
            <c:numRef>
              <c:f>'3'!$AC$104:$AC$118</c:f>
              <c:numCache>
                <c:formatCode>General</c:formatCode>
                <c:ptCount val="15"/>
                <c:pt idx="0">
                  <c:v>-5.4039382318833828</c:v>
                </c:pt>
                <c:pt idx="1">
                  <c:v>-3.7763074496078315</c:v>
                </c:pt>
                <c:pt idx="2">
                  <c:v>-2.8506705193939275</c:v>
                </c:pt>
                <c:pt idx="3">
                  <c:v>-2.1449190628991843</c:v>
                </c:pt>
                <c:pt idx="4">
                  <c:v>-1.5452343986455244</c:v>
                </c:pt>
                <c:pt idx="5">
                  <c:v>-1.0039146673179411</c:v>
                </c:pt>
                <c:pt idx="6">
                  <c:v>-0.49472795170468731</c:v>
                </c:pt>
                <c:pt idx="7">
                  <c:v>0</c:v>
                </c:pt>
                <c:pt idx="8">
                  <c:v>0.49472795170468731</c:v>
                </c:pt>
                <c:pt idx="9">
                  <c:v>1.0039146673179407</c:v>
                </c:pt>
                <c:pt idx="10">
                  <c:v>1.5452343986455239</c:v>
                </c:pt>
                <c:pt idx="11">
                  <c:v>2.1449190628991839</c:v>
                </c:pt>
                <c:pt idx="12">
                  <c:v>2.8506705193939275</c:v>
                </c:pt>
                <c:pt idx="13">
                  <c:v>3.7763074496078315</c:v>
                </c:pt>
                <c:pt idx="14">
                  <c:v>5.4039382318833828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4-4556-9ED4-6894172D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85616"/>
        <c:axId val="298586176"/>
      </c:scatterChart>
      <c:valAx>
        <c:axId val="2985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/>
                  <a:t>F^-1(prob.)</a:t>
                </a:r>
                <a:endParaRPr lang="zh-TW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86176"/>
        <c:crosses val="autoZero"/>
        <c:crossBetween val="midCat"/>
      </c:valAx>
      <c:valAx>
        <c:axId val="2985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/>
                  <a:t>Data</a:t>
                </a:r>
                <a:endParaRPr lang="zh-TW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8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Q-Q plot of residual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'2'!$E$111:$E$134</c:f>
              <c:numCache>
                <c:formatCode>General</c:formatCode>
                <c:ptCount val="24"/>
                <c:pt idx="0">
                  <c:v>-6.3776205949555118</c:v>
                </c:pt>
                <c:pt idx="1">
                  <c:v>-4.8035520548914059</c:v>
                </c:pt>
                <c:pt idx="2">
                  <c:v>-3.9394847909951278</c:v>
                </c:pt>
                <c:pt idx="3">
                  <c:v>-3.3017048961195696</c:v>
                </c:pt>
                <c:pt idx="4">
                  <c:v>-2.7777834618357535</c:v>
                </c:pt>
                <c:pt idx="5">
                  <c:v>-2.3220376041503523</c:v>
                </c:pt>
                <c:pt idx="6">
                  <c:v>-1.9109201944016372</c:v>
                </c:pt>
                <c:pt idx="7">
                  <c:v>-1.5304292368910317</c:v>
                </c:pt>
                <c:pt idx="8">
                  <c:v>-1.1713465300988564</c:v>
                </c:pt>
                <c:pt idx="9">
                  <c:v>-0.82708217290774955</c:v>
                </c:pt>
                <c:pt idx="10">
                  <c:v>-0.49256237725078916</c:v>
                </c:pt>
                <c:pt idx="11">
                  <c:v>-0.16358717343097795</c:v>
                </c:pt>
                <c:pt idx="12">
                  <c:v>0.16358717343097065</c:v>
                </c:pt>
                <c:pt idx="13">
                  <c:v>0.4925623772507815</c:v>
                </c:pt>
                <c:pt idx="14">
                  <c:v>0.82708217290774144</c:v>
                </c:pt>
                <c:pt idx="15">
                  <c:v>1.1713465300988488</c:v>
                </c:pt>
                <c:pt idx="16">
                  <c:v>1.5304292368910242</c:v>
                </c:pt>
                <c:pt idx="17">
                  <c:v>1.9109201944016285</c:v>
                </c:pt>
                <c:pt idx="18">
                  <c:v>2.3220376041503443</c:v>
                </c:pt>
                <c:pt idx="19">
                  <c:v>2.7777834618357455</c:v>
                </c:pt>
                <c:pt idx="20">
                  <c:v>3.3017048961195616</c:v>
                </c:pt>
                <c:pt idx="21">
                  <c:v>3.9394847909951185</c:v>
                </c:pt>
                <c:pt idx="22">
                  <c:v>4.8035520548914015</c:v>
                </c:pt>
                <c:pt idx="23">
                  <c:v>6.3776205949555003</c:v>
                </c:pt>
              </c:numCache>
            </c:numRef>
          </c:xVal>
          <c:yVal>
            <c:numRef>
              <c:f>'2'!$F$111:$F$134</c:f>
              <c:numCache>
                <c:formatCode>General</c:formatCode>
                <c:ptCount val="24"/>
                <c:pt idx="0">
                  <c:v>-6.3776205949555118</c:v>
                </c:pt>
                <c:pt idx="1">
                  <c:v>-4.8035520548914059</c:v>
                </c:pt>
                <c:pt idx="2">
                  <c:v>-3.9394847909951278</c:v>
                </c:pt>
                <c:pt idx="3">
                  <c:v>-3.3017048961195696</c:v>
                </c:pt>
                <c:pt idx="4">
                  <c:v>-2.7777834618357535</c:v>
                </c:pt>
                <c:pt idx="5">
                  <c:v>-2.3220376041503523</c:v>
                </c:pt>
                <c:pt idx="6">
                  <c:v>-1.9109201944016372</c:v>
                </c:pt>
                <c:pt idx="7">
                  <c:v>-1.5304292368910317</c:v>
                </c:pt>
                <c:pt idx="8">
                  <c:v>-1.1713465300988564</c:v>
                </c:pt>
                <c:pt idx="9">
                  <c:v>-0.82708217290774955</c:v>
                </c:pt>
                <c:pt idx="10">
                  <c:v>-0.49256237725078916</c:v>
                </c:pt>
                <c:pt idx="11">
                  <c:v>-0.16358717343097795</c:v>
                </c:pt>
                <c:pt idx="12">
                  <c:v>0.16358717343097065</c:v>
                </c:pt>
                <c:pt idx="13">
                  <c:v>0.4925623772507815</c:v>
                </c:pt>
                <c:pt idx="14">
                  <c:v>0.82708217290774144</c:v>
                </c:pt>
                <c:pt idx="15">
                  <c:v>1.1713465300988488</c:v>
                </c:pt>
                <c:pt idx="16">
                  <c:v>1.5304292368910242</c:v>
                </c:pt>
                <c:pt idx="17">
                  <c:v>1.9109201944016285</c:v>
                </c:pt>
                <c:pt idx="18">
                  <c:v>2.3220376041503443</c:v>
                </c:pt>
                <c:pt idx="19">
                  <c:v>2.7777834618357455</c:v>
                </c:pt>
                <c:pt idx="20">
                  <c:v>3.3017048961195616</c:v>
                </c:pt>
                <c:pt idx="21">
                  <c:v>3.9394847909951185</c:v>
                </c:pt>
                <c:pt idx="22">
                  <c:v>4.8035520548914015</c:v>
                </c:pt>
                <c:pt idx="23">
                  <c:v>6.3776205949555003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2-4040-A3E0-049F8F2B717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'2'!$E$111:$E$134</c:f>
              <c:numCache>
                <c:formatCode>General</c:formatCode>
                <c:ptCount val="24"/>
                <c:pt idx="0">
                  <c:v>-6.3776205949555118</c:v>
                </c:pt>
                <c:pt idx="1">
                  <c:v>-4.8035520548914059</c:v>
                </c:pt>
                <c:pt idx="2">
                  <c:v>-3.9394847909951278</c:v>
                </c:pt>
                <c:pt idx="3">
                  <c:v>-3.3017048961195696</c:v>
                </c:pt>
                <c:pt idx="4">
                  <c:v>-2.7777834618357535</c:v>
                </c:pt>
                <c:pt idx="5">
                  <c:v>-2.3220376041503523</c:v>
                </c:pt>
                <c:pt idx="6">
                  <c:v>-1.9109201944016372</c:v>
                </c:pt>
                <c:pt idx="7">
                  <c:v>-1.5304292368910317</c:v>
                </c:pt>
                <c:pt idx="8">
                  <c:v>-1.1713465300988564</c:v>
                </c:pt>
                <c:pt idx="9">
                  <c:v>-0.82708217290774955</c:v>
                </c:pt>
                <c:pt idx="10">
                  <c:v>-0.49256237725078916</c:v>
                </c:pt>
                <c:pt idx="11">
                  <c:v>-0.16358717343097795</c:v>
                </c:pt>
                <c:pt idx="12">
                  <c:v>0.16358717343097065</c:v>
                </c:pt>
                <c:pt idx="13">
                  <c:v>0.4925623772507815</c:v>
                </c:pt>
                <c:pt idx="14">
                  <c:v>0.82708217290774144</c:v>
                </c:pt>
                <c:pt idx="15">
                  <c:v>1.1713465300988488</c:v>
                </c:pt>
                <c:pt idx="16">
                  <c:v>1.5304292368910242</c:v>
                </c:pt>
                <c:pt idx="17">
                  <c:v>1.9109201944016285</c:v>
                </c:pt>
                <c:pt idx="18">
                  <c:v>2.3220376041503443</c:v>
                </c:pt>
                <c:pt idx="19">
                  <c:v>2.7777834618357455</c:v>
                </c:pt>
                <c:pt idx="20">
                  <c:v>3.3017048961195616</c:v>
                </c:pt>
                <c:pt idx="21">
                  <c:v>3.9394847909951185</c:v>
                </c:pt>
                <c:pt idx="22">
                  <c:v>4.8035520548914015</c:v>
                </c:pt>
                <c:pt idx="23">
                  <c:v>6.3776205949555003</c:v>
                </c:pt>
              </c:numCache>
            </c:numRef>
          </c:xVal>
          <c:yVal>
            <c:numRef>
              <c:f>'2'!$C$111:$C$134</c:f>
              <c:numCache>
                <c:formatCode>General</c:formatCode>
                <c:ptCount val="24"/>
                <c:pt idx="0">
                  <c:v>-5.1766666666666694</c:v>
                </c:pt>
                <c:pt idx="1">
                  <c:v>-4.0474999999999994</c:v>
                </c:pt>
                <c:pt idx="2">
                  <c:v>-4.0191666666666741</c:v>
                </c:pt>
                <c:pt idx="3">
                  <c:v>-3.9424999999999955</c:v>
                </c:pt>
                <c:pt idx="4">
                  <c:v>-3.7958333333333485</c:v>
                </c:pt>
                <c:pt idx="5">
                  <c:v>-3.1158333333333417</c:v>
                </c:pt>
                <c:pt idx="6">
                  <c:v>-2.0600000000000094</c:v>
                </c:pt>
                <c:pt idx="7">
                  <c:v>-1.3300000000000054</c:v>
                </c:pt>
                <c:pt idx="8">
                  <c:v>-1.092499999999994</c:v>
                </c:pt>
                <c:pt idx="9">
                  <c:v>-1.0474999999999994</c:v>
                </c:pt>
                <c:pt idx="10">
                  <c:v>-0.875</c:v>
                </c:pt>
                <c:pt idx="11">
                  <c:v>-0.11500000000000199</c:v>
                </c:pt>
                <c:pt idx="12">
                  <c:v>9.0833333333325328E-2</c:v>
                </c:pt>
                <c:pt idx="13">
                  <c:v>0.37416666666665321</c:v>
                </c:pt>
                <c:pt idx="14">
                  <c:v>0.41750000000000398</c:v>
                </c:pt>
                <c:pt idx="15">
                  <c:v>1.3433333333333302</c:v>
                </c:pt>
                <c:pt idx="16">
                  <c:v>1.3866666666666703</c:v>
                </c:pt>
                <c:pt idx="17">
                  <c:v>1.832499999999996</c:v>
                </c:pt>
                <c:pt idx="18">
                  <c:v>3.2066666666666634</c:v>
                </c:pt>
                <c:pt idx="19">
                  <c:v>3.3366666666666589</c:v>
                </c:pt>
                <c:pt idx="20">
                  <c:v>3.7833333333333314</c:v>
                </c:pt>
                <c:pt idx="21">
                  <c:v>4.2149999999999963</c:v>
                </c:pt>
                <c:pt idx="22">
                  <c:v>5.2599999999999909</c:v>
                </c:pt>
                <c:pt idx="23">
                  <c:v>5.3708333333333265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2-4040-A3E0-049F8F2B7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90096"/>
        <c:axId val="298590656"/>
      </c:scatterChart>
      <c:valAx>
        <c:axId val="2985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F^-1(prob.)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90656"/>
        <c:crosses val="autoZero"/>
        <c:crossBetween val="midCat"/>
      </c:valAx>
      <c:valAx>
        <c:axId val="2985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observation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residual</a:t>
            </a:r>
            <a:r>
              <a:rPr lang="en-US" altLang="zh-TW" baseline="0"/>
              <a:t> plot vs run order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'2'!$I$82</c:f>
              <c:strCache>
                <c:ptCount val="1"/>
                <c:pt idx="0">
                  <c:v>model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'2'!$I$83:$I$106</c:f>
              <c:numCache>
                <c:formatCode>General</c:formatCode>
                <c:ptCount val="24"/>
                <c:pt idx="0">
                  <c:v>-3.9424999999999955</c:v>
                </c:pt>
                <c:pt idx="1">
                  <c:v>3.3366666666666589</c:v>
                </c:pt>
                <c:pt idx="2">
                  <c:v>1.3433333333333302</c:v>
                </c:pt>
                <c:pt idx="3">
                  <c:v>-1.0474999999999994</c:v>
                </c:pt>
                <c:pt idx="4">
                  <c:v>-4.0191666666666741</c:v>
                </c:pt>
                <c:pt idx="5">
                  <c:v>-1.3300000000000054</c:v>
                </c:pt>
                <c:pt idx="6">
                  <c:v>4.2149999999999963</c:v>
                </c:pt>
                <c:pt idx="7">
                  <c:v>0.37416666666665321</c:v>
                </c:pt>
                <c:pt idx="8">
                  <c:v>-1.092499999999994</c:v>
                </c:pt>
                <c:pt idx="9">
                  <c:v>1.3866666666666703</c:v>
                </c:pt>
                <c:pt idx="10">
                  <c:v>-5.1766666666666694</c:v>
                </c:pt>
                <c:pt idx="11">
                  <c:v>1.832499999999996</c:v>
                </c:pt>
                <c:pt idx="12">
                  <c:v>9.0833333333325328E-2</c:v>
                </c:pt>
                <c:pt idx="13">
                  <c:v>-2.0600000000000094</c:v>
                </c:pt>
                <c:pt idx="14">
                  <c:v>-0.11500000000000199</c:v>
                </c:pt>
                <c:pt idx="15">
                  <c:v>-3.1158333333333417</c:v>
                </c:pt>
                <c:pt idx="16">
                  <c:v>0.41750000000000398</c:v>
                </c:pt>
                <c:pt idx="17">
                  <c:v>3.2066666666666634</c:v>
                </c:pt>
                <c:pt idx="18">
                  <c:v>3.7833333333333314</c:v>
                </c:pt>
                <c:pt idx="19">
                  <c:v>-4.0474999999999994</c:v>
                </c:pt>
                <c:pt idx="20">
                  <c:v>5.3708333333333265</c:v>
                </c:pt>
                <c:pt idx="21">
                  <c:v>5.2599999999999909</c:v>
                </c:pt>
                <c:pt idx="22">
                  <c:v>-0.875</c:v>
                </c:pt>
                <c:pt idx="23">
                  <c:v>-3.7958333333333485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C-495E-9A92-954593B43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92896"/>
        <c:axId val="298593456"/>
      </c:scatterChart>
      <c:valAx>
        <c:axId val="2985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Run order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93456"/>
        <c:crosses val="autoZero"/>
        <c:crossBetween val="midCat"/>
      </c:valAx>
      <c:valAx>
        <c:axId val="2985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model error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9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predict</a:t>
            </a:r>
            <a:r>
              <a:rPr lang="en-US" altLang="zh-TW" baseline="0"/>
              <a:t>ed response vs residuals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'2'!$I$82</c:f>
              <c:strCache>
                <c:ptCount val="1"/>
                <c:pt idx="0">
                  <c:v>model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'2'!$H$83:$H$106</c:f>
              <c:numCache>
                <c:formatCode>General</c:formatCode>
                <c:ptCount val="24"/>
                <c:pt idx="0">
                  <c:v>57.487500000000004</c:v>
                </c:pt>
                <c:pt idx="1">
                  <c:v>78.956666666666663</c:v>
                </c:pt>
                <c:pt idx="2">
                  <c:v>28.853333333333332</c:v>
                </c:pt>
                <c:pt idx="3">
                  <c:v>50.322499999999998</c:v>
                </c:pt>
                <c:pt idx="4">
                  <c:v>20.780833333333327</c:v>
                </c:pt>
                <c:pt idx="5">
                  <c:v>42.249999999999993</c:v>
                </c:pt>
                <c:pt idx="6">
                  <c:v>49.414999999999999</c:v>
                </c:pt>
                <c:pt idx="7">
                  <c:v>70.884166666666658</c:v>
                </c:pt>
                <c:pt idx="8">
                  <c:v>57.487500000000004</c:v>
                </c:pt>
                <c:pt idx="9">
                  <c:v>78.956666666666663</c:v>
                </c:pt>
                <c:pt idx="10">
                  <c:v>28.853333333333332</c:v>
                </c:pt>
                <c:pt idx="11">
                  <c:v>50.322499999999998</c:v>
                </c:pt>
                <c:pt idx="12">
                  <c:v>20.780833333333327</c:v>
                </c:pt>
                <c:pt idx="13">
                  <c:v>42.249999999999993</c:v>
                </c:pt>
                <c:pt idx="14">
                  <c:v>49.414999999999999</c:v>
                </c:pt>
                <c:pt idx="15">
                  <c:v>70.884166666666658</c:v>
                </c:pt>
                <c:pt idx="16">
                  <c:v>57.487500000000004</c:v>
                </c:pt>
                <c:pt idx="17">
                  <c:v>78.956666666666663</c:v>
                </c:pt>
                <c:pt idx="18">
                  <c:v>28.853333333333332</c:v>
                </c:pt>
                <c:pt idx="19">
                  <c:v>50.322499999999998</c:v>
                </c:pt>
                <c:pt idx="20">
                  <c:v>20.780833333333327</c:v>
                </c:pt>
                <c:pt idx="21">
                  <c:v>42.249999999999993</c:v>
                </c:pt>
                <c:pt idx="22">
                  <c:v>49.414999999999999</c:v>
                </c:pt>
                <c:pt idx="23">
                  <c:v>70.884166666666658</c:v>
                </c:pt>
              </c:numCache>
            </c:numRef>
          </c:xVal>
          <c:yVal>
            <c:numRef>
              <c:f>'2'!$I$83:$I$106</c:f>
              <c:numCache>
                <c:formatCode>General</c:formatCode>
                <c:ptCount val="24"/>
                <c:pt idx="0">
                  <c:v>-3.9424999999999955</c:v>
                </c:pt>
                <c:pt idx="1">
                  <c:v>3.3366666666666589</c:v>
                </c:pt>
                <c:pt idx="2">
                  <c:v>1.3433333333333302</c:v>
                </c:pt>
                <c:pt idx="3">
                  <c:v>-1.0474999999999994</c:v>
                </c:pt>
                <c:pt idx="4">
                  <c:v>-4.0191666666666741</c:v>
                </c:pt>
                <c:pt idx="5">
                  <c:v>-1.3300000000000054</c:v>
                </c:pt>
                <c:pt idx="6">
                  <c:v>4.2149999999999963</c:v>
                </c:pt>
                <c:pt idx="7">
                  <c:v>0.37416666666665321</c:v>
                </c:pt>
                <c:pt idx="8">
                  <c:v>-1.092499999999994</c:v>
                </c:pt>
                <c:pt idx="9">
                  <c:v>1.3866666666666703</c:v>
                </c:pt>
                <c:pt idx="10">
                  <c:v>-5.1766666666666694</c:v>
                </c:pt>
                <c:pt idx="11">
                  <c:v>1.832499999999996</c:v>
                </c:pt>
                <c:pt idx="12">
                  <c:v>9.0833333333325328E-2</c:v>
                </c:pt>
                <c:pt idx="13">
                  <c:v>-2.0600000000000094</c:v>
                </c:pt>
                <c:pt idx="14">
                  <c:v>-0.11500000000000199</c:v>
                </c:pt>
                <c:pt idx="15">
                  <c:v>-3.1158333333333417</c:v>
                </c:pt>
                <c:pt idx="16">
                  <c:v>0.41750000000000398</c:v>
                </c:pt>
                <c:pt idx="17">
                  <c:v>3.2066666666666634</c:v>
                </c:pt>
                <c:pt idx="18">
                  <c:v>3.7833333333333314</c:v>
                </c:pt>
                <c:pt idx="19">
                  <c:v>-4.0474999999999994</c:v>
                </c:pt>
                <c:pt idx="20">
                  <c:v>5.3708333333333265</c:v>
                </c:pt>
                <c:pt idx="21">
                  <c:v>5.2599999999999909</c:v>
                </c:pt>
                <c:pt idx="22">
                  <c:v>-0.875</c:v>
                </c:pt>
                <c:pt idx="23">
                  <c:v>-3.7958333333333485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1-4DF8-BCFE-D697F8F21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95696"/>
        <c:axId val="298596256"/>
      </c:scatterChart>
      <c:valAx>
        <c:axId val="29859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predicted reponse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96256"/>
        <c:crosses val="autoZero"/>
        <c:crossBetween val="midCat"/>
      </c:valAx>
      <c:valAx>
        <c:axId val="2985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residuals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9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y_bar</a:t>
            </a:r>
            <a:r>
              <a:rPr lang="en-US" altLang="zh-TW" baseline="0"/>
              <a:t> vs y-y_bar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'2'!$J$82</c:f>
              <c:strCache>
                <c:ptCount val="1"/>
                <c:pt idx="0">
                  <c:v>y-y_bar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'2'!$G$83:$G$106</c:f>
              <c:numCache>
                <c:formatCode>General</c:formatCode>
                <c:ptCount val="24"/>
                <c:pt idx="0">
                  <c:v>59.026666666666664</c:v>
                </c:pt>
                <c:pt idx="1">
                  <c:v>76.313333333333333</c:v>
                </c:pt>
                <c:pt idx="2">
                  <c:v>28.870000000000005</c:v>
                </c:pt>
                <c:pt idx="3">
                  <c:v>51.41</c:v>
                </c:pt>
                <c:pt idx="4">
                  <c:v>20.3</c:v>
                </c:pt>
                <c:pt idx="5">
                  <c:v>41.626666666666665</c:v>
                </c:pt>
                <c:pt idx="6">
                  <c:v>48.34</c:v>
                </c:pt>
                <c:pt idx="7">
                  <c:v>73.063333333333333</c:v>
                </c:pt>
                <c:pt idx="8">
                  <c:v>59.026666666666664</c:v>
                </c:pt>
                <c:pt idx="9">
                  <c:v>76.313333333333333</c:v>
                </c:pt>
                <c:pt idx="10">
                  <c:v>28.870000000000005</c:v>
                </c:pt>
                <c:pt idx="11">
                  <c:v>51.41</c:v>
                </c:pt>
                <c:pt idx="12">
                  <c:v>20.3</c:v>
                </c:pt>
                <c:pt idx="13">
                  <c:v>41.626666666666665</c:v>
                </c:pt>
                <c:pt idx="14">
                  <c:v>48.34</c:v>
                </c:pt>
                <c:pt idx="15">
                  <c:v>73.063333333333333</c:v>
                </c:pt>
                <c:pt idx="16">
                  <c:v>59.026666666666664</c:v>
                </c:pt>
                <c:pt idx="17">
                  <c:v>76.313333333333333</c:v>
                </c:pt>
                <c:pt idx="18">
                  <c:v>28.870000000000005</c:v>
                </c:pt>
                <c:pt idx="19">
                  <c:v>51.41</c:v>
                </c:pt>
                <c:pt idx="20">
                  <c:v>20.3</c:v>
                </c:pt>
                <c:pt idx="21">
                  <c:v>41.626666666666665</c:v>
                </c:pt>
                <c:pt idx="22">
                  <c:v>48.34</c:v>
                </c:pt>
                <c:pt idx="23">
                  <c:v>73.063333333333333</c:v>
                </c:pt>
              </c:numCache>
            </c:numRef>
          </c:xVal>
          <c:yVal>
            <c:numRef>
              <c:f>'2'!$J$83:$J$106</c:f>
              <c:numCache>
                <c:formatCode>General</c:formatCode>
                <c:ptCount val="24"/>
                <c:pt idx="0">
                  <c:v>2.403333333333336</c:v>
                </c:pt>
                <c:pt idx="1">
                  <c:v>-0.69333333333332803</c:v>
                </c:pt>
                <c:pt idx="2">
                  <c:v>-1.360000000000003</c:v>
                </c:pt>
                <c:pt idx="3">
                  <c:v>-3.9999999999999147E-2</c:v>
                </c:pt>
                <c:pt idx="4">
                  <c:v>4.5</c:v>
                </c:pt>
                <c:pt idx="5">
                  <c:v>1.9533333333333331</c:v>
                </c:pt>
                <c:pt idx="6">
                  <c:v>-3.1400000000000006</c:v>
                </c:pt>
                <c:pt idx="7">
                  <c:v>-2.5533333333333275</c:v>
                </c:pt>
                <c:pt idx="8">
                  <c:v>-0.44666666666666544</c:v>
                </c:pt>
                <c:pt idx="9">
                  <c:v>1.2566666666666606</c:v>
                </c:pt>
                <c:pt idx="10">
                  <c:v>5.1599999999999966</c:v>
                </c:pt>
                <c:pt idx="11">
                  <c:v>-2.9199999999999946</c:v>
                </c:pt>
                <c:pt idx="12">
                  <c:v>0.39000000000000057</c:v>
                </c:pt>
                <c:pt idx="13">
                  <c:v>2.6833333333333371</c:v>
                </c:pt>
                <c:pt idx="14">
                  <c:v>1.1899999999999977</c:v>
                </c:pt>
                <c:pt idx="15">
                  <c:v>0.93666666666666742</c:v>
                </c:pt>
                <c:pt idx="16">
                  <c:v>-1.9566666666666634</c:v>
                </c:pt>
                <c:pt idx="17">
                  <c:v>-0.56333333333333258</c:v>
                </c:pt>
                <c:pt idx="18">
                  <c:v>-3.8000000000000043</c:v>
                </c:pt>
                <c:pt idx="19">
                  <c:v>2.9600000000000009</c:v>
                </c:pt>
                <c:pt idx="20">
                  <c:v>-4.8900000000000006</c:v>
                </c:pt>
                <c:pt idx="21">
                  <c:v>-4.6366666666666632</c:v>
                </c:pt>
                <c:pt idx="22">
                  <c:v>1.9499999999999957</c:v>
                </c:pt>
                <c:pt idx="23">
                  <c:v>1.6166666666666742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6-4E3E-BA51-806A1B779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88768"/>
        <c:axId val="404089328"/>
      </c:scatterChart>
      <c:valAx>
        <c:axId val="4040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y_bar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89328"/>
        <c:crosses val="autoZero"/>
        <c:crossBetween val="midCat"/>
      </c:valAx>
      <c:valAx>
        <c:axId val="4040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y-y_bar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x1 vs residual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'2'!$J$82</c:f>
              <c:strCache>
                <c:ptCount val="1"/>
                <c:pt idx="0">
                  <c:v>y-y_bar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'2'!$C$83:$C$106</c:f>
              <c:numCache>
                <c:formatCode>General</c:formatCode>
                <c:ptCount val="24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</c:numCache>
            </c:numRef>
          </c:xVal>
          <c:yVal>
            <c:numRef>
              <c:f>'2'!$J$83:$J$106</c:f>
              <c:numCache>
                <c:formatCode>General</c:formatCode>
                <c:ptCount val="24"/>
                <c:pt idx="0">
                  <c:v>2.403333333333336</c:v>
                </c:pt>
                <c:pt idx="1">
                  <c:v>-0.69333333333332803</c:v>
                </c:pt>
                <c:pt idx="2">
                  <c:v>-1.360000000000003</c:v>
                </c:pt>
                <c:pt idx="3">
                  <c:v>-3.9999999999999147E-2</c:v>
                </c:pt>
                <c:pt idx="4">
                  <c:v>4.5</c:v>
                </c:pt>
                <c:pt idx="5">
                  <c:v>1.9533333333333331</c:v>
                </c:pt>
                <c:pt idx="6">
                  <c:v>-3.1400000000000006</c:v>
                </c:pt>
                <c:pt idx="7">
                  <c:v>-2.5533333333333275</c:v>
                </c:pt>
                <c:pt idx="8">
                  <c:v>-0.44666666666666544</c:v>
                </c:pt>
                <c:pt idx="9">
                  <c:v>1.2566666666666606</c:v>
                </c:pt>
                <c:pt idx="10">
                  <c:v>5.1599999999999966</c:v>
                </c:pt>
                <c:pt idx="11">
                  <c:v>-2.9199999999999946</c:v>
                </c:pt>
                <c:pt idx="12">
                  <c:v>0.39000000000000057</c:v>
                </c:pt>
                <c:pt idx="13">
                  <c:v>2.6833333333333371</c:v>
                </c:pt>
                <c:pt idx="14">
                  <c:v>1.1899999999999977</c:v>
                </c:pt>
                <c:pt idx="15">
                  <c:v>0.93666666666666742</c:v>
                </c:pt>
                <c:pt idx="16">
                  <c:v>-1.9566666666666634</c:v>
                </c:pt>
                <c:pt idx="17">
                  <c:v>-0.56333333333333258</c:v>
                </c:pt>
                <c:pt idx="18">
                  <c:v>-3.8000000000000043</c:v>
                </c:pt>
                <c:pt idx="19">
                  <c:v>2.9600000000000009</c:v>
                </c:pt>
                <c:pt idx="20">
                  <c:v>-4.8900000000000006</c:v>
                </c:pt>
                <c:pt idx="21">
                  <c:v>-4.6366666666666632</c:v>
                </c:pt>
                <c:pt idx="22">
                  <c:v>1.9499999999999957</c:v>
                </c:pt>
                <c:pt idx="23">
                  <c:v>1.6166666666666742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C-4686-BFFC-C25903C26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91568"/>
        <c:axId val="404092128"/>
      </c:scatterChart>
      <c:valAx>
        <c:axId val="40409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x1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92128"/>
        <c:crosses val="autoZero"/>
        <c:crossBetween val="midCat"/>
      </c:valAx>
      <c:valAx>
        <c:axId val="4040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residual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9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x2 vs residual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'2'!$J$82</c:f>
              <c:strCache>
                <c:ptCount val="1"/>
                <c:pt idx="0">
                  <c:v>y-y_bar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'2'!$D$83:$D$106</c:f>
              <c:numCache>
                <c:formatCode>General</c:formatCode>
                <c:ptCount val="24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1</c:v>
                </c:pt>
                <c:pt idx="23">
                  <c:v>1</c:v>
                </c:pt>
              </c:numCache>
            </c:numRef>
          </c:xVal>
          <c:yVal>
            <c:numRef>
              <c:f>'2'!$J$83:$J$106</c:f>
              <c:numCache>
                <c:formatCode>General</c:formatCode>
                <c:ptCount val="24"/>
                <c:pt idx="0">
                  <c:v>2.403333333333336</c:v>
                </c:pt>
                <c:pt idx="1">
                  <c:v>-0.69333333333332803</c:v>
                </c:pt>
                <c:pt idx="2">
                  <c:v>-1.360000000000003</c:v>
                </c:pt>
                <c:pt idx="3">
                  <c:v>-3.9999999999999147E-2</c:v>
                </c:pt>
                <c:pt idx="4">
                  <c:v>4.5</c:v>
                </c:pt>
                <c:pt idx="5">
                  <c:v>1.9533333333333331</c:v>
                </c:pt>
                <c:pt idx="6">
                  <c:v>-3.1400000000000006</c:v>
                </c:pt>
                <c:pt idx="7">
                  <c:v>-2.5533333333333275</c:v>
                </c:pt>
                <c:pt idx="8">
                  <c:v>-0.44666666666666544</c:v>
                </c:pt>
                <c:pt idx="9">
                  <c:v>1.2566666666666606</c:v>
                </c:pt>
                <c:pt idx="10">
                  <c:v>5.1599999999999966</c:v>
                </c:pt>
                <c:pt idx="11">
                  <c:v>-2.9199999999999946</c:v>
                </c:pt>
                <c:pt idx="12">
                  <c:v>0.39000000000000057</c:v>
                </c:pt>
                <c:pt idx="13">
                  <c:v>2.6833333333333371</c:v>
                </c:pt>
                <c:pt idx="14">
                  <c:v>1.1899999999999977</c:v>
                </c:pt>
                <c:pt idx="15">
                  <c:v>0.93666666666666742</c:v>
                </c:pt>
                <c:pt idx="16">
                  <c:v>-1.9566666666666634</c:v>
                </c:pt>
                <c:pt idx="17">
                  <c:v>-0.56333333333333258</c:v>
                </c:pt>
                <c:pt idx="18">
                  <c:v>-3.8000000000000043</c:v>
                </c:pt>
                <c:pt idx="19">
                  <c:v>2.9600000000000009</c:v>
                </c:pt>
                <c:pt idx="20">
                  <c:v>-4.8900000000000006</c:v>
                </c:pt>
                <c:pt idx="21">
                  <c:v>-4.6366666666666632</c:v>
                </c:pt>
                <c:pt idx="22">
                  <c:v>1.9499999999999957</c:v>
                </c:pt>
                <c:pt idx="23">
                  <c:v>1.6166666666666742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8-466A-9DCC-A9F12DD47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94368"/>
        <c:axId val="404094928"/>
      </c:scatterChart>
      <c:valAx>
        <c:axId val="40409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x2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94928"/>
        <c:crosses val="autoZero"/>
        <c:crossBetween val="midCat"/>
      </c:valAx>
      <c:valAx>
        <c:axId val="4040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residual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9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2.xml"/><Relationship Id="rId4" Type="http://schemas.openxmlformats.org/officeDocument/2006/relationships/chart" Target="../charts/chart7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312056</xdr:colOff>
      <xdr:row>45</xdr:row>
      <xdr:rowOff>116142</xdr:rowOff>
    </xdr:from>
    <xdr:to>
      <xdr:col>27</xdr:col>
      <xdr:colOff>16437</xdr:colOff>
      <xdr:row>63</xdr:row>
      <xdr:rowOff>487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85321" y="9271348"/>
          <a:ext cx="6097844" cy="3559874"/>
        </a:xfrm>
        <a:prstGeom prst="rect">
          <a:avLst/>
        </a:prstGeom>
      </xdr:spPr>
    </xdr:pic>
    <xdr:clientData/>
  </xdr:twoCellAnchor>
  <xdr:twoCellAnchor>
    <xdr:from>
      <xdr:col>6</xdr:col>
      <xdr:colOff>163285</xdr:colOff>
      <xdr:row>35</xdr:row>
      <xdr:rowOff>54427</xdr:rowOff>
    </xdr:from>
    <xdr:to>
      <xdr:col>13</xdr:col>
      <xdr:colOff>388619</xdr:colOff>
      <xdr:row>53</xdr:row>
      <xdr:rowOff>57149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481931</xdr:colOff>
      <xdr:row>51</xdr:row>
      <xdr:rowOff>141995</xdr:rowOff>
    </xdr:from>
    <xdr:to>
      <xdr:col>16</xdr:col>
      <xdr:colOff>749464</xdr:colOff>
      <xdr:row>75</xdr:row>
      <xdr:rowOff>144519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9574" y="10551459"/>
          <a:ext cx="7690775" cy="4901096"/>
        </a:xfrm>
        <a:prstGeom prst="rect">
          <a:avLst/>
        </a:prstGeom>
      </xdr:spPr>
    </xdr:pic>
    <xdr:clientData/>
  </xdr:twoCellAnchor>
  <xdr:twoCellAnchor>
    <xdr:from>
      <xdr:col>14</xdr:col>
      <xdr:colOff>182295</xdr:colOff>
      <xdr:row>50</xdr:row>
      <xdr:rowOff>111605</xdr:rowOff>
    </xdr:from>
    <xdr:to>
      <xdr:col>19</xdr:col>
      <xdr:colOff>372577</xdr:colOff>
      <xdr:row>72</xdr:row>
      <xdr:rowOff>636</xdr:rowOff>
    </xdr:to>
    <xdr:grpSp>
      <xdr:nvGrpSpPr>
        <xdr:cNvPr id="4" name="群組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8686759" y="10316962"/>
          <a:ext cx="3755354" cy="4379388"/>
          <a:chOff x="13529393" y="8503689"/>
          <a:chExt cx="5135231" cy="4326129"/>
        </a:xfrm>
      </xdr:grpSpPr>
      <xdr:grpSp>
        <xdr:nvGrpSpPr>
          <xdr:cNvPr id="16" name="群組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13529393" y="8503689"/>
            <a:ext cx="5135231" cy="4326129"/>
            <a:chOff x="25562300" y="4050641"/>
            <a:chExt cx="5138057" cy="4348843"/>
          </a:xfrm>
        </xdr:grpSpPr>
        <xdr:graphicFrame macro="">
          <xdr:nvGraphicFramePr>
            <xdr:cNvPr id="6" name="圖表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aphicFramePr/>
          </xdr:nvGraphicFramePr>
          <xdr:xfrm>
            <a:off x="25562300" y="4050641"/>
            <a:ext cx="5138057" cy="434884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pSp>
          <xdr:nvGrpSpPr>
            <xdr:cNvPr id="15" name="群組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GrpSpPr/>
          </xdr:nvGrpSpPr>
          <xdr:grpSpPr>
            <a:xfrm>
              <a:off x="26336625" y="4514850"/>
              <a:ext cx="3697941" cy="3067690"/>
              <a:chOff x="26336625" y="4514850"/>
              <a:chExt cx="3697941" cy="3067690"/>
            </a:xfrm>
          </xdr:grpSpPr>
          <xdr:sp macro="" textlink="">
            <xdr:nvSpPr>
              <xdr:cNvPr id="7" name="文字方塊 6">
                <a:extLst>
                  <a:ext uri="{FF2B5EF4-FFF2-40B4-BE49-F238E27FC236}">
                    <a16:creationId xmlns:a16="http://schemas.microsoft.com/office/drawing/2014/main" id="{00000000-0008-0000-0100-000007000000}"/>
                  </a:ext>
                </a:extLst>
              </xdr:cNvPr>
              <xdr:cNvSpPr txBox="1"/>
            </xdr:nvSpPr>
            <xdr:spPr>
              <a:xfrm>
                <a:off x="28908375" y="4791075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E4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" name="文字方塊 7">
                <a:extLst>
                  <a:ext uri="{FF2B5EF4-FFF2-40B4-BE49-F238E27FC236}">
                    <a16:creationId xmlns:a16="http://schemas.microsoft.com/office/drawing/2014/main" id="{00000000-0008-0000-0100-000008000000}"/>
                  </a:ext>
                </a:extLst>
              </xdr:cNvPr>
              <xdr:cNvSpPr txBox="1"/>
            </xdr:nvSpPr>
            <xdr:spPr>
              <a:xfrm>
                <a:off x="29146500" y="4533900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E2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9" name="文字方塊 8">
                <a:extLst>
                  <a:ext uri="{FF2B5EF4-FFF2-40B4-BE49-F238E27FC236}">
                    <a16:creationId xmlns:a16="http://schemas.microsoft.com/office/drawing/2014/main" id="{00000000-0008-0000-0100-000009000000}"/>
                  </a:ext>
                </a:extLst>
              </xdr:cNvPr>
              <xdr:cNvSpPr txBox="1"/>
            </xdr:nvSpPr>
            <xdr:spPr>
              <a:xfrm>
                <a:off x="29422725" y="4514850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E15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0" name="文字方塊 9">
                <a:extLst>
                  <a:ext uri="{FF2B5EF4-FFF2-40B4-BE49-F238E27FC236}">
                    <a16:creationId xmlns:a16="http://schemas.microsoft.com/office/drawing/2014/main" id="{00000000-0008-0000-0100-00000A000000}"/>
                  </a:ext>
                </a:extLst>
              </xdr:cNvPr>
              <xdr:cNvSpPr txBox="1"/>
            </xdr:nvSpPr>
            <xdr:spPr>
              <a:xfrm>
                <a:off x="28460700" y="4914900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E12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1" name="文字方塊 10">
                <a:extLst>
                  <a:ext uri="{FF2B5EF4-FFF2-40B4-BE49-F238E27FC236}">
                    <a16:creationId xmlns:a16="http://schemas.microsoft.com/office/drawing/2014/main" id="{00000000-0008-0000-0100-00000B000000}"/>
                  </a:ext>
                </a:extLst>
              </xdr:cNvPr>
              <xdr:cNvSpPr txBox="1"/>
            </xdr:nvSpPr>
            <xdr:spPr>
              <a:xfrm>
                <a:off x="28717875" y="4914900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E1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" name="文字方塊 11">
                <a:extLst>
                  <a:ext uri="{FF2B5EF4-FFF2-40B4-BE49-F238E27FC236}">
                    <a16:creationId xmlns:a16="http://schemas.microsoft.com/office/drawing/2014/main" id="{00000000-0008-0000-0100-00000C000000}"/>
                  </a:ext>
                </a:extLst>
              </xdr:cNvPr>
              <xdr:cNvSpPr txBox="1"/>
            </xdr:nvSpPr>
            <xdr:spPr>
              <a:xfrm>
                <a:off x="28098750" y="5143500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E11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" name="文字方塊 12">
                <a:extLst>
                  <a:ext uri="{FF2B5EF4-FFF2-40B4-BE49-F238E27FC236}">
                    <a16:creationId xmlns:a16="http://schemas.microsoft.com/office/drawing/2014/main" id="{00000000-0008-0000-0100-00000D000000}"/>
                  </a:ext>
                </a:extLst>
              </xdr:cNvPr>
              <xdr:cNvSpPr txBox="1"/>
            </xdr:nvSpPr>
            <xdr:spPr>
              <a:xfrm>
                <a:off x="28336875" y="5143500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E8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" name="文字方塊 13">
                <a:extLst>
                  <a:ext uri="{FF2B5EF4-FFF2-40B4-BE49-F238E27FC236}">
                    <a16:creationId xmlns:a16="http://schemas.microsoft.com/office/drawing/2014/main" id="{00000000-0008-0000-0100-00000E000000}"/>
                  </a:ext>
                </a:extLst>
              </xdr:cNvPr>
              <xdr:cNvSpPr txBox="1"/>
            </xdr:nvSpPr>
            <xdr:spPr>
              <a:xfrm>
                <a:off x="26336625" y="7315200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E7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</xdr:grpSp>
      </xdr:grpSp>
      <xdr:sp macro="" textlink="">
        <xdr:nvSpPr>
          <xdr:cNvPr id="17" name="文字方塊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 txBox="1"/>
        </xdr:nvSpPr>
        <xdr:spPr>
          <a:xfrm>
            <a:off x="18024649" y="8888395"/>
            <a:ext cx="611504" cy="2659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100">
                <a:solidFill>
                  <a:schemeClr val="tx1"/>
                </a:solidFill>
              </a:rPr>
              <a:t>E6</a:t>
            </a:r>
            <a:endParaRPr lang="zh-TW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29</xdr:col>
      <xdr:colOff>855009</xdr:colOff>
      <xdr:row>101</xdr:row>
      <xdr:rowOff>18007</xdr:rowOff>
    </xdr:from>
    <xdr:to>
      <xdr:col>34</xdr:col>
      <xdr:colOff>827314</xdr:colOff>
      <xdr:row>125</xdr:row>
      <xdr:rowOff>5682</xdr:rowOff>
    </xdr:to>
    <xdr:grpSp>
      <xdr:nvGrpSpPr>
        <xdr:cNvPr id="29" name="群組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pSpPr/>
      </xdr:nvGrpSpPr>
      <xdr:grpSpPr>
        <a:xfrm>
          <a:off x="26245938" y="20700864"/>
          <a:ext cx="5918626" cy="4886247"/>
          <a:chOff x="34887833" y="20747129"/>
          <a:chExt cx="5409080" cy="4797800"/>
        </a:xfrm>
      </xdr:grpSpPr>
      <xdr:graphicFrame macro="">
        <xdr:nvGraphicFramePr>
          <xdr:cNvPr id="18" name="圖表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GraphicFramePr/>
        </xdr:nvGraphicFramePr>
        <xdr:xfrm>
          <a:off x="34887833" y="20747129"/>
          <a:ext cx="5409080" cy="4797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pSp>
        <xdr:nvGrpSpPr>
          <xdr:cNvPr id="26" name="群組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GrpSpPr/>
        </xdr:nvGrpSpPr>
        <xdr:grpSpPr>
          <a:xfrm>
            <a:off x="35537775" y="21431250"/>
            <a:ext cx="3892345" cy="3477683"/>
            <a:chOff x="35537775" y="21431250"/>
            <a:chExt cx="3892345" cy="3477683"/>
          </a:xfrm>
        </xdr:grpSpPr>
        <xdr:sp macro="" textlink="">
          <xdr:nvSpPr>
            <xdr:cNvPr id="21" name="文字方塊 18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 txBox="1"/>
          </xdr:nvSpPr>
          <xdr:spPr>
            <a:xfrm>
              <a:off x="39100125" y="21431250"/>
              <a:ext cx="329995" cy="2677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100">
                  <a:solidFill>
                    <a:schemeClr val="tx1"/>
                  </a:solidFill>
                </a:rPr>
                <a:t>E5</a:t>
              </a:r>
              <a:endParaRPr lang="zh-TW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2" name="文字方塊 18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 txBox="1"/>
          </xdr:nvSpPr>
          <xdr:spPr>
            <a:xfrm>
              <a:off x="38738175" y="22078950"/>
              <a:ext cx="329995" cy="2677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100">
                  <a:solidFill>
                    <a:schemeClr val="tx1"/>
                  </a:solidFill>
                </a:rPr>
                <a:t>E7</a:t>
              </a:r>
              <a:endParaRPr lang="zh-TW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3" name="文字方塊 18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 txBox="1"/>
          </xdr:nvSpPr>
          <xdr:spPr>
            <a:xfrm>
              <a:off x="36490275" y="24555450"/>
              <a:ext cx="457200" cy="2677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100">
                  <a:solidFill>
                    <a:schemeClr val="tx1"/>
                  </a:solidFill>
                </a:rPr>
                <a:t>E15</a:t>
              </a:r>
              <a:endParaRPr lang="zh-TW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4" name="文字方塊 18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36156900" y="24584025"/>
              <a:ext cx="457200" cy="2677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100">
                  <a:solidFill>
                    <a:schemeClr val="tx1"/>
                  </a:solidFill>
                </a:rPr>
                <a:t>E10</a:t>
              </a:r>
              <a:endParaRPr lang="zh-TW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5" name="文字方塊 18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 txBox="1"/>
          </xdr:nvSpPr>
          <xdr:spPr>
            <a:xfrm>
              <a:off x="35537775" y="24641175"/>
              <a:ext cx="457200" cy="2677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100">
                  <a:solidFill>
                    <a:schemeClr val="tx1"/>
                  </a:solidFill>
                </a:rPr>
                <a:t>E8</a:t>
              </a:r>
              <a:endParaRPr lang="zh-TW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27" name="文字方塊 18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 txBox="1"/>
        </xdr:nvSpPr>
        <xdr:spPr>
          <a:xfrm>
            <a:off x="39728775" y="21421725"/>
            <a:ext cx="329995" cy="2677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100">
                <a:solidFill>
                  <a:schemeClr val="tx1"/>
                </a:solidFill>
              </a:rPr>
              <a:t>E2</a:t>
            </a:r>
            <a:endParaRPr lang="zh-TW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546847</xdr:colOff>
      <xdr:row>113</xdr:row>
      <xdr:rowOff>0</xdr:rowOff>
    </xdr:from>
    <xdr:to>
      <xdr:col>16</xdr:col>
      <xdr:colOff>860611</xdr:colOff>
      <xdr:row>129</xdr:row>
      <xdr:rowOff>183777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708210</xdr:colOff>
      <xdr:row>131</xdr:row>
      <xdr:rowOff>31376</xdr:rowOff>
    </xdr:from>
    <xdr:to>
      <xdr:col>16</xdr:col>
      <xdr:colOff>753034</xdr:colOff>
      <xdr:row>145</xdr:row>
      <xdr:rowOff>13446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690282</xdr:colOff>
      <xdr:row>145</xdr:row>
      <xdr:rowOff>156881</xdr:rowOff>
    </xdr:from>
    <xdr:to>
      <xdr:col>16</xdr:col>
      <xdr:colOff>735106</xdr:colOff>
      <xdr:row>159</xdr:row>
      <xdr:rowOff>138952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161363</xdr:colOff>
      <xdr:row>112</xdr:row>
      <xdr:rowOff>183777</xdr:rowOff>
    </xdr:from>
    <xdr:to>
      <xdr:col>24</xdr:col>
      <xdr:colOff>286869</xdr:colOff>
      <xdr:row>126</xdr:row>
      <xdr:rowOff>165847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71718</xdr:colOff>
      <xdr:row>128</xdr:row>
      <xdr:rowOff>22412</xdr:rowOff>
    </xdr:from>
    <xdr:to>
      <xdr:col>24</xdr:col>
      <xdr:colOff>197224</xdr:colOff>
      <xdr:row>141</xdr:row>
      <xdr:rowOff>192742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203947</xdr:colOff>
      <xdr:row>143</xdr:row>
      <xdr:rowOff>8964</xdr:rowOff>
    </xdr:from>
    <xdr:to>
      <xdr:col>24</xdr:col>
      <xdr:colOff>364191</xdr:colOff>
      <xdr:row>156</xdr:row>
      <xdr:rowOff>182655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95250</xdr:colOff>
      <xdr:row>157</xdr:row>
      <xdr:rowOff>180975</xdr:rowOff>
    </xdr:from>
    <xdr:to>
      <xdr:col>24</xdr:col>
      <xdr:colOff>266700</xdr:colOff>
      <xdr:row>172</xdr:row>
      <xdr:rowOff>66675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268301</xdr:colOff>
      <xdr:row>157</xdr:row>
      <xdr:rowOff>45399</xdr:rowOff>
    </xdr:from>
    <xdr:to>
      <xdr:col>22</xdr:col>
      <xdr:colOff>301967</xdr:colOff>
      <xdr:row>186</xdr:row>
      <xdr:rowOff>54582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50301" y="31058799"/>
          <a:ext cx="7364873" cy="5724503"/>
        </a:xfrm>
        <a:prstGeom prst="rect">
          <a:avLst/>
        </a:prstGeom>
      </xdr:spPr>
    </xdr:pic>
    <xdr:clientData/>
  </xdr:twoCellAnchor>
  <xdr:twoCellAnchor>
    <xdr:from>
      <xdr:col>12</xdr:col>
      <xdr:colOff>197223</xdr:colOff>
      <xdr:row>198</xdr:row>
      <xdr:rowOff>132231</xdr:rowOff>
    </xdr:from>
    <xdr:to>
      <xdr:col>23</xdr:col>
      <xdr:colOff>83245</xdr:colOff>
      <xdr:row>223</xdr:row>
      <xdr:rowOff>17608</xdr:rowOff>
    </xdr:to>
    <xdr:grpSp>
      <xdr:nvGrpSpPr>
        <xdr:cNvPr id="17" name="群組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pSpPr/>
      </xdr:nvGrpSpPr>
      <xdr:grpSpPr>
        <a:xfrm>
          <a:off x="10439399" y="40473407"/>
          <a:ext cx="6396640" cy="4961642"/>
          <a:chOff x="9044371" y="37720657"/>
          <a:chExt cx="5850127" cy="4882714"/>
        </a:xfrm>
      </xdr:grpSpPr>
      <xdr:graphicFrame macro="">
        <xdr:nvGraphicFramePr>
          <xdr:cNvPr id="11" name="圖表 10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GraphicFramePr/>
        </xdr:nvGraphicFramePr>
        <xdr:xfrm>
          <a:off x="9044371" y="37720657"/>
          <a:ext cx="5850127" cy="48827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12" name="文字方塊 11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 txBox="1"/>
        </xdr:nvSpPr>
        <xdr:spPr>
          <a:xfrm>
            <a:off x="9648340" y="41440613"/>
            <a:ext cx="412230" cy="2549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600">
                <a:solidFill>
                  <a:schemeClr val="tx1"/>
                </a:solidFill>
              </a:rPr>
              <a:t>E3</a:t>
            </a:r>
            <a:endParaRPr lang="zh-TW" altLang="en-US" sz="1600">
              <a:solidFill>
                <a:schemeClr val="tx1"/>
              </a:solidFill>
            </a:endParaRPr>
          </a:p>
        </xdr:txBody>
      </xdr:sp>
      <xdr:sp macro="" textlink="">
        <xdr:nvSpPr>
          <xdr:cNvPr id="13" name="文字方塊 12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 txBox="1"/>
        </xdr:nvSpPr>
        <xdr:spPr>
          <a:xfrm>
            <a:off x="12949374" y="39183503"/>
            <a:ext cx="413657" cy="2532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>
                <a:solidFill>
                  <a:schemeClr val="tx1"/>
                </a:solidFill>
              </a:rPr>
              <a:t>E1</a:t>
            </a:r>
            <a:endParaRPr lang="zh-TW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14" name="文字方塊 13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 txBox="1"/>
        </xdr:nvSpPr>
        <xdr:spPr>
          <a:xfrm>
            <a:off x="13943539" y="38363294"/>
            <a:ext cx="447710" cy="2613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>
                <a:solidFill>
                  <a:schemeClr val="tx1"/>
                </a:solidFill>
              </a:rPr>
              <a:t>E6</a:t>
            </a:r>
            <a:endParaRPr lang="zh-TW" altLang="en-US" sz="14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10</xdr:col>
      <xdr:colOff>304800</xdr:colOff>
      <xdr:row>238</xdr:row>
      <xdr:rowOff>48984</xdr:rowOff>
    </xdr:from>
    <xdr:to>
      <xdr:col>16</xdr:col>
      <xdr:colOff>348342</xdr:colOff>
      <xdr:row>258</xdr:row>
      <xdr:rowOff>97970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272144</xdr:colOff>
      <xdr:row>241</xdr:row>
      <xdr:rowOff>108858</xdr:rowOff>
    </xdr:from>
    <xdr:to>
      <xdr:col>16</xdr:col>
      <xdr:colOff>54429</xdr:colOff>
      <xdr:row>242</xdr:row>
      <xdr:rowOff>163286</xdr:rowOff>
    </xdr:to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13182601" y="47646772"/>
          <a:ext cx="413657" cy="250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</a:rPr>
            <a:t>E6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1665515</xdr:colOff>
      <xdr:row>244</xdr:row>
      <xdr:rowOff>119743</xdr:rowOff>
    </xdr:from>
    <xdr:to>
      <xdr:col>13</xdr:col>
      <xdr:colOff>293914</xdr:colOff>
      <xdr:row>245</xdr:row>
      <xdr:rowOff>174171</xdr:rowOff>
    </xdr:to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2431486" y="48245486"/>
          <a:ext cx="413657" cy="250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</a:rPr>
            <a:t>E1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30" sqref="B30"/>
    </sheetView>
  </sheetViews>
  <sheetFormatPr defaultRowHeight="16.5" x14ac:dyDescent="0.25"/>
  <sheetData>
    <row r="1" spans="1:9" x14ac:dyDescent="0.25">
      <c r="A1" t="s">
        <v>47</v>
      </c>
    </row>
    <row r="2" spans="1:9" ht="17.25" thickBot="1" x14ac:dyDescent="0.3"/>
    <row r="3" spans="1:9" x14ac:dyDescent="0.25">
      <c r="A3" s="8" t="s">
        <v>48</v>
      </c>
      <c r="B3" s="8"/>
    </row>
    <row r="4" spans="1:9" x14ac:dyDescent="0.25">
      <c r="A4" s="5" t="s">
        <v>49</v>
      </c>
      <c r="B4" s="5">
        <v>1</v>
      </c>
    </row>
    <row r="5" spans="1:9" x14ac:dyDescent="0.25">
      <c r="A5" s="5" t="s">
        <v>50</v>
      </c>
      <c r="B5" s="5">
        <v>1</v>
      </c>
    </row>
    <row r="6" spans="1:9" x14ac:dyDescent="0.25">
      <c r="A6" s="5" t="s">
        <v>51</v>
      </c>
      <c r="B6" s="5">
        <v>65535</v>
      </c>
    </row>
    <row r="7" spans="1:9" x14ac:dyDescent="0.25">
      <c r="A7" s="5" t="s">
        <v>52</v>
      </c>
      <c r="B7" s="5">
        <v>0</v>
      </c>
    </row>
    <row r="8" spans="1:9" ht="17.25" thickBot="1" x14ac:dyDescent="0.3">
      <c r="A8" s="6" t="s">
        <v>53</v>
      </c>
      <c r="B8" s="6">
        <v>16</v>
      </c>
    </row>
    <row r="10" spans="1:9" ht="17.25" thickBot="1" x14ac:dyDescent="0.3">
      <c r="A10" t="s">
        <v>54</v>
      </c>
    </row>
    <row r="11" spans="1:9" x14ac:dyDescent="0.25">
      <c r="A11" s="7"/>
      <c r="B11" s="7" t="s">
        <v>59</v>
      </c>
      <c r="C11" s="7" t="s">
        <v>60</v>
      </c>
      <c r="D11" s="7" t="s">
        <v>61</v>
      </c>
      <c r="E11" s="7" t="s">
        <v>62</v>
      </c>
      <c r="F11" s="7" t="s">
        <v>63</v>
      </c>
    </row>
    <row r="12" spans="1:9" x14ac:dyDescent="0.25">
      <c r="A12" s="5" t="s">
        <v>55</v>
      </c>
      <c r="B12" s="5">
        <v>15</v>
      </c>
      <c r="C12" s="5">
        <v>1954.7968601343034</v>
      </c>
      <c r="D12" s="5">
        <v>130.31979067562023</v>
      </c>
      <c r="E12" s="5" t="e">
        <v>#NUM!</v>
      </c>
      <c r="F12" s="5" t="e">
        <v>#NUM!</v>
      </c>
    </row>
    <row r="13" spans="1:9" x14ac:dyDescent="0.25">
      <c r="A13" s="5" t="s">
        <v>56</v>
      </c>
      <c r="B13" s="5">
        <v>0</v>
      </c>
      <c r="C13" s="5">
        <v>0</v>
      </c>
      <c r="D13" s="5">
        <v>65535</v>
      </c>
      <c r="E13" s="5"/>
      <c r="F13" s="5"/>
    </row>
    <row r="14" spans="1:9" ht="17.25" thickBot="1" x14ac:dyDescent="0.3">
      <c r="A14" s="6" t="s">
        <v>57</v>
      </c>
      <c r="B14" s="6">
        <v>15</v>
      </c>
      <c r="C14" s="6">
        <v>1954.7968601343034</v>
      </c>
      <c r="D14" s="6"/>
      <c r="E14" s="6"/>
      <c r="F14" s="6"/>
    </row>
    <row r="15" spans="1:9" ht="17.25" thickBot="1" x14ac:dyDescent="0.3"/>
    <row r="16" spans="1:9" x14ac:dyDescent="0.25">
      <c r="A16" s="7"/>
      <c r="B16" s="7" t="s">
        <v>64</v>
      </c>
      <c r="C16" s="7" t="s">
        <v>52</v>
      </c>
      <c r="D16" s="7" t="s">
        <v>65</v>
      </c>
      <c r="E16" s="7" t="s">
        <v>66</v>
      </c>
      <c r="F16" s="7" t="s">
        <v>67</v>
      </c>
      <c r="G16" s="7" t="s">
        <v>68</v>
      </c>
      <c r="H16" s="7" t="s">
        <v>69</v>
      </c>
      <c r="I16" s="7" t="s">
        <v>70</v>
      </c>
    </row>
    <row r="17" spans="1:9" x14ac:dyDescent="0.25">
      <c r="A17" s="5" t="s">
        <v>58</v>
      </c>
      <c r="B17" s="5">
        <v>5.9910543475853233</v>
      </c>
      <c r="C17" s="5">
        <v>0</v>
      </c>
      <c r="D17" s="5">
        <v>65535</v>
      </c>
      <c r="E17" s="5" t="e">
        <v>#NUM!</v>
      </c>
      <c r="F17" s="5">
        <v>5.9910543475853233</v>
      </c>
      <c r="G17" s="5">
        <v>5.9910543475853233</v>
      </c>
      <c r="H17" s="5">
        <v>5.9910543475853233</v>
      </c>
      <c r="I17" s="5">
        <v>5.9910543475853233</v>
      </c>
    </row>
    <row r="18" spans="1:9" x14ac:dyDescent="0.25">
      <c r="A18" s="5" t="s">
        <v>35</v>
      </c>
      <c r="B18" s="5">
        <v>2.5817066304627003</v>
      </c>
      <c r="C18" s="5">
        <v>0</v>
      </c>
      <c r="D18" s="5">
        <v>65535</v>
      </c>
      <c r="E18" s="5" t="e">
        <v>#NUM!</v>
      </c>
      <c r="F18" s="5">
        <v>2.5817066304627003</v>
      </c>
      <c r="G18" s="5">
        <v>2.5817066304627003</v>
      </c>
      <c r="H18" s="5">
        <v>2.5817066304627003</v>
      </c>
      <c r="I18" s="5">
        <v>2.5817066304627003</v>
      </c>
    </row>
    <row r="19" spans="1:9" x14ac:dyDescent="0.25">
      <c r="A19" s="5" t="s">
        <v>36</v>
      </c>
      <c r="B19" s="5">
        <v>4.0141669290265183</v>
      </c>
      <c r="C19" s="5">
        <v>0</v>
      </c>
      <c r="D19" s="5">
        <v>65535</v>
      </c>
      <c r="E19" s="5" t="e">
        <v>#NUM!</v>
      </c>
      <c r="F19" s="5">
        <v>4.0141669290265183</v>
      </c>
      <c r="G19" s="5">
        <v>4.0141669290265183</v>
      </c>
      <c r="H19" s="5">
        <v>4.0141669290265183</v>
      </c>
      <c r="I19" s="5">
        <v>4.0141669290265183</v>
      </c>
    </row>
    <row r="20" spans="1:9" x14ac:dyDescent="0.25">
      <c r="A20" s="5" t="s">
        <v>37</v>
      </c>
      <c r="B20" s="5">
        <v>-1.9523322228064461</v>
      </c>
      <c r="C20" s="5">
        <v>0</v>
      </c>
      <c r="D20" s="5">
        <v>65535</v>
      </c>
      <c r="E20" s="5" t="e">
        <v>#NUM!</v>
      </c>
      <c r="F20" s="5">
        <v>-1.9523322228064461</v>
      </c>
      <c r="G20" s="5">
        <v>-1.9523322228064461</v>
      </c>
      <c r="H20" s="5">
        <v>-1.9523322228064461</v>
      </c>
      <c r="I20" s="5">
        <v>-1.9523322228064461</v>
      </c>
    </row>
    <row r="21" spans="1:9" x14ac:dyDescent="0.25">
      <c r="A21" s="5" t="s">
        <v>38</v>
      </c>
      <c r="B21" s="5">
        <v>3.0023103524682937</v>
      </c>
      <c r="C21" s="5">
        <v>0</v>
      </c>
      <c r="D21" s="5">
        <v>65535</v>
      </c>
      <c r="E21" s="5" t="e">
        <v>#NUM!</v>
      </c>
      <c r="F21" s="5">
        <v>3.0023103524682937</v>
      </c>
      <c r="G21" s="5">
        <v>3.0023103524682937</v>
      </c>
      <c r="H21" s="5">
        <v>3.0023103524682937</v>
      </c>
      <c r="I21" s="5">
        <v>3.0023103524682937</v>
      </c>
    </row>
    <row r="22" spans="1:9" x14ac:dyDescent="0.25">
      <c r="A22" s="5" t="s">
        <v>44</v>
      </c>
      <c r="B22" s="5">
        <v>-2.1398934797857168</v>
      </c>
      <c r="C22" s="5">
        <v>0</v>
      </c>
      <c r="D22" s="5">
        <v>65535</v>
      </c>
      <c r="E22" s="5" t="e">
        <v>#NUM!</v>
      </c>
      <c r="F22" s="5">
        <v>-2.1398934797857168</v>
      </c>
      <c r="G22" s="5">
        <v>-2.1398934797857168</v>
      </c>
      <c r="H22" s="5">
        <v>-2.1398934797857168</v>
      </c>
      <c r="I22" s="5">
        <v>-2.1398934797857168</v>
      </c>
    </row>
    <row r="23" spans="1:9" x14ac:dyDescent="0.25">
      <c r="A23" s="5" t="s">
        <v>71</v>
      </c>
      <c r="B23" s="5">
        <v>4.4242173722205216</v>
      </c>
      <c r="C23" s="5">
        <v>0</v>
      </c>
      <c r="D23" s="5">
        <v>65535</v>
      </c>
      <c r="E23" s="5" t="e">
        <v>#NUM!</v>
      </c>
      <c r="F23" s="5">
        <v>4.4242173722205216</v>
      </c>
      <c r="G23" s="5">
        <v>4.4242173722205216</v>
      </c>
      <c r="H23" s="5">
        <v>4.4242173722205216</v>
      </c>
      <c r="I23" s="5">
        <v>4.4242173722205216</v>
      </c>
    </row>
    <row r="24" spans="1:9" x14ac:dyDescent="0.25">
      <c r="A24" s="5" t="s">
        <v>352</v>
      </c>
      <c r="B24" s="5">
        <v>-5.5875725119581503</v>
      </c>
      <c r="C24" s="5">
        <v>0</v>
      </c>
      <c r="D24" s="5">
        <v>65535</v>
      </c>
      <c r="E24" s="5" t="e">
        <v>#NUM!</v>
      </c>
      <c r="F24" s="5">
        <v>-5.5875725119581503</v>
      </c>
      <c r="G24" s="5">
        <v>-5.5875725119581503</v>
      </c>
      <c r="H24" s="5">
        <v>-5.5875725119581503</v>
      </c>
      <c r="I24" s="5">
        <v>-5.5875725119581503</v>
      </c>
    </row>
    <row r="25" spans="1:9" x14ac:dyDescent="0.25">
      <c r="A25" s="5" t="s">
        <v>74</v>
      </c>
      <c r="B25" s="5">
        <v>1.7529842000102775</v>
      </c>
      <c r="C25" s="5">
        <v>0</v>
      </c>
      <c r="D25" s="5">
        <v>65535</v>
      </c>
      <c r="E25" s="5" t="e">
        <v>#NUM!</v>
      </c>
      <c r="F25" s="5">
        <v>1.7529842000102775</v>
      </c>
      <c r="G25" s="5">
        <v>1.7529842000102775</v>
      </c>
      <c r="H25" s="5">
        <v>1.7529842000102775</v>
      </c>
      <c r="I25" s="5">
        <v>1.7529842000102775</v>
      </c>
    </row>
    <row r="26" spans="1:9" x14ac:dyDescent="0.25">
      <c r="A26" s="5" t="s">
        <v>353</v>
      </c>
      <c r="B26" s="5">
        <v>0.47278506371140627</v>
      </c>
      <c r="C26" s="5">
        <v>0</v>
      </c>
      <c r="D26" s="5">
        <v>65535</v>
      </c>
      <c r="E26" s="5" t="e">
        <v>#NUM!</v>
      </c>
      <c r="F26" s="5">
        <v>0.47278506371140627</v>
      </c>
      <c r="G26" s="5">
        <v>0.47278506371140627</v>
      </c>
      <c r="H26" s="5">
        <v>0.47278506371140627</v>
      </c>
      <c r="I26" s="5">
        <v>0.47278506371140627</v>
      </c>
    </row>
    <row r="27" spans="1:9" x14ac:dyDescent="0.25">
      <c r="A27" s="5" t="s">
        <v>354</v>
      </c>
      <c r="B27" s="5">
        <v>-0.63441704371106145</v>
      </c>
      <c r="C27" s="5">
        <v>0</v>
      </c>
      <c r="D27" s="5">
        <v>65535</v>
      </c>
      <c r="E27" s="5" t="e">
        <v>#NUM!</v>
      </c>
      <c r="F27" s="5">
        <v>-0.63441704371106145</v>
      </c>
      <c r="G27" s="5">
        <v>-0.63441704371106145</v>
      </c>
      <c r="H27" s="5">
        <v>-0.63441704371106145</v>
      </c>
      <c r="I27" s="5">
        <v>-0.63441704371106145</v>
      </c>
    </row>
    <row r="28" spans="1:9" x14ac:dyDescent="0.25">
      <c r="A28" s="5" t="s">
        <v>89</v>
      </c>
      <c r="B28" s="5">
        <v>1.6795813602628948</v>
      </c>
      <c r="C28" s="5">
        <v>0</v>
      </c>
      <c r="D28" s="5">
        <v>65535</v>
      </c>
      <c r="E28" s="5" t="e">
        <v>#NUM!</v>
      </c>
      <c r="F28" s="5">
        <v>1.6795813602628948</v>
      </c>
      <c r="G28" s="5">
        <v>1.6795813602628948</v>
      </c>
      <c r="H28" s="5">
        <v>1.6795813602628948</v>
      </c>
      <c r="I28" s="5">
        <v>1.6795813602628948</v>
      </c>
    </row>
    <row r="29" spans="1:9" x14ac:dyDescent="0.25">
      <c r="A29" s="5" t="s">
        <v>355</v>
      </c>
      <c r="B29" s="5">
        <v>2.5762473619629476</v>
      </c>
      <c r="C29" s="5">
        <v>0</v>
      </c>
      <c r="D29" s="5">
        <v>65535</v>
      </c>
      <c r="E29" s="5" t="e">
        <v>#NUM!</v>
      </c>
      <c r="F29" s="5">
        <v>2.5762473619629476</v>
      </c>
      <c r="G29" s="5">
        <v>2.5762473619629476</v>
      </c>
      <c r="H29" s="5">
        <v>2.5762473619629476</v>
      </c>
      <c r="I29" s="5">
        <v>2.5762473619629476</v>
      </c>
    </row>
    <row r="30" spans="1:9" x14ac:dyDescent="0.25">
      <c r="A30" s="5" t="s">
        <v>356</v>
      </c>
      <c r="B30" s="5">
        <v>-0.96880289693358945</v>
      </c>
      <c r="C30" s="5">
        <v>0</v>
      </c>
      <c r="D30" s="5">
        <v>65535</v>
      </c>
      <c r="E30" s="5" t="e">
        <v>#NUM!</v>
      </c>
      <c r="F30" s="5">
        <v>-0.96880289693358945</v>
      </c>
      <c r="G30" s="5">
        <v>-0.96880289693358945</v>
      </c>
      <c r="H30" s="5">
        <v>-0.96880289693358945</v>
      </c>
      <c r="I30" s="5">
        <v>-0.96880289693358945</v>
      </c>
    </row>
    <row r="31" spans="1:9" x14ac:dyDescent="0.25">
      <c r="A31" s="5" t="s">
        <v>357</v>
      </c>
      <c r="B31" s="5">
        <v>-0.50511961671554306</v>
      </c>
      <c r="C31" s="5">
        <v>0</v>
      </c>
      <c r="D31" s="5">
        <v>65535</v>
      </c>
      <c r="E31" s="5" t="e">
        <v>#NUM!</v>
      </c>
      <c r="F31" s="5">
        <v>-0.50511961671554306</v>
      </c>
      <c r="G31" s="5">
        <v>-0.50511961671554306</v>
      </c>
      <c r="H31" s="5">
        <v>-0.50511961671554306</v>
      </c>
      <c r="I31" s="5">
        <v>-0.50511961671554306</v>
      </c>
    </row>
    <row r="32" spans="1:9" ht="17.25" thickBot="1" x14ac:dyDescent="0.3">
      <c r="A32" s="6" t="s">
        <v>358</v>
      </c>
      <c r="B32" s="6">
        <v>4.1043935845064574</v>
      </c>
      <c r="C32" s="6">
        <v>0</v>
      </c>
      <c r="D32" s="6">
        <v>65535</v>
      </c>
      <c r="E32" s="6" t="e">
        <v>#NUM!</v>
      </c>
      <c r="F32" s="6">
        <v>4.1043935845064574</v>
      </c>
      <c r="G32" s="6">
        <v>4.1043935845064574</v>
      </c>
      <c r="H32" s="6">
        <v>4.1043935845064574</v>
      </c>
      <c r="I32" s="6">
        <v>4.1043935845064574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29"/>
  <sheetViews>
    <sheetView tabSelected="1" topLeftCell="I1" zoomScale="70" zoomScaleNormal="70" workbookViewId="0">
      <selection activeCell="R8" sqref="R8"/>
    </sheetView>
  </sheetViews>
  <sheetFormatPr defaultColWidth="8.875" defaultRowHeight="15.75" x14ac:dyDescent="0.25"/>
  <cols>
    <col min="1" max="1" width="5.125" style="18" customWidth="1"/>
    <col min="2" max="5" width="4.625" style="18" customWidth="1"/>
    <col min="6" max="7" width="7.125" style="18" customWidth="1"/>
    <col min="8" max="8" width="8.125" style="18" customWidth="1"/>
    <col min="9" max="9" width="9.625" style="18" customWidth="1"/>
    <col min="10" max="10" width="15.5" style="18" bestFit="1" customWidth="1"/>
    <col min="11" max="11" width="17.5" style="18" bestFit="1" customWidth="1"/>
    <col min="12" max="12" width="7" style="18" customWidth="1"/>
    <col min="13" max="16" width="7.875" style="18" customWidth="1"/>
    <col min="17" max="19" width="10.375" style="18" customWidth="1"/>
    <col min="20" max="21" width="19.375" style="18" customWidth="1"/>
    <col min="22" max="23" width="18.25" style="18" customWidth="1"/>
    <col min="24" max="24" width="19.375" style="18" customWidth="1"/>
    <col min="25" max="26" width="14.375" style="18" customWidth="1"/>
    <col min="27" max="27" width="17.125" style="18" customWidth="1"/>
    <col min="28" max="28" width="19.375" style="18" bestFit="1" customWidth="1"/>
    <col min="29" max="32" width="14.375" style="18" customWidth="1"/>
    <col min="33" max="33" width="17.125" style="18" customWidth="1"/>
    <col min="34" max="34" width="17.5" style="18" bestFit="1" customWidth="1"/>
    <col min="35" max="35" width="13.375" style="18" bestFit="1" customWidth="1"/>
    <col min="36" max="16384" width="8.875" style="18"/>
  </cols>
  <sheetData>
    <row r="1" spans="1:34" ht="16.5" thickBot="1" x14ac:dyDescent="0.3">
      <c r="A1" s="18" t="s">
        <v>237</v>
      </c>
    </row>
    <row r="2" spans="1:34" x14ac:dyDescent="0.25">
      <c r="A2" s="10" t="s">
        <v>5</v>
      </c>
      <c r="B2" s="11" t="s">
        <v>6</v>
      </c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73" t="s">
        <v>121</v>
      </c>
      <c r="K2" s="18" t="s">
        <v>374</v>
      </c>
      <c r="L2" s="34" t="s">
        <v>5</v>
      </c>
      <c r="M2" s="35" t="s">
        <v>6</v>
      </c>
      <c r="N2" s="35" t="s">
        <v>7</v>
      </c>
      <c r="O2" s="35" t="s">
        <v>8</v>
      </c>
      <c r="P2" s="35" t="s">
        <v>9</v>
      </c>
      <c r="Q2" s="35" t="s">
        <v>45</v>
      </c>
      <c r="R2" s="35" t="s">
        <v>72</v>
      </c>
      <c r="S2" s="35" t="s">
        <v>73</v>
      </c>
      <c r="T2" s="35" t="s">
        <v>75</v>
      </c>
      <c r="U2" s="35" t="s">
        <v>76</v>
      </c>
      <c r="V2" s="35" t="s">
        <v>77</v>
      </c>
      <c r="W2" s="35" t="s">
        <v>238</v>
      </c>
      <c r="X2" s="35" t="s">
        <v>239</v>
      </c>
      <c r="Y2" s="35" t="s">
        <v>240</v>
      </c>
      <c r="Z2" s="35" t="s">
        <v>241</v>
      </c>
      <c r="AA2" s="35" t="s">
        <v>242</v>
      </c>
      <c r="AB2" s="35" t="s">
        <v>243</v>
      </c>
    </row>
    <row r="3" spans="1:34" x14ac:dyDescent="0.25">
      <c r="A3" s="13">
        <v>1</v>
      </c>
      <c r="B3" s="143">
        <v>-1</v>
      </c>
      <c r="C3" s="143">
        <v>-1</v>
      </c>
      <c r="D3" s="143">
        <v>-1</v>
      </c>
      <c r="E3" s="143">
        <v>-1</v>
      </c>
      <c r="F3" s="143">
        <v>-1.44</v>
      </c>
      <c r="G3" s="143">
        <v>-0.08</v>
      </c>
      <c r="H3" s="143">
        <f t="shared" ref="H3:H18" si="0">AVERAGE(F3:G3)</f>
        <v>-0.76</v>
      </c>
      <c r="I3" s="143">
        <f t="shared" ref="I3:I18" si="1">_xlfn.VAR.S(F3:G3)</f>
        <v>0.92480000000000007</v>
      </c>
      <c r="J3" s="64">
        <f>10*LOG(H3^2/I3)</f>
        <v>-2.0442063651487121</v>
      </c>
      <c r="K3" s="18">
        <f>-10*LOG(((F3^2)+(G3^2))/2)</f>
        <v>-0.1703333929878037</v>
      </c>
      <c r="L3" s="32">
        <v>1</v>
      </c>
      <c r="M3" s="2">
        <v>-1</v>
      </c>
      <c r="N3" s="2">
        <v>-1</v>
      </c>
      <c r="O3" s="2">
        <v>-1</v>
      </c>
      <c r="P3" s="2">
        <v>-1</v>
      </c>
      <c r="Q3" s="2">
        <f t="shared" ref="Q3:Q18" si="2">M3*N3</f>
        <v>1</v>
      </c>
      <c r="R3" s="2">
        <f t="shared" ref="R3:R18" si="3">M3*O3</f>
        <v>1</v>
      </c>
      <c r="S3" s="2">
        <f t="shared" ref="S3:S18" si="4">M3*P3</f>
        <v>1</v>
      </c>
      <c r="T3" s="2">
        <f t="shared" ref="T3:T18" si="5">N3*O3</f>
        <v>1</v>
      </c>
      <c r="U3" s="2">
        <f t="shared" ref="U3:U18" si="6">N3*P3</f>
        <v>1</v>
      </c>
      <c r="V3" s="2">
        <f t="shared" ref="V3:V18" si="7">O3*P3</f>
        <v>1</v>
      </c>
      <c r="W3" s="2">
        <f t="shared" ref="W3:W18" si="8">M3*N3*O3</f>
        <v>-1</v>
      </c>
      <c r="X3" s="2">
        <f t="shared" ref="X3:X18" si="9">M3*N3*P3</f>
        <v>-1</v>
      </c>
      <c r="Y3" s="2">
        <f t="shared" ref="Y3:Y18" si="10">M3*O3*P3</f>
        <v>-1</v>
      </c>
      <c r="Z3" s="2">
        <f t="shared" ref="Z3:Z18" si="11">N3*O3*P3</f>
        <v>-1</v>
      </c>
      <c r="AA3" s="2">
        <f t="shared" ref="AA3:AA18" si="12">M3*N3*O3*P3</f>
        <v>1</v>
      </c>
      <c r="AB3" s="2">
        <f t="shared" ref="AB3:AB20" si="13">J3</f>
        <v>-2.0442063651487121</v>
      </c>
      <c r="AC3" s="18" t="s">
        <v>327</v>
      </c>
      <c r="AD3" s="18" t="s">
        <v>328</v>
      </c>
      <c r="AE3" s="18" t="s">
        <v>329</v>
      </c>
      <c r="AF3" s="18" t="s">
        <v>330</v>
      </c>
      <c r="AG3" s="18" t="s">
        <v>331</v>
      </c>
      <c r="AH3" s="18" t="s">
        <v>332</v>
      </c>
    </row>
    <row r="4" spans="1:34" x14ac:dyDescent="0.25">
      <c r="A4" s="13">
        <v>2</v>
      </c>
      <c r="B4" s="143">
        <v>1</v>
      </c>
      <c r="C4" s="143">
        <v>-1</v>
      </c>
      <c r="D4" s="143">
        <v>-1</v>
      </c>
      <c r="E4" s="143">
        <v>-1</v>
      </c>
      <c r="F4" s="143">
        <v>-1.79</v>
      </c>
      <c r="G4" s="143">
        <v>-1.01</v>
      </c>
      <c r="H4" s="143">
        <f t="shared" si="0"/>
        <v>-1.4</v>
      </c>
      <c r="I4" s="143">
        <f t="shared" si="1"/>
        <v>0.30420000000000025</v>
      </c>
      <c r="J4" s="64">
        <f t="shared" ref="J4:J18" si="14">10*LOG(H4^2/I4)</f>
        <v>8.0909686163949601</v>
      </c>
      <c r="K4" s="18">
        <f t="shared" ref="K4:K18" si="15">-10*LOG(((F4^2)+(G4^2))/2)</f>
        <v>-3.2471447656066834</v>
      </c>
      <c r="L4" s="32">
        <v>2</v>
      </c>
      <c r="M4" s="2">
        <v>1</v>
      </c>
      <c r="N4" s="2">
        <v>-1</v>
      </c>
      <c r="O4" s="2">
        <v>-1</v>
      </c>
      <c r="P4" s="2">
        <v>-1</v>
      </c>
      <c r="Q4" s="2">
        <f t="shared" si="2"/>
        <v>-1</v>
      </c>
      <c r="R4" s="2">
        <f t="shared" si="3"/>
        <v>-1</v>
      </c>
      <c r="S4" s="2">
        <f t="shared" si="4"/>
        <v>-1</v>
      </c>
      <c r="T4" s="2">
        <f t="shared" si="5"/>
        <v>1</v>
      </c>
      <c r="U4" s="2">
        <f t="shared" si="6"/>
        <v>1</v>
      </c>
      <c r="V4" s="2">
        <f t="shared" si="7"/>
        <v>1</v>
      </c>
      <c r="W4" s="2">
        <f t="shared" si="8"/>
        <v>1</v>
      </c>
      <c r="X4" s="2">
        <f t="shared" si="9"/>
        <v>1</v>
      </c>
      <c r="Y4" s="2">
        <f t="shared" si="10"/>
        <v>1</v>
      </c>
      <c r="Z4" s="2">
        <f t="shared" si="11"/>
        <v>-1</v>
      </c>
      <c r="AA4" s="2">
        <f t="shared" si="12"/>
        <v>-1</v>
      </c>
      <c r="AB4" s="2">
        <f t="shared" si="13"/>
        <v>8.0909686163949601</v>
      </c>
      <c r="AC4" s="18">
        <v>1</v>
      </c>
      <c r="AD4" s="18">
        <v>-11.175145023916301</v>
      </c>
      <c r="AE4" s="18">
        <f>(AC4-0.5)/15</f>
        <v>3.3333333333333333E-2</v>
      </c>
      <c r="AF4" s="18">
        <f>_xlfn.NORM.INV(AE4,0,$W$25)</f>
        <v>-8.6014804689649544</v>
      </c>
      <c r="AG4" s="18">
        <f>AD4</f>
        <v>-11.175145023916301</v>
      </c>
      <c r="AH4" s="18">
        <f>AF4</f>
        <v>-8.6014804689649544</v>
      </c>
    </row>
    <row r="5" spans="1:34" x14ac:dyDescent="0.25">
      <c r="A5" s="13">
        <v>3</v>
      </c>
      <c r="B5" s="143">
        <v>-1</v>
      </c>
      <c r="C5" s="143">
        <v>1</v>
      </c>
      <c r="D5" s="143">
        <v>-1</v>
      </c>
      <c r="E5" s="143">
        <v>-1</v>
      </c>
      <c r="F5" s="143">
        <v>0.39</v>
      </c>
      <c r="G5" s="143">
        <v>0.17</v>
      </c>
      <c r="H5" s="143">
        <f t="shared" si="0"/>
        <v>0.28000000000000003</v>
      </c>
      <c r="I5" s="143">
        <f t="shared" si="1"/>
        <v>2.4199999999999999E-2</v>
      </c>
      <c r="J5" s="64">
        <f t="shared" si="14"/>
        <v>5.1050069670400724</v>
      </c>
      <c r="K5" s="18">
        <f t="shared" si="15"/>
        <v>10.433514207947967</v>
      </c>
      <c r="L5" s="32">
        <v>3</v>
      </c>
      <c r="M5" s="2">
        <v>-1</v>
      </c>
      <c r="N5" s="2">
        <v>1</v>
      </c>
      <c r="O5" s="2">
        <v>-1</v>
      </c>
      <c r="P5" s="2">
        <v>-1</v>
      </c>
      <c r="Q5" s="2">
        <f t="shared" si="2"/>
        <v>-1</v>
      </c>
      <c r="R5" s="2">
        <f t="shared" si="3"/>
        <v>1</v>
      </c>
      <c r="S5" s="2">
        <f t="shared" si="4"/>
        <v>1</v>
      </c>
      <c r="T5" s="2">
        <f t="shared" si="5"/>
        <v>-1</v>
      </c>
      <c r="U5" s="2">
        <f t="shared" si="6"/>
        <v>-1</v>
      </c>
      <c r="V5" s="2">
        <f t="shared" si="7"/>
        <v>1</v>
      </c>
      <c r="W5" s="2">
        <f t="shared" si="8"/>
        <v>1</v>
      </c>
      <c r="X5" s="2">
        <f t="shared" si="9"/>
        <v>1</v>
      </c>
      <c r="Y5" s="2">
        <f t="shared" si="10"/>
        <v>-1</v>
      </c>
      <c r="Z5" s="2">
        <f t="shared" si="11"/>
        <v>1</v>
      </c>
      <c r="AA5" s="2">
        <f t="shared" si="12"/>
        <v>-1</v>
      </c>
      <c r="AB5" s="2">
        <f t="shared" si="13"/>
        <v>5.1050069670400724</v>
      </c>
      <c r="AC5" s="18">
        <v>2</v>
      </c>
      <c r="AD5" s="18">
        <v>-4.2797869595714246</v>
      </c>
      <c r="AE5" s="18">
        <f t="shared" ref="AE5:AE18" si="16">(AC5-0.5)/15</f>
        <v>0.1</v>
      </c>
      <c r="AF5" s="18">
        <f t="shared" ref="AF5:AF18" si="17">_xlfn.NORM.INV(AE5,0,$W$25)</f>
        <v>-6.0107709190613825</v>
      </c>
      <c r="AG5" s="18">
        <f t="shared" ref="AG5:AG18" si="18">AD5</f>
        <v>-4.2797869595714246</v>
      </c>
      <c r="AH5" s="18">
        <f t="shared" ref="AH5:AH18" si="19">AF5</f>
        <v>-6.0107709190613825</v>
      </c>
    </row>
    <row r="6" spans="1:34" x14ac:dyDescent="0.25">
      <c r="A6" s="13">
        <v>4</v>
      </c>
      <c r="B6" s="143">
        <v>1</v>
      </c>
      <c r="C6" s="143">
        <v>1</v>
      </c>
      <c r="D6" s="143">
        <v>-1</v>
      </c>
      <c r="E6" s="143">
        <v>-1</v>
      </c>
      <c r="F6" s="143">
        <v>-0.5</v>
      </c>
      <c r="G6" s="143">
        <v>-0.24</v>
      </c>
      <c r="H6" s="143">
        <f t="shared" si="0"/>
        <v>-0.37</v>
      </c>
      <c r="I6" s="143">
        <f t="shared" si="1"/>
        <v>3.3799999999999997E-2</v>
      </c>
      <c r="J6" s="64">
        <f t="shared" si="14"/>
        <v>6.0748674785633527</v>
      </c>
      <c r="K6" s="18">
        <f t="shared" si="15"/>
        <v>8.1304366453458776</v>
      </c>
      <c r="L6" s="32">
        <v>4</v>
      </c>
      <c r="M6" s="2">
        <v>1</v>
      </c>
      <c r="N6" s="2">
        <v>1</v>
      </c>
      <c r="O6" s="2">
        <v>-1</v>
      </c>
      <c r="P6" s="2">
        <v>-1</v>
      </c>
      <c r="Q6" s="2">
        <f t="shared" si="2"/>
        <v>1</v>
      </c>
      <c r="R6" s="2">
        <f t="shared" si="3"/>
        <v>-1</v>
      </c>
      <c r="S6" s="2">
        <f t="shared" si="4"/>
        <v>-1</v>
      </c>
      <c r="T6" s="2">
        <f t="shared" si="5"/>
        <v>-1</v>
      </c>
      <c r="U6" s="2">
        <f t="shared" si="6"/>
        <v>-1</v>
      </c>
      <c r="V6" s="2">
        <f t="shared" si="7"/>
        <v>1</v>
      </c>
      <c r="W6" s="2">
        <f t="shared" si="8"/>
        <v>-1</v>
      </c>
      <c r="X6" s="2">
        <f t="shared" si="9"/>
        <v>-1</v>
      </c>
      <c r="Y6" s="2">
        <f t="shared" si="10"/>
        <v>1</v>
      </c>
      <c r="Z6" s="2">
        <f t="shared" si="11"/>
        <v>1</v>
      </c>
      <c r="AA6" s="2">
        <f t="shared" si="12"/>
        <v>1</v>
      </c>
      <c r="AB6" s="2">
        <f t="shared" si="13"/>
        <v>6.0748674785633527</v>
      </c>
      <c r="AC6" s="18">
        <v>3</v>
      </c>
      <c r="AD6" s="18">
        <v>-3.9046644456128949</v>
      </c>
      <c r="AE6" s="18">
        <f t="shared" si="16"/>
        <v>0.16666666666666666</v>
      </c>
      <c r="AF6" s="18">
        <f t="shared" si="17"/>
        <v>-4.5374291385035566</v>
      </c>
      <c r="AG6" s="18">
        <f t="shared" si="18"/>
        <v>-3.9046644456128949</v>
      </c>
      <c r="AH6" s="18">
        <f t="shared" si="19"/>
        <v>-4.5374291385035566</v>
      </c>
    </row>
    <row r="7" spans="1:34" x14ac:dyDescent="0.25">
      <c r="A7" s="13">
        <v>5</v>
      </c>
      <c r="B7" s="143">
        <v>-1</v>
      </c>
      <c r="C7" s="143">
        <v>-1</v>
      </c>
      <c r="D7" s="143">
        <v>1</v>
      </c>
      <c r="E7" s="143">
        <v>-1</v>
      </c>
      <c r="F7" s="143">
        <v>-0.2</v>
      </c>
      <c r="G7" s="143">
        <v>0.17</v>
      </c>
      <c r="H7" s="143">
        <f t="shared" si="0"/>
        <v>-1.4999999999999999E-2</v>
      </c>
      <c r="I7" s="143">
        <f t="shared" si="1"/>
        <v>6.8450000000000011E-2</v>
      </c>
      <c r="J7" s="64">
        <f t="shared" si="14"/>
        <v>-24.831909343586464</v>
      </c>
      <c r="K7" s="18">
        <f t="shared" si="15"/>
        <v>14.628107737563553</v>
      </c>
      <c r="L7" s="32">
        <v>5</v>
      </c>
      <c r="M7" s="2">
        <v>-1</v>
      </c>
      <c r="N7" s="2">
        <v>-1</v>
      </c>
      <c r="O7" s="2">
        <v>1</v>
      </c>
      <c r="P7" s="2">
        <v>-1</v>
      </c>
      <c r="Q7" s="2">
        <f t="shared" si="2"/>
        <v>1</v>
      </c>
      <c r="R7" s="2">
        <f t="shared" si="3"/>
        <v>-1</v>
      </c>
      <c r="S7" s="2">
        <f t="shared" si="4"/>
        <v>1</v>
      </c>
      <c r="T7" s="2">
        <f t="shared" si="5"/>
        <v>-1</v>
      </c>
      <c r="U7" s="2">
        <f t="shared" si="6"/>
        <v>1</v>
      </c>
      <c r="V7" s="2">
        <f t="shared" si="7"/>
        <v>-1</v>
      </c>
      <c r="W7" s="2">
        <f t="shared" si="8"/>
        <v>1</v>
      </c>
      <c r="X7" s="2">
        <f t="shared" si="9"/>
        <v>-1</v>
      </c>
      <c r="Y7" s="2">
        <f t="shared" si="10"/>
        <v>1</v>
      </c>
      <c r="Z7" s="2">
        <f t="shared" si="11"/>
        <v>1</v>
      </c>
      <c r="AA7" s="2">
        <f t="shared" si="12"/>
        <v>-1</v>
      </c>
      <c r="AB7" s="2">
        <f t="shared" si="13"/>
        <v>-24.831909343586464</v>
      </c>
      <c r="AC7" s="18">
        <v>4</v>
      </c>
      <c r="AD7" s="18">
        <v>-1.9376057938671765</v>
      </c>
      <c r="AE7" s="18">
        <f t="shared" si="16"/>
        <v>0.23333333333333334</v>
      </c>
      <c r="AF7" s="18">
        <f t="shared" si="17"/>
        <v>-3.4140803679408318</v>
      </c>
      <c r="AG7" s="18">
        <f t="shared" si="18"/>
        <v>-1.9376057938671765</v>
      </c>
      <c r="AH7" s="18">
        <f t="shared" si="19"/>
        <v>-3.4140803679408318</v>
      </c>
    </row>
    <row r="8" spans="1:34" x14ac:dyDescent="0.25">
      <c r="A8" s="13">
        <v>6</v>
      </c>
      <c r="B8" s="143">
        <v>1</v>
      </c>
      <c r="C8" s="143">
        <v>-1</v>
      </c>
      <c r="D8" s="143">
        <v>1</v>
      </c>
      <c r="E8" s="143">
        <v>-1</v>
      </c>
      <c r="F8" s="143">
        <v>-0.79</v>
      </c>
      <c r="G8" s="143">
        <v>-0.64</v>
      </c>
      <c r="H8" s="143">
        <f t="shared" si="0"/>
        <v>-0.71500000000000008</v>
      </c>
      <c r="I8" s="143">
        <f t="shared" si="1"/>
        <v>1.124999999999976E-2</v>
      </c>
      <c r="J8" s="64">
        <f t="shared" si="14"/>
        <v>16.574595611547892</v>
      </c>
      <c r="K8" s="18">
        <f t="shared" si="15"/>
        <v>2.8663547939044607</v>
      </c>
      <c r="L8" s="32">
        <v>6</v>
      </c>
      <c r="M8" s="2">
        <v>1</v>
      </c>
      <c r="N8" s="2">
        <v>-1</v>
      </c>
      <c r="O8" s="2">
        <v>1</v>
      </c>
      <c r="P8" s="2">
        <v>-1</v>
      </c>
      <c r="Q8" s="2">
        <f t="shared" si="2"/>
        <v>-1</v>
      </c>
      <c r="R8" s="2">
        <f t="shared" si="3"/>
        <v>1</v>
      </c>
      <c r="S8" s="2">
        <f t="shared" si="4"/>
        <v>-1</v>
      </c>
      <c r="T8" s="2">
        <f t="shared" si="5"/>
        <v>-1</v>
      </c>
      <c r="U8" s="2">
        <f t="shared" si="6"/>
        <v>1</v>
      </c>
      <c r="V8" s="2">
        <f t="shared" si="7"/>
        <v>-1</v>
      </c>
      <c r="W8" s="2">
        <f t="shared" si="8"/>
        <v>-1</v>
      </c>
      <c r="X8" s="2">
        <f t="shared" si="9"/>
        <v>1</v>
      </c>
      <c r="Y8" s="2">
        <f t="shared" si="10"/>
        <v>-1</v>
      </c>
      <c r="Z8" s="2">
        <f t="shared" si="11"/>
        <v>1</v>
      </c>
      <c r="AA8" s="2">
        <f t="shared" si="12"/>
        <v>1</v>
      </c>
      <c r="AB8" s="2">
        <f t="shared" si="13"/>
        <v>16.574595611547892</v>
      </c>
      <c r="AC8" s="18">
        <v>5</v>
      </c>
      <c r="AD8" s="18">
        <v>-1.2688340874221198</v>
      </c>
      <c r="AE8" s="18">
        <f t="shared" si="16"/>
        <v>0.3</v>
      </c>
      <c r="AF8" s="18">
        <f t="shared" si="17"/>
        <v>-2.4595587383851338</v>
      </c>
      <c r="AG8" s="18">
        <f t="shared" si="18"/>
        <v>-1.2688340874221198</v>
      </c>
      <c r="AH8" s="18">
        <f t="shared" si="19"/>
        <v>-2.4595587383851338</v>
      </c>
    </row>
    <row r="9" spans="1:34" x14ac:dyDescent="0.25">
      <c r="A9" s="13">
        <v>7</v>
      </c>
      <c r="B9" s="143">
        <v>-1</v>
      </c>
      <c r="C9" s="143">
        <v>1</v>
      </c>
      <c r="D9" s="143">
        <v>1</v>
      </c>
      <c r="E9" s="143">
        <v>-1</v>
      </c>
      <c r="F9" s="143">
        <v>1.22</v>
      </c>
      <c r="G9" s="143">
        <v>0.28000000000000003</v>
      </c>
      <c r="H9" s="143">
        <f t="shared" si="0"/>
        <v>0.75</v>
      </c>
      <c r="I9" s="143">
        <f t="shared" si="1"/>
        <v>0.44179999999999997</v>
      </c>
      <c r="J9" s="64">
        <f t="shared" si="14"/>
        <v>1.0489681524798404</v>
      </c>
      <c r="K9" s="18">
        <f t="shared" si="15"/>
        <v>1.0601643278815294</v>
      </c>
      <c r="L9" s="32">
        <v>7</v>
      </c>
      <c r="M9" s="2">
        <v>-1</v>
      </c>
      <c r="N9" s="2">
        <v>1</v>
      </c>
      <c r="O9" s="2">
        <v>1</v>
      </c>
      <c r="P9" s="2">
        <v>-1</v>
      </c>
      <c r="Q9" s="2">
        <f t="shared" si="2"/>
        <v>-1</v>
      </c>
      <c r="R9" s="2">
        <f t="shared" si="3"/>
        <v>-1</v>
      </c>
      <c r="S9" s="2">
        <f t="shared" si="4"/>
        <v>1</v>
      </c>
      <c r="T9" s="2">
        <f t="shared" si="5"/>
        <v>1</v>
      </c>
      <c r="U9" s="2">
        <f t="shared" si="6"/>
        <v>-1</v>
      </c>
      <c r="V9" s="2">
        <f t="shared" si="7"/>
        <v>-1</v>
      </c>
      <c r="W9" s="2">
        <f t="shared" si="8"/>
        <v>-1</v>
      </c>
      <c r="X9" s="2">
        <f t="shared" si="9"/>
        <v>1</v>
      </c>
      <c r="Y9" s="2">
        <f t="shared" si="10"/>
        <v>1</v>
      </c>
      <c r="Z9" s="2">
        <f t="shared" si="11"/>
        <v>-1</v>
      </c>
      <c r="AA9" s="2">
        <f t="shared" si="12"/>
        <v>1</v>
      </c>
      <c r="AB9" s="2">
        <f t="shared" si="13"/>
        <v>1.0489681524798404</v>
      </c>
      <c r="AC9" s="18">
        <v>6</v>
      </c>
      <c r="AD9" s="18">
        <v>-1.0102392334310841</v>
      </c>
      <c r="AE9" s="18">
        <f t="shared" si="16"/>
        <v>0.36666666666666664</v>
      </c>
      <c r="AF9" s="18">
        <f t="shared" si="17"/>
        <v>-1.5979369180230607</v>
      </c>
      <c r="AG9" s="18">
        <f t="shared" si="18"/>
        <v>-1.0102392334310841</v>
      </c>
      <c r="AH9" s="18">
        <f t="shared" si="19"/>
        <v>-1.5979369180230607</v>
      </c>
    </row>
    <row r="10" spans="1:34" x14ac:dyDescent="0.25">
      <c r="A10" s="13">
        <v>8</v>
      </c>
      <c r="B10" s="143">
        <v>1</v>
      </c>
      <c r="C10" s="143">
        <v>1</v>
      </c>
      <c r="D10" s="143">
        <v>1</v>
      </c>
      <c r="E10" s="143">
        <v>-1</v>
      </c>
      <c r="F10" s="143">
        <v>0.21</v>
      </c>
      <c r="G10" s="143">
        <v>0.28000000000000003</v>
      </c>
      <c r="H10" s="143">
        <f t="shared" si="0"/>
        <v>0.245</v>
      </c>
      <c r="I10" s="143">
        <f t="shared" si="1"/>
        <v>2.4500000000000077E-3</v>
      </c>
      <c r="J10" s="64">
        <f t="shared" si="14"/>
        <v>13.89166084364531</v>
      </c>
      <c r="K10" s="18">
        <f t="shared" si="15"/>
        <v>12.128939069634299</v>
      </c>
      <c r="L10" s="32">
        <v>8</v>
      </c>
      <c r="M10" s="2">
        <v>1</v>
      </c>
      <c r="N10" s="2">
        <v>1</v>
      </c>
      <c r="O10" s="2">
        <v>1</v>
      </c>
      <c r="P10" s="2">
        <v>-1</v>
      </c>
      <c r="Q10" s="2">
        <f t="shared" si="2"/>
        <v>1</v>
      </c>
      <c r="R10" s="2">
        <f t="shared" si="3"/>
        <v>1</v>
      </c>
      <c r="S10" s="2">
        <f t="shared" si="4"/>
        <v>-1</v>
      </c>
      <c r="T10" s="2">
        <f t="shared" si="5"/>
        <v>1</v>
      </c>
      <c r="U10" s="2">
        <f t="shared" si="6"/>
        <v>-1</v>
      </c>
      <c r="V10" s="2">
        <f t="shared" si="7"/>
        <v>-1</v>
      </c>
      <c r="W10" s="2">
        <f t="shared" si="8"/>
        <v>1</v>
      </c>
      <c r="X10" s="2">
        <f t="shared" si="9"/>
        <v>-1</v>
      </c>
      <c r="Y10" s="2">
        <f t="shared" si="10"/>
        <v>-1</v>
      </c>
      <c r="Z10" s="2">
        <f t="shared" si="11"/>
        <v>-1</v>
      </c>
      <c r="AA10" s="2">
        <f t="shared" si="12"/>
        <v>-1</v>
      </c>
      <c r="AB10" s="2">
        <f t="shared" si="13"/>
        <v>13.89166084364531</v>
      </c>
      <c r="AC10" s="18">
        <v>7</v>
      </c>
      <c r="AD10" s="18">
        <v>0.94557012742281255</v>
      </c>
      <c r="AE10" s="18">
        <f t="shared" si="16"/>
        <v>0.43333333333333335</v>
      </c>
      <c r="AF10" s="18">
        <f t="shared" si="17"/>
        <v>-0.78746140896503436</v>
      </c>
      <c r="AG10" s="18">
        <f t="shared" si="18"/>
        <v>0.94557012742281255</v>
      </c>
      <c r="AH10" s="18">
        <f t="shared" si="19"/>
        <v>-0.78746140896503436</v>
      </c>
    </row>
    <row r="11" spans="1:34" x14ac:dyDescent="0.25">
      <c r="A11" s="13">
        <v>9</v>
      </c>
      <c r="B11" s="143">
        <v>-1</v>
      </c>
      <c r="C11" s="143">
        <v>-1</v>
      </c>
      <c r="D11" s="143">
        <v>-1</v>
      </c>
      <c r="E11" s="143">
        <v>1</v>
      </c>
      <c r="F11" s="143">
        <v>-0.4</v>
      </c>
      <c r="G11" s="143">
        <v>-0.65</v>
      </c>
      <c r="H11" s="143">
        <f t="shared" si="0"/>
        <v>-0.52500000000000002</v>
      </c>
      <c r="I11" s="143">
        <f t="shared" si="1"/>
        <v>3.125E-2</v>
      </c>
      <c r="J11" s="64">
        <f t="shared" si="14"/>
        <v>9.4546858513181977</v>
      </c>
      <c r="K11" s="18">
        <f t="shared" si="15"/>
        <v>5.357340659659247</v>
      </c>
      <c r="L11" s="32">
        <v>9</v>
      </c>
      <c r="M11" s="2">
        <v>-1</v>
      </c>
      <c r="N11" s="2">
        <v>-1</v>
      </c>
      <c r="O11" s="2">
        <v>-1</v>
      </c>
      <c r="P11" s="2">
        <v>1</v>
      </c>
      <c r="Q11" s="2">
        <f t="shared" si="2"/>
        <v>1</v>
      </c>
      <c r="R11" s="2">
        <f t="shared" si="3"/>
        <v>1</v>
      </c>
      <c r="S11" s="2">
        <f t="shared" si="4"/>
        <v>-1</v>
      </c>
      <c r="T11" s="2">
        <f t="shared" si="5"/>
        <v>1</v>
      </c>
      <c r="U11" s="2">
        <f t="shared" si="6"/>
        <v>-1</v>
      </c>
      <c r="V11" s="2">
        <f t="shared" si="7"/>
        <v>-1</v>
      </c>
      <c r="W11" s="2">
        <f t="shared" si="8"/>
        <v>-1</v>
      </c>
      <c r="X11" s="2">
        <f t="shared" si="9"/>
        <v>1</v>
      </c>
      <c r="Y11" s="2">
        <f t="shared" si="10"/>
        <v>1</v>
      </c>
      <c r="Z11" s="2">
        <f t="shared" si="11"/>
        <v>1</v>
      </c>
      <c r="AA11" s="2">
        <f t="shared" si="12"/>
        <v>-1</v>
      </c>
      <c r="AB11" s="2">
        <f t="shared" si="13"/>
        <v>9.4546858513181977</v>
      </c>
      <c r="AC11" s="18">
        <v>8</v>
      </c>
      <c r="AD11" s="18">
        <v>3.3591627205257928</v>
      </c>
      <c r="AE11" s="18">
        <f t="shared" si="16"/>
        <v>0.5</v>
      </c>
      <c r="AF11" s="18">
        <f t="shared" si="17"/>
        <v>0</v>
      </c>
      <c r="AG11" s="18">
        <f t="shared" si="18"/>
        <v>3.3591627205257928</v>
      </c>
      <c r="AH11" s="18">
        <f t="shared" si="19"/>
        <v>0</v>
      </c>
    </row>
    <row r="12" spans="1:34" x14ac:dyDescent="0.25">
      <c r="A12" s="13">
        <v>10</v>
      </c>
      <c r="B12" s="143">
        <v>1</v>
      </c>
      <c r="C12" s="143">
        <v>-1</v>
      </c>
      <c r="D12" s="143">
        <v>-1</v>
      </c>
      <c r="E12" s="143">
        <v>1</v>
      </c>
      <c r="F12" s="143">
        <v>-0.63</v>
      </c>
      <c r="G12" s="143">
        <v>-1.19</v>
      </c>
      <c r="H12" s="143">
        <f t="shared" si="0"/>
        <v>-0.90999999999999992</v>
      </c>
      <c r="I12" s="143">
        <f t="shared" si="1"/>
        <v>0.15680000000000027</v>
      </c>
      <c r="J12" s="64">
        <f t="shared" si="14"/>
        <v>7.2273672629376673</v>
      </c>
      <c r="K12" s="18">
        <f t="shared" si="15"/>
        <v>0.42632191568472555</v>
      </c>
      <c r="L12" s="32">
        <v>10</v>
      </c>
      <c r="M12" s="2">
        <v>1</v>
      </c>
      <c r="N12" s="2">
        <v>-1</v>
      </c>
      <c r="O12" s="2">
        <v>-1</v>
      </c>
      <c r="P12" s="2">
        <v>1</v>
      </c>
      <c r="Q12" s="2">
        <f t="shared" si="2"/>
        <v>-1</v>
      </c>
      <c r="R12" s="2">
        <f t="shared" si="3"/>
        <v>-1</v>
      </c>
      <c r="S12" s="2">
        <f t="shared" si="4"/>
        <v>1</v>
      </c>
      <c r="T12" s="2">
        <f t="shared" si="5"/>
        <v>1</v>
      </c>
      <c r="U12" s="2">
        <f t="shared" si="6"/>
        <v>-1</v>
      </c>
      <c r="V12" s="2">
        <f t="shared" si="7"/>
        <v>-1</v>
      </c>
      <c r="W12" s="2">
        <f t="shared" si="8"/>
        <v>1</v>
      </c>
      <c r="X12" s="2">
        <f t="shared" si="9"/>
        <v>-1</v>
      </c>
      <c r="Y12" s="2">
        <f t="shared" si="10"/>
        <v>-1</v>
      </c>
      <c r="Z12" s="2">
        <f t="shared" si="11"/>
        <v>1</v>
      </c>
      <c r="AA12" s="2">
        <f t="shared" si="12"/>
        <v>1</v>
      </c>
      <c r="AB12" s="2">
        <f t="shared" si="13"/>
        <v>7.2273672629376673</v>
      </c>
      <c r="AC12" s="18">
        <v>9</v>
      </c>
      <c r="AD12" s="18">
        <v>3.505968400020552</v>
      </c>
      <c r="AE12" s="18">
        <f t="shared" si="16"/>
        <v>0.56666666666666665</v>
      </c>
      <c r="AF12" s="18">
        <f t="shared" si="17"/>
        <v>0.78746140896503436</v>
      </c>
      <c r="AG12" s="18">
        <f t="shared" si="18"/>
        <v>3.505968400020552</v>
      </c>
      <c r="AH12" s="18">
        <f t="shared" si="19"/>
        <v>0.78746140896503436</v>
      </c>
    </row>
    <row r="13" spans="1:34" x14ac:dyDescent="0.25">
      <c r="A13" s="13">
        <v>11</v>
      </c>
      <c r="B13" s="143">
        <v>-1</v>
      </c>
      <c r="C13" s="143">
        <v>1</v>
      </c>
      <c r="D13" s="143">
        <v>-1</v>
      </c>
      <c r="E13" s="143">
        <v>1</v>
      </c>
      <c r="F13" s="143">
        <v>0.47</v>
      </c>
      <c r="G13" s="143">
        <v>0.44</v>
      </c>
      <c r="H13" s="143">
        <f t="shared" si="0"/>
        <v>0.45499999999999996</v>
      </c>
      <c r="I13" s="143">
        <f t="shared" si="1"/>
        <v>4.4999999999999912E-4</v>
      </c>
      <c r="J13" s="64">
        <f t="shared" si="14"/>
        <v>26.628102795388816</v>
      </c>
      <c r="K13" s="18">
        <f t="shared" si="15"/>
        <v>6.8350546077768879</v>
      </c>
      <c r="L13" s="32">
        <v>11</v>
      </c>
      <c r="M13" s="2">
        <v>-1</v>
      </c>
      <c r="N13" s="2">
        <v>1</v>
      </c>
      <c r="O13" s="2">
        <v>-1</v>
      </c>
      <c r="P13" s="2">
        <v>1</v>
      </c>
      <c r="Q13" s="2">
        <f t="shared" si="2"/>
        <v>-1</v>
      </c>
      <c r="R13" s="2">
        <f t="shared" si="3"/>
        <v>1</v>
      </c>
      <c r="S13" s="2">
        <f t="shared" si="4"/>
        <v>-1</v>
      </c>
      <c r="T13" s="2">
        <f t="shared" si="5"/>
        <v>-1</v>
      </c>
      <c r="U13" s="2">
        <f t="shared" si="6"/>
        <v>1</v>
      </c>
      <c r="V13" s="2">
        <f t="shared" si="7"/>
        <v>-1</v>
      </c>
      <c r="W13" s="2">
        <f t="shared" si="8"/>
        <v>1</v>
      </c>
      <c r="X13" s="2">
        <f t="shared" si="9"/>
        <v>-1</v>
      </c>
      <c r="Y13" s="2">
        <f t="shared" si="10"/>
        <v>1</v>
      </c>
      <c r="Z13" s="2">
        <f t="shared" si="11"/>
        <v>-1</v>
      </c>
      <c r="AA13" s="2">
        <f t="shared" si="12"/>
        <v>1</v>
      </c>
      <c r="AB13" s="2">
        <f t="shared" si="13"/>
        <v>26.628102795388816</v>
      </c>
      <c r="AC13" s="18">
        <v>10</v>
      </c>
      <c r="AD13" s="18">
        <v>5.1524947239258925</v>
      </c>
      <c r="AE13" s="18">
        <f t="shared" si="16"/>
        <v>0.6333333333333333</v>
      </c>
      <c r="AF13" s="18">
        <f t="shared" si="17"/>
        <v>1.5979369180230603</v>
      </c>
      <c r="AG13" s="18">
        <f t="shared" si="18"/>
        <v>5.1524947239258925</v>
      </c>
      <c r="AH13" s="18">
        <f t="shared" si="19"/>
        <v>1.5979369180230603</v>
      </c>
    </row>
    <row r="14" spans="1:34" x14ac:dyDescent="0.25">
      <c r="A14" s="13">
        <v>12</v>
      </c>
      <c r="B14" s="143">
        <v>1</v>
      </c>
      <c r="C14" s="143">
        <v>1</v>
      </c>
      <c r="D14" s="143">
        <v>-1</v>
      </c>
      <c r="E14" s="143">
        <v>1</v>
      </c>
      <c r="F14" s="143">
        <v>-0.01</v>
      </c>
      <c r="G14" s="143">
        <v>-0.03</v>
      </c>
      <c r="H14" s="143">
        <f t="shared" si="0"/>
        <v>-0.02</v>
      </c>
      <c r="I14" s="143">
        <f t="shared" si="1"/>
        <v>1.9999999999999998E-4</v>
      </c>
      <c r="J14" s="64">
        <f t="shared" si="14"/>
        <v>3.010299956639813</v>
      </c>
      <c r="K14" s="18">
        <f t="shared" si="15"/>
        <v>33.010299956639813</v>
      </c>
      <c r="L14" s="32">
        <v>12</v>
      </c>
      <c r="M14" s="2">
        <v>1</v>
      </c>
      <c r="N14" s="2">
        <v>1</v>
      </c>
      <c r="O14" s="2">
        <v>-1</v>
      </c>
      <c r="P14" s="2">
        <v>1</v>
      </c>
      <c r="Q14" s="2">
        <f t="shared" si="2"/>
        <v>1</v>
      </c>
      <c r="R14" s="2">
        <f t="shared" si="3"/>
        <v>-1</v>
      </c>
      <c r="S14" s="2">
        <f t="shared" si="4"/>
        <v>1</v>
      </c>
      <c r="T14" s="2">
        <f t="shared" si="5"/>
        <v>-1</v>
      </c>
      <c r="U14" s="2">
        <f t="shared" si="6"/>
        <v>1</v>
      </c>
      <c r="V14" s="2">
        <f t="shared" si="7"/>
        <v>-1</v>
      </c>
      <c r="W14" s="2">
        <f t="shared" si="8"/>
        <v>-1</v>
      </c>
      <c r="X14" s="2">
        <f t="shared" si="9"/>
        <v>1</v>
      </c>
      <c r="Y14" s="2">
        <f t="shared" si="10"/>
        <v>-1</v>
      </c>
      <c r="Z14" s="2">
        <f t="shared" si="11"/>
        <v>-1</v>
      </c>
      <c r="AA14" s="2">
        <f t="shared" si="12"/>
        <v>-1</v>
      </c>
      <c r="AB14" s="2">
        <f t="shared" si="13"/>
        <v>3.010299956639813</v>
      </c>
      <c r="AC14" s="18">
        <v>11</v>
      </c>
      <c r="AD14" s="18">
        <v>5.1634132609253989</v>
      </c>
      <c r="AE14" s="18">
        <f t="shared" si="16"/>
        <v>0.7</v>
      </c>
      <c r="AF14" s="18">
        <f t="shared" si="17"/>
        <v>2.4595587383851334</v>
      </c>
      <c r="AG14" s="18">
        <f t="shared" si="18"/>
        <v>5.1634132609253989</v>
      </c>
      <c r="AH14" s="18">
        <f t="shared" si="19"/>
        <v>2.4595587383851334</v>
      </c>
    </row>
    <row r="15" spans="1:34" x14ac:dyDescent="0.25">
      <c r="A15" s="13">
        <v>13</v>
      </c>
      <c r="B15" s="143">
        <v>-1</v>
      </c>
      <c r="C15" s="143">
        <v>-1</v>
      </c>
      <c r="D15" s="143">
        <v>1</v>
      </c>
      <c r="E15" s="143">
        <v>1</v>
      </c>
      <c r="F15" s="143">
        <v>1.29</v>
      </c>
      <c r="G15" s="143">
        <v>0.64</v>
      </c>
      <c r="H15" s="143">
        <f t="shared" si="0"/>
        <v>0.96500000000000008</v>
      </c>
      <c r="I15" s="143">
        <f t="shared" si="1"/>
        <v>0.21124999999999972</v>
      </c>
      <c r="J15" s="64">
        <f t="shared" si="14"/>
        <v>6.4425790906585583</v>
      </c>
      <c r="K15" s="18">
        <f t="shared" si="15"/>
        <v>-0.15715932006950581</v>
      </c>
      <c r="L15" s="32">
        <v>13</v>
      </c>
      <c r="M15" s="2">
        <v>-1</v>
      </c>
      <c r="N15" s="2">
        <v>-1</v>
      </c>
      <c r="O15" s="2">
        <v>1</v>
      </c>
      <c r="P15" s="2">
        <v>1</v>
      </c>
      <c r="Q15" s="2">
        <f t="shared" si="2"/>
        <v>1</v>
      </c>
      <c r="R15" s="2">
        <f t="shared" si="3"/>
        <v>-1</v>
      </c>
      <c r="S15" s="2">
        <f t="shared" si="4"/>
        <v>-1</v>
      </c>
      <c r="T15" s="2">
        <f t="shared" si="5"/>
        <v>-1</v>
      </c>
      <c r="U15" s="2">
        <f t="shared" si="6"/>
        <v>-1</v>
      </c>
      <c r="V15" s="2">
        <f t="shared" si="7"/>
        <v>1</v>
      </c>
      <c r="W15" s="2">
        <f t="shared" si="8"/>
        <v>1</v>
      </c>
      <c r="X15" s="2">
        <f t="shared" si="9"/>
        <v>1</v>
      </c>
      <c r="Y15" s="2">
        <f t="shared" si="10"/>
        <v>-1</v>
      </c>
      <c r="Z15" s="2">
        <f t="shared" si="11"/>
        <v>-1</v>
      </c>
      <c r="AA15" s="2">
        <f t="shared" si="12"/>
        <v>1</v>
      </c>
      <c r="AB15" s="2">
        <f t="shared" si="13"/>
        <v>6.4425790906585583</v>
      </c>
      <c r="AC15" s="18">
        <v>12</v>
      </c>
      <c r="AD15" s="18">
        <v>6.0046207049365847</v>
      </c>
      <c r="AE15" s="18">
        <f t="shared" si="16"/>
        <v>0.76666666666666672</v>
      </c>
      <c r="AF15" s="18">
        <f t="shared" si="17"/>
        <v>3.4140803679408314</v>
      </c>
      <c r="AG15" s="18">
        <f t="shared" si="18"/>
        <v>6.0046207049365847</v>
      </c>
      <c r="AH15" s="18">
        <f t="shared" si="19"/>
        <v>3.4140803679408314</v>
      </c>
    </row>
    <row r="16" spans="1:34" x14ac:dyDescent="0.25">
      <c r="A16" s="13">
        <v>14</v>
      </c>
      <c r="B16" s="143">
        <v>1</v>
      </c>
      <c r="C16" s="143">
        <v>-1</v>
      </c>
      <c r="D16" s="143">
        <v>1</v>
      </c>
      <c r="E16" s="143">
        <v>1</v>
      </c>
      <c r="F16" s="143">
        <v>-1.17</v>
      </c>
      <c r="G16" s="143">
        <v>0.14000000000000001</v>
      </c>
      <c r="H16" s="143">
        <f t="shared" si="0"/>
        <v>-0.5149999999999999</v>
      </c>
      <c r="I16" s="143">
        <f t="shared" si="1"/>
        <v>0.85805000000000009</v>
      </c>
      <c r="J16" s="64">
        <f t="shared" si="14"/>
        <v>-5.0989813756516558</v>
      </c>
      <c r="K16" s="18">
        <f t="shared" si="15"/>
        <v>1.5848411157770483</v>
      </c>
      <c r="L16" s="32">
        <v>14</v>
      </c>
      <c r="M16" s="2">
        <v>1</v>
      </c>
      <c r="N16" s="2">
        <v>-1</v>
      </c>
      <c r="O16" s="2">
        <v>1</v>
      </c>
      <c r="P16" s="2">
        <v>1</v>
      </c>
      <c r="Q16" s="2">
        <f t="shared" si="2"/>
        <v>-1</v>
      </c>
      <c r="R16" s="2">
        <f t="shared" si="3"/>
        <v>1</v>
      </c>
      <c r="S16" s="2">
        <f t="shared" si="4"/>
        <v>1</v>
      </c>
      <c r="T16" s="2">
        <f t="shared" si="5"/>
        <v>-1</v>
      </c>
      <c r="U16" s="2">
        <f t="shared" si="6"/>
        <v>-1</v>
      </c>
      <c r="V16" s="2">
        <f t="shared" si="7"/>
        <v>1</v>
      </c>
      <c r="W16" s="2">
        <f t="shared" si="8"/>
        <v>-1</v>
      </c>
      <c r="X16" s="2">
        <f t="shared" si="9"/>
        <v>-1</v>
      </c>
      <c r="Y16" s="2">
        <f t="shared" si="10"/>
        <v>1</v>
      </c>
      <c r="Z16" s="2">
        <f t="shared" si="11"/>
        <v>-1</v>
      </c>
      <c r="AA16" s="2">
        <f t="shared" si="12"/>
        <v>-1</v>
      </c>
      <c r="AB16" s="2">
        <f t="shared" si="13"/>
        <v>-5.0989813756516558</v>
      </c>
      <c r="AC16" s="18">
        <v>13</v>
      </c>
      <c r="AD16" s="18">
        <v>8.0283338580530383</v>
      </c>
      <c r="AE16" s="18">
        <f t="shared" si="16"/>
        <v>0.83333333333333337</v>
      </c>
      <c r="AF16" s="18">
        <f t="shared" si="17"/>
        <v>4.5374291385035566</v>
      </c>
      <c r="AG16" s="18">
        <f t="shared" si="18"/>
        <v>8.0283338580530383</v>
      </c>
      <c r="AH16" s="18">
        <f t="shared" si="19"/>
        <v>4.5374291385035566</v>
      </c>
    </row>
    <row r="17" spans="1:34" x14ac:dyDescent="0.25">
      <c r="A17" s="13">
        <v>15</v>
      </c>
      <c r="B17" s="143">
        <v>-1</v>
      </c>
      <c r="C17" s="143">
        <v>1</v>
      </c>
      <c r="D17" s="143">
        <v>1</v>
      </c>
      <c r="E17" s="143">
        <v>1</v>
      </c>
      <c r="F17" s="143">
        <v>0.48</v>
      </c>
      <c r="G17" s="143">
        <v>1.06</v>
      </c>
      <c r="H17" s="143">
        <f t="shared" si="0"/>
        <v>0.77</v>
      </c>
      <c r="I17" s="143">
        <f t="shared" si="1"/>
        <v>0.16820000000000013</v>
      </c>
      <c r="J17" s="64">
        <f t="shared" si="14"/>
        <v>5.4715545888307009</v>
      </c>
      <c r="K17" s="18">
        <f t="shared" si="15"/>
        <v>1.6941133131485566</v>
      </c>
      <c r="L17" s="32">
        <v>15</v>
      </c>
      <c r="M17" s="2">
        <v>-1</v>
      </c>
      <c r="N17" s="2">
        <v>1</v>
      </c>
      <c r="O17" s="2">
        <v>1</v>
      </c>
      <c r="P17" s="2">
        <v>1</v>
      </c>
      <c r="Q17" s="2">
        <f t="shared" si="2"/>
        <v>-1</v>
      </c>
      <c r="R17" s="2">
        <f t="shared" si="3"/>
        <v>-1</v>
      </c>
      <c r="S17" s="2">
        <f t="shared" si="4"/>
        <v>-1</v>
      </c>
      <c r="T17" s="2">
        <f t="shared" si="5"/>
        <v>1</v>
      </c>
      <c r="U17" s="2">
        <f t="shared" si="6"/>
        <v>1</v>
      </c>
      <c r="V17" s="2">
        <f t="shared" si="7"/>
        <v>1</v>
      </c>
      <c r="W17" s="2">
        <f t="shared" si="8"/>
        <v>-1</v>
      </c>
      <c r="X17" s="2">
        <f t="shared" si="9"/>
        <v>-1</v>
      </c>
      <c r="Y17" s="2">
        <f t="shared" si="10"/>
        <v>-1</v>
      </c>
      <c r="Z17" s="2">
        <f t="shared" si="11"/>
        <v>1</v>
      </c>
      <c r="AA17" s="2">
        <f t="shared" si="12"/>
        <v>-1</v>
      </c>
      <c r="AB17" s="2">
        <f t="shared" si="13"/>
        <v>5.4715545888307009</v>
      </c>
      <c r="AC17" s="18">
        <v>14</v>
      </c>
      <c r="AD17" s="18">
        <v>8.2087871690129148</v>
      </c>
      <c r="AE17" s="18">
        <f t="shared" si="16"/>
        <v>0.9</v>
      </c>
      <c r="AF17" s="18">
        <f t="shared" si="17"/>
        <v>6.0107709190613825</v>
      </c>
      <c r="AG17" s="18">
        <f t="shared" si="18"/>
        <v>8.2087871690129148</v>
      </c>
      <c r="AH17" s="18">
        <f t="shared" si="19"/>
        <v>6.0107709190613825</v>
      </c>
    </row>
    <row r="18" spans="1:34" ht="16.5" thickBot="1" x14ac:dyDescent="0.3">
      <c r="A18" s="15">
        <v>16</v>
      </c>
      <c r="B18" s="16">
        <v>1</v>
      </c>
      <c r="C18" s="16">
        <v>1</v>
      </c>
      <c r="D18" s="16">
        <v>1</v>
      </c>
      <c r="E18" s="16">
        <v>1</v>
      </c>
      <c r="F18" s="16">
        <v>0.4</v>
      </c>
      <c r="G18" s="16">
        <v>0.34</v>
      </c>
      <c r="H18" s="16">
        <f t="shared" si="0"/>
        <v>0.37</v>
      </c>
      <c r="I18" s="16">
        <f t="shared" si="1"/>
        <v>1.8E-3</v>
      </c>
      <c r="J18" s="56">
        <f t="shared" si="14"/>
        <v>18.811309430306839</v>
      </c>
      <c r="K18" s="18">
        <f t="shared" si="15"/>
        <v>8.6075078242839282</v>
      </c>
      <c r="L18" s="33">
        <v>16</v>
      </c>
      <c r="M18" s="4">
        <v>1</v>
      </c>
      <c r="N18" s="4">
        <v>1</v>
      </c>
      <c r="O18" s="4">
        <v>1</v>
      </c>
      <c r="P18" s="4">
        <v>1</v>
      </c>
      <c r="Q18" s="4">
        <f t="shared" si="2"/>
        <v>1</v>
      </c>
      <c r="R18" s="4">
        <f t="shared" si="3"/>
        <v>1</v>
      </c>
      <c r="S18" s="4">
        <f t="shared" si="4"/>
        <v>1</v>
      </c>
      <c r="T18" s="4">
        <f t="shared" si="5"/>
        <v>1</v>
      </c>
      <c r="U18" s="4">
        <f t="shared" si="6"/>
        <v>1</v>
      </c>
      <c r="V18" s="4">
        <f t="shared" si="7"/>
        <v>1</v>
      </c>
      <c r="W18" s="4">
        <f t="shared" si="8"/>
        <v>1</v>
      </c>
      <c r="X18" s="4">
        <f t="shared" si="9"/>
        <v>1</v>
      </c>
      <c r="Y18" s="4">
        <f t="shared" si="10"/>
        <v>1</v>
      </c>
      <c r="Z18" s="4">
        <f t="shared" si="11"/>
        <v>1</v>
      </c>
      <c r="AA18" s="4">
        <f t="shared" si="12"/>
        <v>1</v>
      </c>
      <c r="AB18" s="2">
        <f t="shared" si="13"/>
        <v>18.811309430306839</v>
      </c>
      <c r="AC18" s="18">
        <v>15</v>
      </c>
      <c r="AD18" s="18">
        <v>8.8484347444410414</v>
      </c>
      <c r="AE18" s="18">
        <f t="shared" si="16"/>
        <v>0.96666666666666667</v>
      </c>
      <c r="AF18" s="18">
        <f t="shared" si="17"/>
        <v>8.6014804689649544</v>
      </c>
      <c r="AG18" s="18">
        <f t="shared" si="18"/>
        <v>8.8484347444410414</v>
      </c>
      <c r="AH18" s="18">
        <f t="shared" si="19"/>
        <v>8.6014804689649544</v>
      </c>
    </row>
    <row r="19" spans="1:34" x14ac:dyDescent="0.25">
      <c r="J19" s="18">
        <f>AVERAGE(J3:J18)</f>
        <v>5.9910543475853233</v>
      </c>
      <c r="L19" s="23"/>
      <c r="M19" s="24" t="s">
        <v>103</v>
      </c>
      <c r="N19" s="24" t="s">
        <v>104</v>
      </c>
      <c r="O19" s="24" t="s">
        <v>105</v>
      </c>
      <c r="P19" s="24" t="s">
        <v>106</v>
      </c>
      <c r="Q19" s="24" t="s">
        <v>107</v>
      </c>
      <c r="R19" s="24" t="s">
        <v>108</v>
      </c>
      <c r="S19" s="24" t="s">
        <v>109</v>
      </c>
      <c r="T19" s="24" t="s">
        <v>110</v>
      </c>
      <c r="U19" s="24" t="s">
        <v>111</v>
      </c>
      <c r="V19" s="25" t="s">
        <v>112</v>
      </c>
      <c r="W19" s="24" t="s">
        <v>244</v>
      </c>
      <c r="X19" s="25" t="s">
        <v>245</v>
      </c>
      <c r="Y19" s="24" t="s">
        <v>246</v>
      </c>
      <c r="Z19" s="25" t="s">
        <v>247</v>
      </c>
      <c r="AA19" s="24" t="s">
        <v>248</v>
      </c>
      <c r="AB19" s="18">
        <f t="shared" si="13"/>
        <v>5.9910543475853233</v>
      </c>
    </row>
    <row r="20" spans="1:34" ht="16.5" thickBot="1" x14ac:dyDescent="0.3">
      <c r="L20" s="26"/>
      <c r="M20" s="27">
        <f t="shared" ref="M20:AA20" si="20">SUMPRODUCT(M3:M18,$AB$3:$AB$18)/8</f>
        <v>5.1634132609253989</v>
      </c>
      <c r="N20" s="27">
        <f t="shared" si="20"/>
        <v>8.0283338580530383</v>
      </c>
      <c r="O20" s="27">
        <f t="shared" si="20"/>
        <v>-3.9046644456128949</v>
      </c>
      <c r="P20" s="27">
        <f t="shared" si="20"/>
        <v>6.0046207049365847</v>
      </c>
      <c r="Q20" s="27">
        <f t="shared" si="20"/>
        <v>-4.2797869595714246</v>
      </c>
      <c r="R20" s="27">
        <f t="shared" si="20"/>
        <v>8.8484347444410414</v>
      </c>
      <c r="S20" s="27">
        <f t="shared" si="20"/>
        <v>-11.175145023916301</v>
      </c>
      <c r="T20" s="27">
        <f t="shared" si="20"/>
        <v>3.505968400020552</v>
      </c>
      <c r="U20" s="27">
        <f t="shared" si="20"/>
        <v>0.94557012742281255</v>
      </c>
      <c r="V20" s="27">
        <f t="shared" si="20"/>
        <v>-1.2688340874221198</v>
      </c>
      <c r="W20" s="27">
        <f t="shared" si="20"/>
        <v>3.3591627205257928</v>
      </c>
      <c r="X20" s="27">
        <f t="shared" si="20"/>
        <v>5.1524947239258925</v>
      </c>
      <c r="Y20" s="27">
        <f t="shared" si="20"/>
        <v>-1.9376057938671765</v>
      </c>
      <c r="Z20" s="27">
        <f t="shared" si="20"/>
        <v>-1.0102392334310841</v>
      </c>
      <c r="AA20" s="27">
        <f t="shared" si="20"/>
        <v>8.2087871690129148</v>
      </c>
      <c r="AB20" s="18">
        <f t="shared" si="13"/>
        <v>0</v>
      </c>
    </row>
    <row r="21" spans="1:34" x14ac:dyDescent="0.25">
      <c r="L21" s="29" t="s">
        <v>92</v>
      </c>
      <c r="M21" s="30" t="s">
        <v>93</v>
      </c>
      <c r="N21" s="30" t="s">
        <v>94</v>
      </c>
      <c r="O21" s="30" t="s">
        <v>95</v>
      </c>
      <c r="P21" s="30" t="s">
        <v>96</v>
      </c>
      <c r="Q21" s="30" t="s">
        <v>97</v>
      </c>
      <c r="R21" s="30" t="s">
        <v>98</v>
      </c>
      <c r="S21" s="30" t="s">
        <v>99</v>
      </c>
      <c r="T21" s="30" t="s">
        <v>100</v>
      </c>
      <c r="U21" s="30" t="s">
        <v>101</v>
      </c>
      <c r="V21" s="31" t="s">
        <v>388</v>
      </c>
      <c r="W21" s="30" t="s">
        <v>389</v>
      </c>
      <c r="X21" s="31" t="s">
        <v>390</v>
      </c>
      <c r="Y21" s="30" t="s">
        <v>391</v>
      </c>
      <c r="Z21" s="31" t="s">
        <v>392</v>
      </c>
      <c r="AA21" s="30" t="s">
        <v>393</v>
      </c>
    </row>
    <row r="22" spans="1:34" ht="16.5" thickBot="1" x14ac:dyDescent="0.3">
      <c r="L22" s="26">
        <f>AVERAGE(AB3:AB18)</f>
        <v>5.9910543475853233</v>
      </c>
      <c r="M22" s="27">
        <f t="shared" ref="M22:AA22" si="21">M20/2</f>
        <v>2.5817066304626994</v>
      </c>
      <c r="N22" s="27">
        <f t="shared" si="21"/>
        <v>4.0141669290265192</v>
      </c>
      <c r="O22" s="27">
        <f t="shared" si="21"/>
        <v>-1.9523322228064475</v>
      </c>
      <c r="P22" s="27">
        <f t="shared" si="21"/>
        <v>3.0023103524682924</v>
      </c>
      <c r="Q22" s="27">
        <f t="shared" si="21"/>
        <v>-2.1398934797857123</v>
      </c>
      <c r="R22" s="27">
        <f t="shared" si="21"/>
        <v>4.4242173722205207</v>
      </c>
      <c r="S22" s="27">
        <f t="shared" si="21"/>
        <v>-5.5875725119581503</v>
      </c>
      <c r="T22" s="27">
        <f t="shared" si="21"/>
        <v>1.752984200010276</v>
      </c>
      <c r="U22" s="27">
        <f t="shared" si="21"/>
        <v>0.47278506371140627</v>
      </c>
      <c r="V22" s="27">
        <f t="shared" si="21"/>
        <v>-0.63441704371105989</v>
      </c>
      <c r="W22" s="27">
        <f t="shared" si="21"/>
        <v>1.6795813602628964</v>
      </c>
      <c r="X22" s="27">
        <f t="shared" si="21"/>
        <v>2.5762473619629462</v>
      </c>
      <c r="Y22" s="27">
        <f t="shared" si="21"/>
        <v>-0.96880289693358823</v>
      </c>
      <c r="Z22" s="27">
        <f t="shared" si="21"/>
        <v>-0.50511961671554206</v>
      </c>
      <c r="AA22" s="27">
        <f t="shared" si="21"/>
        <v>4.1043935845064574</v>
      </c>
    </row>
    <row r="24" spans="1:34" ht="16.5" thickBot="1" x14ac:dyDescent="0.3"/>
    <row r="25" spans="1:34" x14ac:dyDescent="0.25">
      <c r="A25" s="19" t="s">
        <v>14</v>
      </c>
      <c r="B25" s="20"/>
      <c r="C25" s="19" t="s">
        <v>15</v>
      </c>
      <c r="D25" s="20"/>
      <c r="E25" s="19" t="s">
        <v>16</v>
      </c>
      <c r="F25" s="20"/>
      <c r="G25" s="19" t="s">
        <v>17</v>
      </c>
      <c r="H25" s="20"/>
      <c r="I25" s="19" t="s">
        <v>18</v>
      </c>
      <c r="J25" s="20"/>
      <c r="K25" s="19" t="s">
        <v>19</v>
      </c>
      <c r="L25" s="20"/>
      <c r="M25" s="19" t="s">
        <v>20</v>
      </c>
      <c r="N25" s="20"/>
      <c r="O25" s="19" t="s">
        <v>21</v>
      </c>
      <c r="P25" s="20"/>
      <c r="T25" s="18" t="s">
        <v>249</v>
      </c>
      <c r="U25" s="18">
        <f>SUM(T26:X26)/5</f>
        <v>21.998252474079312</v>
      </c>
      <c r="V25" s="18" t="s">
        <v>250</v>
      </c>
      <c r="W25" s="18">
        <f>SQRT(U25)</f>
        <v>4.6902294692348807</v>
      </c>
    </row>
    <row r="26" spans="1:34" x14ac:dyDescent="0.25">
      <c r="A26" s="1">
        <v>2</v>
      </c>
      <c r="B26" s="9">
        <f t="shared" ref="B26:B33" si="22">INDEX($A$2:$J$18,A26+1,10)</f>
        <v>8.0909686163949601</v>
      </c>
      <c r="C26" s="1">
        <v>1</v>
      </c>
      <c r="D26" s="9">
        <f t="shared" ref="D26:D33" si="23">INDEX($A$2:$J$18,C26+1,10)</f>
        <v>-2.0442063651487121</v>
      </c>
      <c r="E26" s="1">
        <v>3</v>
      </c>
      <c r="F26" s="9">
        <f t="shared" ref="F26:F33" si="24">INDEX($A$2:$J$18,E26+1,10)</f>
        <v>5.1050069670400724</v>
      </c>
      <c r="G26" s="1">
        <v>1</v>
      </c>
      <c r="H26" s="9">
        <f t="shared" ref="H26:H33" si="25">INDEX($A$2:$J$18,G26+1,10)</f>
        <v>-2.0442063651487121</v>
      </c>
      <c r="I26" s="1">
        <v>5</v>
      </c>
      <c r="J26" s="9">
        <f t="shared" ref="J26:J33" si="26">INDEX($A$2:$J$18,I26+1,10)</f>
        <v>-24.831909343586464</v>
      </c>
      <c r="K26" s="1">
        <v>1</v>
      </c>
      <c r="L26" s="9">
        <f t="shared" ref="L26:L33" si="27">INDEX($A$2:$J$18,K26+1,10)</f>
        <v>-2.0442063651487121</v>
      </c>
      <c r="M26" s="1">
        <v>9</v>
      </c>
      <c r="N26" s="9">
        <f t="shared" ref="N26:N33" si="28">INDEX($A$2:$J$18,M26+1,10)</f>
        <v>9.4546858513181977</v>
      </c>
      <c r="O26" s="1">
        <v>1</v>
      </c>
      <c r="P26" s="9">
        <f t="shared" ref="P26:P33" si="29">INDEX($A$2:$J$18,O26+1,10)</f>
        <v>-2.0442063651487121</v>
      </c>
      <c r="T26" s="107">
        <f>W20^2</f>
        <v>11.283974182970246</v>
      </c>
      <c r="U26" s="107">
        <f>X20^2</f>
        <v>26.548201880084157</v>
      </c>
      <c r="V26" s="107">
        <f>Y20^2</f>
        <v>3.7543162124276512</v>
      </c>
      <c r="W26" s="107">
        <f>Z20^2</f>
        <v>1.0205833087634244</v>
      </c>
      <c r="X26" s="107">
        <f>AA20^2</f>
        <v>67.384186786151062</v>
      </c>
    </row>
    <row r="27" spans="1:34" x14ac:dyDescent="0.25">
      <c r="A27" s="1">
        <v>4</v>
      </c>
      <c r="B27" s="9">
        <f t="shared" si="22"/>
        <v>6.0748674785633527</v>
      </c>
      <c r="C27" s="1">
        <v>3</v>
      </c>
      <c r="D27" s="9">
        <f t="shared" si="23"/>
        <v>5.1050069670400724</v>
      </c>
      <c r="E27" s="1">
        <v>4</v>
      </c>
      <c r="F27" s="9">
        <f t="shared" si="24"/>
        <v>6.0748674785633527</v>
      </c>
      <c r="G27" s="1">
        <v>2</v>
      </c>
      <c r="H27" s="9">
        <f t="shared" si="25"/>
        <v>8.0909686163949601</v>
      </c>
      <c r="I27" s="1">
        <v>6</v>
      </c>
      <c r="J27" s="9">
        <f t="shared" si="26"/>
        <v>16.574595611547892</v>
      </c>
      <c r="K27" s="1">
        <v>2</v>
      </c>
      <c r="L27" s="9">
        <f t="shared" si="27"/>
        <v>8.0909686163949601</v>
      </c>
      <c r="M27" s="1">
        <v>10</v>
      </c>
      <c r="N27" s="9">
        <f t="shared" si="28"/>
        <v>7.2273672629376673</v>
      </c>
      <c r="O27" s="1">
        <v>2</v>
      </c>
      <c r="P27" s="9">
        <f t="shared" si="29"/>
        <v>8.0909686163949601</v>
      </c>
      <c r="T27" s="18" t="s">
        <v>373</v>
      </c>
      <c r="U27" s="18">
        <f>_xlfn.T.INV(0.995,5)</f>
        <v>4.0321429835552269</v>
      </c>
    </row>
    <row r="28" spans="1:34" x14ac:dyDescent="0.25">
      <c r="A28" s="1">
        <v>6</v>
      </c>
      <c r="B28" s="9">
        <f t="shared" si="22"/>
        <v>16.574595611547892</v>
      </c>
      <c r="C28" s="1">
        <v>5</v>
      </c>
      <c r="D28" s="9">
        <f t="shared" si="23"/>
        <v>-24.831909343586464</v>
      </c>
      <c r="E28" s="1">
        <v>7</v>
      </c>
      <c r="F28" s="9">
        <f t="shared" si="24"/>
        <v>1.0489681524798404</v>
      </c>
      <c r="G28" s="1">
        <v>5</v>
      </c>
      <c r="H28" s="9">
        <f t="shared" si="25"/>
        <v>-24.831909343586464</v>
      </c>
      <c r="I28" s="1">
        <v>7</v>
      </c>
      <c r="J28" s="9">
        <f t="shared" si="26"/>
        <v>1.0489681524798404</v>
      </c>
      <c r="K28" s="1">
        <v>3</v>
      </c>
      <c r="L28" s="9">
        <f t="shared" si="27"/>
        <v>5.1050069670400724</v>
      </c>
      <c r="M28" s="1">
        <v>11</v>
      </c>
      <c r="N28" s="9">
        <f t="shared" si="28"/>
        <v>26.628102795388816</v>
      </c>
      <c r="O28" s="1">
        <v>3</v>
      </c>
      <c r="P28" s="9">
        <f t="shared" si="29"/>
        <v>5.1050069670400724</v>
      </c>
      <c r="T28" s="18" t="s">
        <v>251</v>
      </c>
      <c r="U28" s="18">
        <f>U27*W25</f>
        <v>18.91167584563938</v>
      </c>
    </row>
    <row r="29" spans="1:34" x14ac:dyDescent="0.25">
      <c r="A29" s="1">
        <v>8</v>
      </c>
      <c r="B29" s="9">
        <f t="shared" si="22"/>
        <v>13.89166084364531</v>
      </c>
      <c r="C29" s="1">
        <v>7</v>
      </c>
      <c r="D29" s="9">
        <f t="shared" si="23"/>
        <v>1.0489681524798404</v>
      </c>
      <c r="E29" s="1">
        <v>8</v>
      </c>
      <c r="F29" s="9">
        <f t="shared" si="24"/>
        <v>13.89166084364531</v>
      </c>
      <c r="G29" s="1">
        <v>6</v>
      </c>
      <c r="H29" s="9">
        <f t="shared" si="25"/>
        <v>16.574595611547892</v>
      </c>
      <c r="I29" s="1">
        <v>8</v>
      </c>
      <c r="J29" s="9">
        <f t="shared" si="26"/>
        <v>13.89166084364531</v>
      </c>
      <c r="K29" s="1">
        <v>4</v>
      </c>
      <c r="L29" s="9">
        <f t="shared" si="27"/>
        <v>6.0748674785633527</v>
      </c>
      <c r="M29" s="1">
        <v>12</v>
      </c>
      <c r="N29" s="9">
        <f t="shared" si="28"/>
        <v>3.010299956639813</v>
      </c>
      <c r="O29" s="1">
        <v>4</v>
      </c>
      <c r="P29" s="9">
        <f t="shared" si="29"/>
        <v>6.0748674785633527</v>
      </c>
    </row>
    <row r="30" spans="1:34" x14ac:dyDescent="0.25">
      <c r="A30" s="1">
        <v>10</v>
      </c>
      <c r="B30" s="9">
        <f t="shared" si="22"/>
        <v>7.2273672629376673</v>
      </c>
      <c r="C30" s="1">
        <v>9</v>
      </c>
      <c r="D30" s="9">
        <f t="shared" si="23"/>
        <v>9.4546858513181977</v>
      </c>
      <c r="E30" s="1">
        <v>11</v>
      </c>
      <c r="F30" s="9">
        <f t="shared" si="24"/>
        <v>26.628102795388816</v>
      </c>
      <c r="G30" s="1">
        <v>9</v>
      </c>
      <c r="H30" s="9">
        <f t="shared" si="25"/>
        <v>9.4546858513181977</v>
      </c>
      <c r="I30" s="1">
        <v>13</v>
      </c>
      <c r="J30" s="9">
        <f t="shared" si="26"/>
        <v>6.4425790906585583</v>
      </c>
      <c r="K30" s="1">
        <v>9</v>
      </c>
      <c r="L30" s="9">
        <f t="shared" si="27"/>
        <v>9.4546858513181977</v>
      </c>
      <c r="M30" s="1">
        <v>13</v>
      </c>
      <c r="N30" s="9">
        <f t="shared" si="28"/>
        <v>6.4425790906585583</v>
      </c>
      <c r="O30" s="1">
        <v>5</v>
      </c>
      <c r="P30" s="9">
        <f t="shared" si="29"/>
        <v>-24.831909343586464</v>
      </c>
      <c r="T30" s="18" t="s">
        <v>333</v>
      </c>
      <c r="U30" s="18" t="s">
        <v>346</v>
      </c>
      <c r="V30" s="18" t="s">
        <v>334</v>
      </c>
      <c r="W30" s="18" t="s">
        <v>335</v>
      </c>
      <c r="X30" s="18" t="s">
        <v>347</v>
      </c>
      <c r="Y30" s="18" t="s">
        <v>336</v>
      </c>
      <c r="Z30" s="18" t="s">
        <v>337</v>
      </c>
      <c r="AA30" s="18" t="s">
        <v>338</v>
      </c>
      <c r="AB30" s="18" t="s">
        <v>339</v>
      </c>
      <c r="AC30" s="18" t="s">
        <v>340</v>
      </c>
    </row>
    <row r="31" spans="1:34" x14ac:dyDescent="0.25">
      <c r="A31" s="1">
        <v>12</v>
      </c>
      <c r="B31" s="9">
        <f t="shared" si="22"/>
        <v>3.010299956639813</v>
      </c>
      <c r="C31" s="1">
        <v>11</v>
      </c>
      <c r="D31" s="9">
        <f t="shared" si="23"/>
        <v>26.628102795388816</v>
      </c>
      <c r="E31" s="1">
        <v>12</v>
      </c>
      <c r="F31" s="9">
        <f t="shared" si="24"/>
        <v>3.010299956639813</v>
      </c>
      <c r="G31" s="1">
        <v>10</v>
      </c>
      <c r="H31" s="9">
        <f t="shared" si="25"/>
        <v>7.2273672629376673</v>
      </c>
      <c r="I31" s="1">
        <v>14</v>
      </c>
      <c r="J31" s="9">
        <f t="shared" si="26"/>
        <v>-5.0989813756516558</v>
      </c>
      <c r="K31" s="1">
        <v>10</v>
      </c>
      <c r="L31" s="9">
        <f t="shared" si="27"/>
        <v>7.2273672629376673</v>
      </c>
      <c r="M31" s="1">
        <v>14</v>
      </c>
      <c r="N31" s="9">
        <f t="shared" si="28"/>
        <v>-5.0989813756516558</v>
      </c>
      <c r="O31" s="1">
        <v>6</v>
      </c>
      <c r="P31" s="9">
        <f t="shared" si="29"/>
        <v>16.574595611547892</v>
      </c>
      <c r="T31" s="18">
        <v>5.9909999999999997</v>
      </c>
      <c r="U31" s="142">
        <f>M22</f>
        <v>2.5817066304626994</v>
      </c>
      <c r="V31" s="142">
        <f>N22</f>
        <v>4.0141669290265192</v>
      </c>
      <c r="W31" s="142">
        <f>P22</f>
        <v>3.0023103524682924</v>
      </c>
      <c r="X31" s="18">
        <v>4.4240000000000004</v>
      </c>
      <c r="Y31" s="142">
        <f>S22</f>
        <v>-5.5875725119581503</v>
      </c>
      <c r="Z31" s="142">
        <f>T22</f>
        <v>1.752984200010276</v>
      </c>
      <c r="AA31" s="142">
        <f>W22</f>
        <v>1.6795813602628964</v>
      </c>
      <c r="AB31" s="142">
        <f>X22</f>
        <v>2.5762473619629462</v>
      </c>
      <c r="AC31" s="142">
        <f>AA22</f>
        <v>4.1043935845064574</v>
      </c>
    </row>
    <row r="32" spans="1:34" x14ac:dyDescent="0.25">
      <c r="A32" s="1">
        <v>14</v>
      </c>
      <c r="B32" s="9">
        <f t="shared" si="22"/>
        <v>-5.0989813756516558</v>
      </c>
      <c r="C32" s="1">
        <v>13</v>
      </c>
      <c r="D32" s="9">
        <f t="shared" si="23"/>
        <v>6.4425790906585583</v>
      </c>
      <c r="E32" s="1">
        <v>15</v>
      </c>
      <c r="F32" s="9">
        <f t="shared" si="24"/>
        <v>5.4715545888307009</v>
      </c>
      <c r="G32" s="1">
        <v>13</v>
      </c>
      <c r="H32" s="9">
        <f t="shared" si="25"/>
        <v>6.4425790906585583</v>
      </c>
      <c r="I32" s="1">
        <v>15</v>
      </c>
      <c r="J32" s="9">
        <f t="shared" si="26"/>
        <v>5.4715545888307009</v>
      </c>
      <c r="K32" s="1">
        <v>11</v>
      </c>
      <c r="L32" s="9">
        <f t="shared" si="27"/>
        <v>26.628102795388816</v>
      </c>
      <c r="M32" s="1">
        <v>15</v>
      </c>
      <c r="N32" s="9">
        <f t="shared" si="28"/>
        <v>5.4715545888307009</v>
      </c>
      <c r="O32" s="1">
        <v>7</v>
      </c>
      <c r="P32" s="9">
        <f t="shared" si="29"/>
        <v>1.0489681524798404</v>
      </c>
      <c r="T32" s="18" t="s">
        <v>341</v>
      </c>
      <c r="U32" s="18" t="s">
        <v>342</v>
      </c>
      <c r="V32" s="18" t="s">
        <v>343</v>
      </c>
      <c r="W32" s="18" t="s">
        <v>344</v>
      </c>
    </row>
    <row r="33" spans="1:45" x14ac:dyDescent="0.25">
      <c r="A33" s="1">
        <v>16</v>
      </c>
      <c r="B33" s="9">
        <f t="shared" si="22"/>
        <v>18.811309430306839</v>
      </c>
      <c r="C33" s="1">
        <v>15</v>
      </c>
      <c r="D33" s="9">
        <f t="shared" si="23"/>
        <v>5.4715545888307009</v>
      </c>
      <c r="E33" s="1">
        <v>16</v>
      </c>
      <c r="F33" s="9">
        <f t="shared" si="24"/>
        <v>18.811309430306839</v>
      </c>
      <c r="G33" s="1">
        <v>14</v>
      </c>
      <c r="H33" s="9">
        <f t="shared" si="25"/>
        <v>-5.0989813756516558</v>
      </c>
      <c r="I33" s="1">
        <v>16</v>
      </c>
      <c r="J33" s="9">
        <f t="shared" si="26"/>
        <v>18.811309430306839</v>
      </c>
      <c r="K33" s="1">
        <v>12</v>
      </c>
      <c r="L33" s="9">
        <f t="shared" si="27"/>
        <v>3.010299956639813</v>
      </c>
      <c r="M33" s="1">
        <v>16</v>
      </c>
      <c r="N33" s="9">
        <f t="shared" si="28"/>
        <v>18.811309430306839</v>
      </c>
      <c r="O33" s="1">
        <v>8</v>
      </c>
      <c r="P33" s="9">
        <f t="shared" si="29"/>
        <v>13.89166084364531</v>
      </c>
      <c r="R33" s="18" t="s">
        <v>24</v>
      </c>
      <c r="T33" s="18">
        <v>1</v>
      </c>
      <c r="U33" s="18">
        <v>1</v>
      </c>
      <c r="V33" s="18">
        <v>1</v>
      </c>
      <c r="W33" s="18">
        <v>1</v>
      </c>
    </row>
    <row r="34" spans="1:45" ht="16.5" thickBot="1" x14ac:dyDescent="0.3">
      <c r="A34" s="21" t="s">
        <v>22</v>
      </c>
      <c r="B34" s="22">
        <f>AVERAGE(B26:B33)</f>
        <v>8.5727609780480218</v>
      </c>
      <c r="C34" s="21"/>
      <c r="D34" s="22">
        <f>AVERAGE(D26:D33)</f>
        <v>3.4093477171226265</v>
      </c>
      <c r="E34" s="21"/>
      <c r="F34" s="22">
        <f>AVERAGE(F26:F33)</f>
        <v>10.005221276611842</v>
      </c>
      <c r="G34" s="21"/>
      <c r="H34" s="22">
        <f>AVERAGE(H26:H33)</f>
        <v>1.9768874185588052</v>
      </c>
      <c r="I34" s="21"/>
      <c r="J34" s="22">
        <f>AVERAGE(J26:J33)</f>
        <v>4.0387221247788778</v>
      </c>
      <c r="K34" s="21"/>
      <c r="L34" s="22">
        <f>AVERAGE(L26:L33)</f>
        <v>7.9433865703917714</v>
      </c>
      <c r="M34" s="21"/>
      <c r="N34" s="22">
        <f>AVERAGE(N26:N33)</f>
        <v>8.9933647000536165</v>
      </c>
      <c r="O34" s="21"/>
      <c r="P34" s="22">
        <f>AVERAGE(P26:P33)</f>
        <v>2.9887439951170318</v>
      </c>
      <c r="R34" s="18">
        <f>AVERAGE(B34:P34)</f>
        <v>5.9910543475853251</v>
      </c>
      <c r="T34" s="18" t="s">
        <v>345</v>
      </c>
      <c r="U34" s="18">
        <f>T31+U31*T33+V31*U33+W31*W33+Y31*T33*W33+Z31*U33*V33+AA31*T33*U33*V33+AB31*T33*U33*W33+AC31*T33*U33*V33*W33+X31*T33*V33</f>
        <v>24.538817906741937</v>
      </c>
    </row>
    <row r="35" spans="1:45" x14ac:dyDescent="0.25">
      <c r="U35" s="18" t="s">
        <v>360</v>
      </c>
      <c r="V35" s="18" t="s">
        <v>361</v>
      </c>
      <c r="W35" s="18" t="s">
        <v>199</v>
      </c>
      <c r="X35" s="18" t="s">
        <v>362</v>
      </c>
      <c r="Y35" s="18" t="s">
        <v>363</v>
      </c>
      <c r="Z35" s="18" t="s">
        <v>364</v>
      </c>
      <c r="AA35" s="18" t="s">
        <v>365</v>
      </c>
      <c r="AB35" s="18" t="s">
        <v>366</v>
      </c>
      <c r="AC35" s="18" t="s">
        <v>367</v>
      </c>
      <c r="AD35" s="18" t="s">
        <v>368</v>
      </c>
      <c r="AE35" s="18" t="s">
        <v>369</v>
      </c>
      <c r="AF35" s="18" t="s">
        <v>370</v>
      </c>
      <c r="AG35" s="18" t="s">
        <v>201</v>
      </c>
      <c r="AH35" s="18" t="s">
        <v>371</v>
      </c>
      <c r="AI35" s="18" t="s">
        <v>372</v>
      </c>
    </row>
    <row r="36" spans="1:45" x14ac:dyDescent="0.25">
      <c r="B36" s="18" t="s">
        <v>23</v>
      </c>
      <c r="C36" s="18" t="s">
        <v>7</v>
      </c>
      <c r="D36" s="18" t="s">
        <v>8</v>
      </c>
      <c r="E36" s="18" t="s">
        <v>9</v>
      </c>
      <c r="T36" s="18" t="s">
        <v>348</v>
      </c>
      <c r="U36" s="142">
        <f t="shared" ref="U36:AI36" si="30">M20</f>
        <v>5.1634132609253989</v>
      </c>
      <c r="V36" s="142">
        <f t="shared" si="30"/>
        <v>8.0283338580530383</v>
      </c>
      <c r="W36" s="142">
        <f t="shared" si="30"/>
        <v>-3.9046644456128949</v>
      </c>
      <c r="X36" s="142">
        <f t="shared" si="30"/>
        <v>6.0046207049365847</v>
      </c>
      <c r="Y36" s="142">
        <f t="shared" si="30"/>
        <v>-4.2797869595714246</v>
      </c>
      <c r="Z36" s="142">
        <f t="shared" si="30"/>
        <v>8.8484347444410414</v>
      </c>
      <c r="AA36" s="142">
        <f t="shared" si="30"/>
        <v>-11.175145023916301</v>
      </c>
      <c r="AB36" s="142">
        <f t="shared" si="30"/>
        <v>3.505968400020552</v>
      </c>
      <c r="AC36" s="142">
        <f t="shared" si="30"/>
        <v>0.94557012742281255</v>
      </c>
      <c r="AD36" s="142">
        <f t="shared" si="30"/>
        <v>-1.2688340874221198</v>
      </c>
      <c r="AE36" s="142">
        <f t="shared" si="30"/>
        <v>3.3591627205257928</v>
      </c>
      <c r="AF36" s="142">
        <f t="shared" si="30"/>
        <v>5.1524947239258925</v>
      </c>
      <c r="AG36" s="142">
        <f t="shared" si="30"/>
        <v>-1.9376057938671765</v>
      </c>
      <c r="AH36" s="142">
        <f t="shared" si="30"/>
        <v>-1.0102392334310841</v>
      </c>
      <c r="AI36" s="142">
        <f t="shared" si="30"/>
        <v>8.2087871690129148</v>
      </c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</row>
    <row r="37" spans="1:45" x14ac:dyDescent="0.25">
      <c r="A37" s="18" t="s">
        <v>14</v>
      </c>
      <c r="B37" s="18">
        <f>B34</f>
        <v>8.5727609780480218</v>
      </c>
      <c r="T37" s="18" t="s">
        <v>349</v>
      </c>
      <c r="U37" s="142">
        <f>U36+$U$28</f>
        <v>24.075089106564779</v>
      </c>
      <c r="V37" s="142">
        <f t="shared" ref="V37:AI37" si="31">V36+$U$28</f>
        <v>26.940009703692418</v>
      </c>
      <c r="W37" s="142">
        <f t="shared" si="31"/>
        <v>15.007011400026485</v>
      </c>
      <c r="X37" s="142">
        <f t="shared" si="31"/>
        <v>24.916296550575964</v>
      </c>
      <c r="Y37" s="142">
        <f t="shared" si="31"/>
        <v>14.631888886067955</v>
      </c>
      <c r="Z37" s="142">
        <f t="shared" si="31"/>
        <v>27.760110590080423</v>
      </c>
      <c r="AA37" s="142">
        <f t="shared" si="31"/>
        <v>7.736530821723079</v>
      </c>
      <c r="AB37" s="142">
        <f t="shared" si="31"/>
        <v>22.417644245659933</v>
      </c>
      <c r="AC37" s="142">
        <f t="shared" si="31"/>
        <v>19.857245973062192</v>
      </c>
      <c r="AD37" s="142">
        <f t="shared" si="31"/>
        <v>17.642841758217259</v>
      </c>
      <c r="AE37" s="142">
        <f t="shared" si="31"/>
        <v>22.270838566165171</v>
      </c>
      <c r="AF37" s="142">
        <f t="shared" si="31"/>
        <v>24.06417056956527</v>
      </c>
      <c r="AG37" s="142">
        <f t="shared" si="31"/>
        <v>16.974070051772202</v>
      </c>
      <c r="AH37" s="142">
        <f t="shared" si="31"/>
        <v>17.901436612208297</v>
      </c>
      <c r="AI37" s="142">
        <f t="shared" si="31"/>
        <v>27.120463014652294</v>
      </c>
    </row>
    <row r="38" spans="1:45" x14ac:dyDescent="0.25">
      <c r="A38" s="18" t="s">
        <v>15</v>
      </c>
      <c r="B38" s="18">
        <f>D34</f>
        <v>3.4093477171226265</v>
      </c>
      <c r="T38" s="18" t="s">
        <v>350</v>
      </c>
      <c r="U38" s="142">
        <f>U36-$U$28</f>
        <v>-13.748262584713981</v>
      </c>
      <c r="V38" s="142">
        <f t="shared" ref="V38:AI38" si="32">V36-$U$28</f>
        <v>-10.883341987586341</v>
      </c>
      <c r="W38" s="142">
        <f t="shared" si="32"/>
        <v>-22.816340291252274</v>
      </c>
      <c r="X38" s="142">
        <f t="shared" si="32"/>
        <v>-12.907055140702795</v>
      </c>
      <c r="Y38" s="142">
        <f t="shared" si="32"/>
        <v>-23.191462805210804</v>
      </c>
      <c r="Z38" s="142">
        <f t="shared" si="32"/>
        <v>-10.063241101198338</v>
      </c>
      <c r="AA38" s="142">
        <f t="shared" si="32"/>
        <v>-30.08682086955568</v>
      </c>
      <c r="AB38" s="142">
        <f t="shared" si="32"/>
        <v>-15.405707445618827</v>
      </c>
      <c r="AC38" s="142">
        <f t="shared" si="32"/>
        <v>-17.966105718216568</v>
      </c>
      <c r="AD38" s="142">
        <f t="shared" si="32"/>
        <v>-20.180509933061501</v>
      </c>
      <c r="AE38" s="142">
        <f t="shared" si="32"/>
        <v>-15.552513125113586</v>
      </c>
      <c r="AF38" s="142">
        <f t="shared" si="32"/>
        <v>-13.759181121713487</v>
      </c>
      <c r="AG38" s="142">
        <f t="shared" si="32"/>
        <v>-20.849281639506557</v>
      </c>
      <c r="AH38" s="142">
        <f t="shared" si="32"/>
        <v>-19.921915079070462</v>
      </c>
      <c r="AI38" s="142">
        <f t="shared" si="32"/>
        <v>-10.702888676626465</v>
      </c>
    </row>
    <row r="39" spans="1:45" x14ac:dyDescent="0.25">
      <c r="A39" s="18" t="s">
        <v>16</v>
      </c>
      <c r="C39" s="18">
        <f>F34</f>
        <v>10.005221276611842</v>
      </c>
      <c r="T39" s="18" t="s">
        <v>351</v>
      </c>
      <c r="U39" s="18">
        <f>(U36-0)/$W$25</f>
        <v>1.1008871303193848</v>
      </c>
      <c r="V39" s="18">
        <f t="shared" ref="V39:AI39" si="33">(V36-0)/$W$25</f>
        <v>1.7117145143354158</v>
      </c>
      <c r="W39" s="18">
        <f t="shared" si="33"/>
        <v>-0.83251032198428121</v>
      </c>
      <c r="X39" s="18">
        <f t="shared" si="33"/>
        <v>1.2802402834068844</v>
      </c>
      <c r="Y39" s="18">
        <f t="shared" si="33"/>
        <v>-0.91248988725269942</v>
      </c>
      <c r="Z39" s="18">
        <f t="shared" si="33"/>
        <v>1.8865675554856147</v>
      </c>
      <c r="AA39" s="18">
        <f t="shared" si="33"/>
        <v>-2.3826435566145778</v>
      </c>
      <c r="AB39" s="18">
        <f t="shared" si="33"/>
        <v>0.7475046632617065</v>
      </c>
      <c r="AC39" s="18">
        <f t="shared" si="33"/>
        <v>0.20160423570428504</v>
      </c>
      <c r="AD39" s="18">
        <f t="shared" si="33"/>
        <v>-0.27052708097651035</v>
      </c>
      <c r="AE39" s="18">
        <f t="shared" si="33"/>
        <v>0.71620434406459321</v>
      </c>
      <c r="AF39" s="18">
        <f t="shared" si="33"/>
        <v>1.0985591979503768</v>
      </c>
      <c r="AG39" s="18">
        <f t="shared" si="33"/>
        <v>-0.41311535108819719</v>
      </c>
      <c r="AH39" s="18">
        <f t="shared" si="33"/>
        <v>-0.21539228305515826</v>
      </c>
      <c r="AI39" s="18">
        <f t="shared" si="33"/>
        <v>1.750188817595745</v>
      </c>
    </row>
    <row r="40" spans="1:45" x14ac:dyDescent="0.25">
      <c r="A40" s="18" t="s">
        <v>17</v>
      </c>
      <c r="C40" s="18">
        <f>H34</f>
        <v>1.9768874185588052</v>
      </c>
      <c r="T40" s="18" t="s">
        <v>359</v>
      </c>
      <c r="U40" s="18">
        <f>IF(U39&gt;0,(1-_xlfn.T.DIST(U39,5,1))*2,_xlfn.T.DIST(U39,5,1))</f>
        <v>0.32109943719317791</v>
      </c>
      <c r="V40" s="18">
        <f t="shared" ref="V40:AI40" si="34">IF(V39&gt;0,(1-_xlfn.T.DIST(V39,5,1))*2,_xlfn.T.DIST(V39,5,1))</f>
        <v>0.14763041955522649</v>
      </c>
      <c r="W40" s="18">
        <f t="shared" si="34"/>
        <v>0.22152750753151318</v>
      </c>
      <c r="X40" s="18">
        <f t="shared" si="34"/>
        <v>0.25663605994442973</v>
      </c>
      <c r="Y40" s="18">
        <f t="shared" si="34"/>
        <v>0.20168127235954786</v>
      </c>
      <c r="Z40" s="18">
        <f t="shared" si="34"/>
        <v>0.11787835344937903</v>
      </c>
      <c r="AA40" s="18">
        <f t="shared" si="34"/>
        <v>3.1479235670291206E-2</v>
      </c>
      <c r="AB40" s="18">
        <f t="shared" si="34"/>
        <v>0.48840155582216971</v>
      </c>
      <c r="AC40" s="18">
        <f t="shared" si="34"/>
        <v>0.84817155390451915</v>
      </c>
      <c r="AD40" s="18">
        <f t="shared" si="34"/>
        <v>0.39878328953042541</v>
      </c>
      <c r="AE40" s="18">
        <f t="shared" si="34"/>
        <v>0.50591298515677185</v>
      </c>
      <c r="AF40" s="18">
        <f t="shared" si="34"/>
        <v>0.32202221522421293</v>
      </c>
      <c r="AG40" s="18">
        <f t="shared" si="34"/>
        <v>0.34832073153291743</v>
      </c>
      <c r="AH40" s="18">
        <f t="shared" si="34"/>
        <v>0.41898596565236185</v>
      </c>
      <c r="AI40" s="18">
        <f t="shared" si="34"/>
        <v>0.14048817255859802</v>
      </c>
    </row>
    <row r="41" spans="1:45" x14ac:dyDescent="0.25">
      <c r="A41" s="18" t="s">
        <v>18</v>
      </c>
      <c r="D41" s="18">
        <f>J34</f>
        <v>4.0387221247788778</v>
      </c>
      <c r="T41" s="18" t="s">
        <v>394</v>
      </c>
      <c r="U41" s="18" t="s">
        <v>395</v>
      </c>
      <c r="V41" s="18" t="s">
        <v>395</v>
      </c>
      <c r="W41" s="18" t="s">
        <v>395</v>
      </c>
      <c r="X41" s="18" t="s">
        <v>395</v>
      </c>
      <c r="Y41" s="18" t="s">
        <v>395</v>
      </c>
      <c r="Z41" s="18" t="s">
        <v>395</v>
      </c>
      <c r="AA41" s="18" t="s">
        <v>395</v>
      </c>
      <c r="AB41" s="18" t="s">
        <v>395</v>
      </c>
      <c r="AC41" s="18" t="s">
        <v>395</v>
      </c>
      <c r="AD41" s="18" t="s">
        <v>395</v>
      </c>
      <c r="AE41" s="18" t="s">
        <v>395</v>
      </c>
      <c r="AF41" s="18" t="s">
        <v>395</v>
      </c>
      <c r="AG41" s="18" t="s">
        <v>395</v>
      </c>
      <c r="AH41" s="18" t="s">
        <v>395</v>
      </c>
      <c r="AI41" s="18" t="s">
        <v>395</v>
      </c>
    </row>
    <row r="42" spans="1:45" x14ac:dyDescent="0.25">
      <c r="A42" s="18" t="s">
        <v>19</v>
      </c>
      <c r="D42" s="18">
        <f>L34</f>
        <v>7.9433865703917714</v>
      </c>
    </row>
    <row r="43" spans="1:45" x14ac:dyDescent="0.25">
      <c r="A43" s="18" t="s">
        <v>20</v>
      </c>
      <c r="E43" s="18">
        <f>N34</f>
        <v>8.9933647000536165</v>
      </c>
    </row>
    <row r="44" spans="1:45" x14ac:dyDescent="0.25">
      <c r="A44" s="18" t="s">
        <v>21</v>
      </c>
      <c r="E44" s="18">
        <f>P34</f>
        <v>2.9887439951170318</v>
      </c>
    </row>
    <row r="48" spans="1:45" ht="16.5" thickBot="1" x14ac:dyDescent="0.3"/>
    <row r="49" spans="1:20" x14ac:dyDescent="0.25">
      <c r="I49" s="144"/>
      <c r="J49" s="146" t="s">
        <v>31</v>
      </c>
      <c r="K49" s="146"/>
      <c r="L49" s="146"/>
      <c r="M49" s="144"/>
      <c r="N49" s="146" t="s">
        <v>30</v>
      </c>
      <c r="O49" s="146"/>
      <c r="P49" s="146"/>
      <c r="Q49" s="144"/>
      <c r="R49" s="146" t="s">
        <v>32</v>
      </c>
      <c r="S49" s="146"/>
      <c r="T49" s="159"/>
    </row>
    <row r="50" spans="1:20" x14ac:dyDescent="0.25">
      <c r="I50" s="145"/>
      <c r="J50" s="147"/>
      <c r="K50" s="150" t="s">
        <v>25</v>
      </c>
      <c r="L50" s="151"/>
      <c r="M50" s="145"/>
      <c r="N50" s="147"/>
      <c r="O50" s="150" t="s">
        <v>25</v>
      </c>
      <c r="P50" s="154"/>
      <c r="Q50" s="145"/>
      <c r="R50" s="147"/>
      <c r="S50" s="150" t="s">
        <v>25</v>
      </c>
      <c r="T50" s="151"/>
    </row>
    <row r="51" spans="1:20" x14ac:dyDescent="0.25">
      <c r="I51" s="145"/>
      <c r="J51" s="147"/>
      <c r="K51" s="152"/>
      <c r="L51" s="153"/>
      <c r="M51" s="145"/>
      <c r="N51" s="147"/>
      <c r="O51" s="152"/>
      <c r="P51" s="155"/>
      <c r="Q51" s="145"/>
      <c r="R51" s="147"/>
      <c r="S51" s="152"/>
      <c r="T51" s="153"/>
    </row>
    <row r="52" spans="1:20" x14ac:dyDescent="0.25">
      <c r="I52" s="1" t="s">
        <v>26</v>
      </c>
      <c r="J52" s="2" t="s">
        <v>27</v>
      </c>
      <c r="K52" s="148"/>
      <c r="L52" s="149"/>
      <c r="M52" s="1" t="s">
        <v>26</v>
      </c>
      <c r="N52" s="2" t="s">
        <v>27</v>
      </c>
      <c r="O52" s="148"/>
      <c r="P52" s="149"/>
      <c r="Q52" s="1" t="s">
        <v>26</v>
      </c>
      <c r="R52" s="2" t="s">
        <v>27</v>
      </c>
      <c r="S52" s="148"/>
      <c r="T52" s="156"/>
    </row>
    <row r="53" spans="1:20" x14ac:dyDescent="0.25">
      <c r="I53" s="1" t="s">
        <v>23</v>
      </c>
      <c r="J53" s="2" t="s">
        <v>15</v>
      </c>
      <c r="K53" s="148">
        <f>D34-K57</f>
        <v>-2.5817066304626985</v>
      </c>
      <c r="L53" s="149"/>
      <c r="M53" s="1" t="s">
        <v>23</v>
      </c>
      <c r="N53" s="2" t="s">
        <v>14</v>
      </c>
      <c r="O53" s="148">
        <f>B34-O57</f>
        <v>2.5817066304626968</v>
      </c>
      <c r="P53" s="149"/>
      <c r="Q53" s="1" t="s">
        <v>23</v>
      </c>
      <c r="R53" s="2" t="s">
        <v>218</v>
      </c>
      <c r="S53" s="148">
        <f>O53</f>
        <v>2.5817066304626968</v>
      </c>
      <c r="T53" s="156"/>
    </row>
    <row r="54" spans="1:20" x14ac:dyDescent="0.25">
      <c r="I54" s="1" t="s">
        <v>7</v>
      </c>
      <c r="J54" s="2" t="s">
        <v>17</v>
      </c>
      <c r="K54" s="148">
        <f>H34-K57</f>
        <v>-4.0141669290265201</v>
      </c>
      <c r="L54" s="149"/>
      <c r="M54" s="1" t="s">
        <v>7</v>
      </c>
      <c r="N54" s="2" t="s">
        <v>16</v>
      </c>
      <c r="O54" s="148">
        <f>F34-O57</f>
        <v>4.0141669290265165</v>
      </c>
      <c r="P54" s="149"/>
      <c r="Q54" s="1" t="s">
        <v>7</v>
      </c>
      <c r="R54" s="2" t="s">
        <v>219</v>
      </c>
      <c r="S54" s="148">
        <f>O54</f>
        <v>4.0141669290265165</v>
      </c>
      <c r="T54" s="156"/>
    </row>
    <row r="55" spans="1:20" x14ac:dyDescent="0.25">
      <c r="I55" s="1" t="s">
        <v>8</v>
      </c>
      <c r="J55" s="2" t="s">
        <v>19</v>
      </c>
      <c r="K55" s="148">
        <f>L34-K57</f>
        <v>1.9523322228064464</v>
      </c>
      <c r="L55" s="149"/>
      <c r="M55" s="1" t="s">
        <v>8</v>
      </c>
      <c r="N55" s="2" t="s">
        <v>18</v>
      </c>
      <c r="O55" s="148">
        <f>J34-O57</f>
        <v>-1.9523322228064472</v>
      </c>
      <c r="P55" s="149"/>
      <c r="Q55" s="1" t="s">
        <v>8</v>
      </c>
      <c r="R55" s="2" t="s">
        <v>220</v>
      </c>
      <c r="S55" s="148">
        <f>K55</f>
        <v>1.9523322228064464</v>
      </c>
      <c r="T55" s="156"/>
    </row>
    <row r="56" spans="1:20" x14ac:dyDescent="0.25">
      <c r="I56" s="1" t="s">
        <v>9</v>
      </c>
      <c r="J56" s="2" t="s">
        <v>21</v>
      </c>
      <c r="K56" s="148">
        <f>P34-K57</f>
        <v>-3.0023103524682933</v>
      </c>
      <c r="L56" s="149"/>
      <c r="M56" s="1" t="s">
        <v>9</v>
      </c>
      <c r="N56" s="2" t="s">
        <v>20</v>
      </c>
      <c r="O56" s="148">
        <f>N34-O57</f>
        <v>3.0023103524682915</v>
      </c>
      <c r="P56" s="149"/>
      <c r="Q56" s="1" t="s">
        <v>9</v>
      </c>
      <c r="R56" s="2" t="s">
        <v>221</v>
      </c>
      <c r="S56" s="148">
        <f>O56</f>
        <v>3.0023103524682915</v>
      </c>
      <c r="T56" s="156"/>
    </row>
    <row r="57" spans="1:20" ht="16.5" thickBot="1" x14ac:dyDescent="0.3">
      <c r="I57" s="3" t="s">
        <v>28</v>
      </c>
      <c r="J57" s="4"/>
      <c r="K57" s="148">
        <f>R34</f>
        <v>5.9910543475853251</v>
      </c>
      <c r="L57" s="149"/>
      <c r="M57" s="3" t="s">
        <v>28</v>
      </c>
      <c r="N57" s="4"/>
      <c r="O57" s="148">
        <f>R34</f>
        <v>5.9910543475853251</v>
      </c>
      <c r="P57" s="149"/>
      <c r="Q57" s="3" t="s">
        <v>28</v>
      </c>
      <c r="R57" s="4"/>
      <c r="S57" s="148">
        <f>R34</f>
        <v>5.9910543475853251</v>
      </c>
      <c r="T57" s="156"/>
    </row>
    <row r="58" spans="1:20" ht="16.5" thickBot="1" x14ac:dyDescent="0.3">
      <c r="I58" s="3" t="s">
        <v>29</v>
      </c>
      <c r="J58" s="4"/>
      <c r="K58" s="157">
        <f>SUM(K53:L57)</f>
        <v>-1.6547973415657404</v>
      </c>
      <c r="L58" s="158"/>
      <c r="M58" s="3" t="s">
        <v>29</v>
      </c>
      <c r="N58" s="4"/>
      <c r="O58" s="157">
        <f>SUM(O53:P57)</f>
        <v>13.636906036736383</v>
      </c>
      <c r="P58" s="158"/>
      <c r="Q58" s="3" t="s">
        <v>29</v>
      </c>
      <c r="R58" s="4"/>
      <c r="S58" s="157">
        <f>SUM(S53:T57)</f>
        <v>17.541570482349279</v>
      </c>
      <c r="T58" s="163"/>
    </row>
    <row r="61" spans="1:20" ht="16.5" thickBot="1" x14ac:dyDescent="0.3"/>
    <row r="62" spans="1:20" x14ac:dyDescent="0.25">
      <c r="A62" s="144" t="s">
        <v>33</v>
      </c>
      <c r="B62" s="146"/>
      <c r="C62" s="146"/>
      <c r="D62" s="146"/>
      <c r="E62" s="146"/>
      <c r="F62" s="146"/>
      <c r="G62" s="146"/>
      <c r="H62" s="146"/>
      <c r="I62" s="146"/>
      <c r="J62" s="159"/>
    </row>
    <row r="63" spans="1:20" x14ac:dyDescent="0.25">
      <c r="A63" s="1" t="s">
        <v>34</v>
      </c>
      <c r="B63" s="2" t="s">
        <v>35</v>
      </c>
      <c r="C63" s="2" t="s">
        <v>36</v>
      </c>
      <c r="D63" s="2" t="s">
        <v>37</v>
      </c>
      <c r="E63" s="2" t="s">
        <v>38</v>
      </c>
      <c r="F63" s="2" t="s">
        <v>39</v>
      </c>
      <c r="G63" s="2" t="s">
        <v>40</v>
      </c>
      <c r="H63" s="2" t="s">
        <v>41</v>
      </c>
      <c r="I63" s="2" t="s">
        <v>42</v>
      </c>
      <c r="J63" s="9" t="s">
        <v>122</v>
      </c>
    </row>
    <row r="64" spans="1:20" ht="16.5" thickBot="1" x14ac:dyDescent="0.3">
      <c r="A64" s="3">
        <v>12</v>
      </c>
      <c r="B64" s="87">
        <v>1</v>
      </c>
      <c r="C64" s="87">
        <v>1</v>
      </c>
      <c r="D64" s="87">
        <v>-1</v>
      </c>
      <c r="E64" s="87">
        <v>1</v>
      </c>
      <c r="F64" s="87">
        <v>-0.01</v>
      </c>
      <c r="G64" s="87">
        <v>-0.03</v>
      </c>
      <c r="H64" s="87">
        <f t="shared" ref="H64" si="35">AVERAGE(F64:G64)</f>
        <v>-0.02</v>
      </c>
      <c r="I64" s="87">
        <f t="shared" ref="I64" si="36">_xlfn.VAR.S(F64:G64)</f>
        <v>1.9999999999999998E-4</v>
      </c>
      <c r="J64" s="88">
        <f t="shared" ref="J64" si="37">-10*LOG(F64*F64+G64*G64)</f>
        <v>30</v>
      </c>
    </row>
    <row r="65" spans="1:34" ht="16.5" thickBot="1" x14ac:dyDescent="0.3">
      <c r="AB65" s="18">
        <f>MAX(AC27:BQ67)</f>
        <v>27.120463014652294</v>
      </c>
    </row>
    <row r="66" spans="1:34" x14ac:dyDescent="0.25">
      <c r="A66" s="18" t="s">
        <v>43</v>
      </c>
      <c r="R66" s="34" t="s">
        <v>5</v>
      </c>
      <c r="S66" s="35" t="s">
        <v>6</v>
      </c>
      <c r="T66" s="35" t="s">
        <v>7</v>
      </c>
      <c r="U66" s="35" t="s">
        <v>8</v>
      </c>
      <c r="V66" s="35" t="s">
        <v>9</v>
      </c>
      <c r="W66" s="35" t="s">
        <v>45</v>
      </c>
      <c r="X66" s="35" t="s">
        <v>72</v>
      </c>
      <c r="Y66" s="35" t="s">
        <v>73</v>
      </c>
      <c r="Z66" s="35" t="s">
        <v>75</v>
      </c>
      <c r="AA66" s="35" t="s">
        <v>76</v>
      </c>
      <c r="AB66" s="35" t="s">
        <v>77</v>
      </c>
      <c r="AC66" s="35" t="s">
        <v>238</v>
      </c>
      <c r="AD66" s="35" t="s">
        <v>239</v>
      </c>
      <c r="AE66" s="35" t="s">
        <v>240</v>
      </c>
      <c r="AF66" s="35" t="s">
        <v>241</v>
      </c>
      <c r="AG66" s="35" t="s">
        <v>242</v>
      </c>
      <c r="AH66" s="18" t="s">
        <v>374</v>
      </c>
    </row>
    <row r="67" spans="1:34" ht="16.5" thickBot="1" x14ac:dyDescent="0.3">
      <c r="R67" s="32">
        <v>1</v>
      </c>
      <c r="S67" s="2">
        <v>-1</v>
      </c>
      <c r="T67" s="2">
        <v>-1</v>
      </c>
      <c r="U67" s="2">
        <v>-1</v>
      </c>
      <c r="V67" s="2">
        <v>-1</v>
      </c>
      <c r="W67" s="2">
        <f t="shared" ref="W67:W82" si="38">S67*T67</f>
        <v>1</v>
      </c>
      <c r="X67" s="2">
        <f t="shared" ref="X67:X82" si="39">S67*U67</f>
        <v>1</v>
      </c>
      <c r="Y67" s="2">
        <f t="shared" ref="Y67:Y82" si="40">S67*V67</f>
        <v>1</v>
      </c>
      <c r="Z67" s="2">
        <f t="shared" ref="Z67:Z82" si="41">T67*U67</f>
        <v>1</v>
      </c>
      <c r="AA67" s="2">
        <f t="shared" ref="AA67:AA82" si="42">T67*V67</f>
        <v>1</v>
      </c>
      <c r="AB67" s="2">
        <f t="shared" ref="AB67:AB82" si="43">U67*V67</f>
        <v>1</v>
      </c>
      <c r="AC67" s="2">
        <f t="shared" ref="AC67:AC82" si="44">S67*T67*U67</f>
        <v>-1</v>
      </c>
      <c r="AD67" s="2">
        <f t="shared" ref="AD67:AD82" si="45">S67*T67*V67</f>
        <v>-1</v>
      </c>
      <c r="AE67" s="2">
        <f t="shared" ref="AE67:AE82" si="46">S67*U67*V67</f>
        <v>-1</v>
      </c>
      <c r="AF67" s="2">
        <f t="shared" ref="AF67:AF82" si="47">T67*U67*V67</f>
        <v>-1</v>
      </c>
      <c r="AG67" s="2">
        <f t="shared" ref="AG67:AG82" si="48">S67*T67*U67*V67</f>
        <v>1</v>
      </c>
      <c r="AH67" s="18">
        <f>K3</f>
        <v>-0.1703333929878037</v>
      </c>
    </row>
    <row r="68" spans="1:34" x14ac:dyDescent="0.25">
      <c r="A68" s="34" t="s">
        <v>5</v>
      </c>
      <c r="B68" s="35" t="s">
        <v>6</v>
      </c>
      <c r="C68" s="35" t="s">
        <v>7</v>
      </c>
      <c r="D68" s="35" t="s">
        <v>8</v>
      </c>
      <c r="E68" s="35" t="s">
        <v>9</v>
      </c>
      <c r="F68" s="35" t="s">
        <v>45</v>
      </c>
      <c r="G68" s="35" t="s">
        <v>72</v>
      </c>
      <c r="H68" s="35" t="s">
        <v>73</v>
      </c>
      <c r="I68" s="35" t="s">
        <v>75</v>
      </c>
      <c r="J68" s="35" t="s">
        <v>76</v>
      </c>
      <c r="K68" s="35" t="s">
        <v>77</v>
      </c>
      <c r="L68" s="36" t="s">
        <v>121</v>
      </c>
      <c r="R68" s="32">
        <v>2</v>
      </c>
      <c r="S68" s="2">
        <v>1</v>
      </c>
      <c r="T68" s="2">
        <v>-1</v>
      </c>
      <c r="U68" s="2">
        <v>-1</v>
      </c>
      <c r="V68" s="2">
        <v>-1</v>
      </c>
      <c r="W68" s="2">
        <f t="shared" si="38"/>
        <v>-1</v>
      </c>
      <c r="X68" s="2">
        <f t="shared" si="39"/>
        <v>-1</v>
      </c>
      <c r="Y68" s="2">
        <f t="shared" si="40"/>
        <v>-1</v>
      </c>
      <c r="Z68" s="2">
        <f t="shared" si="41"/>
        <v>1</v>
      </c>
      <c r="AA68" s="2">
        <f t="shared" si="42"/>
        <v>1</v>
      </c>
      <c r="AB68" s="2">
        <f t="shared" si="43"/>
        <v>1</v>
      </c>
      <c r="AC68" s="2">
        <f t="shared" si="44"/>
        <v>1</v>
      </c>
      <c r="AD68" s="2">
        <f t="shared" si="45"/>
        <v>1</v>
      </c>
      <c r="AE68" s="2">
        <f t="shared" si="46"/>
        <v>1</v>
      </c>
      <c r="AF68" s="2">
        <f t="shared" si="47"/>
        <v>-1</v>
      </c>
      <c r="AG68" s="2">
        <f t="shared" si="48"/>
        <v>-1</v>
      </c>
      <c r="AH68" s="18">
        <f t="shared" ref="AH68:AH82" si="49">K4</f>
        <v>-3.2471447656066834</v>
      </c>
    </row>
    <row r="69" spans="1:34" x14ac:dyDescent="0.25">
      <c r="A69" s="32">
        <v>1</v>
      </c>
      <c r="B69" s="2">
        <v>-1</v>
      </c>
      <c r="C69" s="2">
        <v>-1</v>
      </c>
      <c r="D69" s="2">
        <v>-1</v>
      </c>
      <c r="E69" s="2">
        <v>-1</v>
      </c>
      <c r="F69" s="2">
        <f>B69*C69</f>
        <v>1</v>
      </c>
      <c r="G69" s="2">
        <f>B69*D69</f>
        <v>1</v>
      </c>
      <c r="H69" s="2">
        <f>B69*E69</f>
        <v>1</v>
      </c>
      <c r="I69" s="2">
        <f>C69*D69</f>
        <v>1</v>
      </c>
      <c r="J69" s="2">
        <f>C69*E69</f>
        <v>1</v>
      </c>
      <c r="K69" s="2">
        <f>D69*E69</f>
        <v>1</v>
      </c>
      <c r="L69" s="37">
        <f>J3</f>
        <v>-2.0442063651487121</v>
      </c>
      <c r="O69" s="18">
        <f t="shared" ref="O69:O84" si="50">B69*C69*L69</f>
        <v>-2.0442063651487121</v>
      </c>
      <c r="R69" s="32">
        <v>3</v>
      </c>
      <c r="S69" s="2">
        <v>-1</v>
      </c>
      <c r="T69" s="2">
        <v>1</v>
      </c>
      <c r="U69" s="2">
        <v>-1</v>
      </c>
      <c r="V69" s="2">
        <v>-1</v>
      </c>
      <c r="W69" s="2">
        <f t="shared" si="38"/>
        <v>-1</v>
      </c>
      <c r="X69" s="2">
        <f t="shared" si="39"/>
        <v>1</v>
      </c>
      <c r="Y69" s="2">
        <f t="shared" si="40"/>
        <v>1</v>
      </c>
      <c r="Z69" s="2">
        <f t="shared" si="41"/>
        <v>-1</v>
      </c>
      <c r="AA69" s="2">
        <f t="shared" si="42"/>
        <v>-1</v>
      </c>
      <c r="AB69" s="2">
        <f t="shared" si="43"/>
        <v>1</v>
      </c>
      <c r="AC69" s="2">
        <f t="shared" si="44"/>
        <v>1</v>
      </c>
      <c r="AD69" s="2">
        <f t="shared" si="45"/>
        <v>1</v>
      </c>
      <c r="AE69" s="2">
        <f t="shared" si="46"/>
        <v>-1</v>
      </c>
      <c r="AF69" s="2">
        <f t="shared" si="47"/>
        <v>1</v>
      </c>
      <c r="AG69" s="2">
        <f t="shared" si="48"/>
        <v>-1</v>
      </c>
      <c r="AH69" s="18">
        <f t="shared" si="49"/>
        <v>10.433514207947967</v>
      </c>
    </row>
    <row r="70" spans="1:34" x14ac:dyDescent="0.25">
      <c r="A70" s="32">
        <v>2</v>
      </c>
      <c r="B70" s="2">
        <v>1</v>
      </c>
      <c r="C70" s="2">
        <v>-1</v>
      </c>
      <c r="D70" s="2">
        <v>-1</v>
      </c>
      <c r="E70" s="2">
        <v>-1</v>
      </c>
      <c r="F70" s="2">
        <f t="shared" ref="F70:F84" si="51">B70*C70</f>
        <v>-1</v>
      </c>
      <c r="G70" s="2">
        <f t="shared" ref="G70:G84" si="52">B70*D70</f>
        <v>-1</v>
      </c>
      <c r="H70" s="2">
        <f t="shared" ref="H70:H84" si="53">B70*E70</f>
        <v>-1</v>
      </c>
      <c r="I70" s="2">
        <f t="shared" ref="I70:I84" si="54">C70*D70</f>
        <v>1</v>
      </c>
      <c r="J70" s="2">
        <f t="shared" ref="J70:J84" si="55">C70*E70</f>
        <v>1</v>
      </c>
      <c r="K70" s="2">
        <f t="shared" ref="K70:K84" si="56">D70*E70</f>
        <v>1</v>
      </c>
      <c r="L70" s="37">
        <f t="shared" ref="L70:L84" si="57">J4</f>
        <v>8.0909686163949601</v>
      </c>
      <c r="O70" s="18">
        <f t="shared" si="50"/>
        <v>-8.0909686163949601</v>
      </c>
      <c r="R70" s="32">
        <v>4</v>
      </c>
      <c r="S70" s="2">
        <v>1</v>
      </c>
      <c r="T70" s="2">
        <v>1</v>
      </c>
      <c r="U70" s="2">
        <v>-1</v>
      </c>
      <c r="V70" s="2">
        <v>-1</v>
      </c>
      <c r="W70" s="2">
        <f t="shared" si="38"/>
        <v>1</v>
      </c>
      <c r="X70" s="2">
        <f t="shared" si="39"/>
        <v>-1</v>
      </c>
      <c r="Y70" s="2">
        <f t="shared" si="40"/>
        <v>-1</v>
      </c>
      <c r="Z70" s="2">
        <f t="shared" si="41"/>
        <v>-1</v>
      </c>
      <c r="AA70" s="2">
        <f t="shared" si="42"/>
        <v>-1</v>
      </c>
      <c r="AB70" s="2">
        <f t="shared" si="43"/>
        <v>1</v>
      </c>
      <c r="AC70" s="2">
        <f t="shared" si="44"/>
        <v>-1</v>
      </c>
      <c r="AD70" s="2">
        <f t="shared" si="45"/>
        <v>-1</v>
      </c>
      <c r="AE70" s="2">
        <f t="shared" si="46"/>
        <v>1</v>
      </c>
      <c r="AF70" s="2">
        <f t="shared" si="47"/>
        <v>1</v>
      </c>
      <c r="AG70" s="2">
        <f t="shared" si="48"/>
        <v>1</v>
      </c>
      <c r="AH70" s="18">
        <f t="shared" si="49"/>
        <v>8.1304366453458776</v>
      </c>
    </row>
    <row r="71" spans="1:34" x14ac:dyDescent="0.25">
      <c r="A71" s="32">
        <v>3</v>
      </c>
      <c r="B71" s="2">
        <v>-1</v>
      </c>
      <c r="C71" s="2">
        <v>1</v>
      </c>
      <c r="D71" s="2">
        <v>-1</v>
      </c>
      <c r="E71" s="2">
        <v>-1</v>
      </c>
      <c r="F71" s="2">
        <f t="shared" si="51"/>
        <v>-1</v>
      </c>
      <c r="G71" s="2">
        <f t="shared" si="52"/>
        <v>1</v>
      </c>
      <c r="H71" s="2">
        <f t="shared" si="53"/>
        <v>1</v>
      </c>
      <c r="I71" s="2">
        <f t="shared" si="54"/>
        <v>-1</v>
      </c>
      <c r="J71" s="2">
        <f t="shared" si="55"/>
        <v>-1</v>
      </c>
      <c r="K71" s="2">
        <f t="shared" si="56"/>
        <v>1</v>
      </c>
      <c r="L71" s="37">
        <f t="shared" si="57"/>
        <v>5.1050069670400724</v>
      </c>
      <c r="O71" s="18">
        <f t="shared" si="50"/>
        <v>-5.1050069670400724</v>
      </c>
      <c r="R71" s="32">
        <v>5</v>
      </c>
      <c r="S71" s="2">
        <v>-1</v>
      </c>
      <c r="T71" s="2">
        <v>-1</v>
      </c>
      <c r="U71" s="2">
        <v>1</v>
      </c>
      <c r="V71" s="2">
        <v>-1</v>
      </c>
      <c r="W71" s="2">
        <f t="shared" si="38"/>
        <v>1</v>
      </c>
      <c r="X71" s="2">
        <f t="shared" si="39"/>
        <v>-1</v>
      </c>
      <c r="Y71" s="2">
        <f t="shared" si="40"/>
        <v>1</v>
      </c>
      <c r="Z71" s="2">
        <f t="shared" si="41"/>
        <v>-1</v>
      </c>
      <c r="AA71" s="2">
        <f t="shared" si="42"/>
        <v>1</v>
      </c>
      <c r="AB71" s="2">
        <f t="shared" si="43"/>
        <v>-1</v>
      </c>
      <c r="AC71" s="2">
        <f t="shared" si="44"/>
        <v>1</v>
      </c>
      <c r="AD71" s="2">
        <f t="shared" si="45"/>
        <v>-1</v>
      </c>
      <c r="AE71" s="2">
        <f t="shared" si="46"/>
        <v>1</v>
      </c>
      <c r="AF71" s="2">
        <f t="shared" si="47"/>
        <v>1</v>
      </c>
      <c r="AG71" s="2">
        <f t="shared" si="48"/>
        <v>-1</v>
      </c>
      <c r="AH71" s="18">
        <f t="shared" si="49"/>
        <v>14.628107737563553</v>
      </c>
    </row>
    <row r="72" spans="1:34" x14ac:dyDescent="0.25">
      <c r="A72" s="32">
        <v>4</v>
      </c>
      <c r="B72" s="2">
        <v>1</v>
      </c>
      <c r="C72" s="2">
        <v>1</v>
      </c>
      <c r="D72" s="2">
        <v>-1</v>
      </c>
      <c r="E72" s="2">
        <v>-1</v>
      </c>
      <c r="F72" s="2">
        <f t="shared" si="51"/>
        <v>1</v>
      </c>
      <c r="G72" s="2">
        <f t="shared" si="52"/>
        <v>-1</v>
      </c>
      <c r="H72" s="2">
        <f t="shared" si="53"/>
        <v>-1</v>
      </c>
      <c r="I72" s="2">
        <f t="shared" si="54"/>
        <v>-1</v>
      </c>
      <c r="J72" s="2">
        <f t="shared" si="55"/>
        <v>-1</v>
      </c>
      <c r="K72" s="2">
        <f t="shared" si="56"/>
        <v>1</v>
      </c>
      <c r="L72" s="37">
        <f t="shared" si="57"/>
        <v>6.0748674785633527</v>
      </c>
      <c r="O72" s="18">
        <f t="shared" si="50"/>
        <v>6.0748674785633527</v>
      </c>
      <c r="R72" s="32">
        <v>6</v>
      </c>
      <c r="S72" s="2">
        <v>1</v>
      </c>
      <c r="T72" s="2">
        <v>-1</v>
      </c>
      <c r="U72" s="2">
        <v>1</v>
      </c>
      <c r="V72" s="2">
        <v>-1</v>
      </c>
      <c r="W72" s="2">
        <f t="shared" si="38"/>
        <v>-1</v>
      </c>
      <c r="X72" s="2">
        <f t="shared" si="39"/>
        <v>1</v>
      </c>
      <c r="Y72" s="2">
        <f t="shared" si="40"/>
        <v>-1</v>
      </c>
      <c r="Z72" s="2">
        <f t="shared" si="41"/>
        <v>-1</v>
      </c>
      <c r="AA72" s="2">
        <f t="shared" si="42"/>
        <v>1</v>
      </c>
      <c r="AB72" s="2">
        <f t="shared" si="43"/>
        <v>-1</v>
      </c>
      <c r="AC72" s="2">
        <f t="shared" si="44"/>
        <v>-1</v>
      </c>
      <c r="AD72" s="2">
        <f t="shared" si="45"/>
        <v>1</v>
      </c>
      <c r="AE72" s="2">
        <f t="shared" si="46"/>
        <v>-1</v>
      </c>
      <c r="AF72" s="2">
        <f t="shared" si="47"/>
        <v>1</v>
      </c>
      <c r="AG72" s="2">
        <f t="shared" si="48"/>
        <v>1</v>
      </c>
      <c r="AH72" s="18">
        <f t="shared" si="49"/>
        <v>2.8663547939044607</v>
      </c>
    </row>
    <row r="73" spans="1:34" x14ac:dyDescent="0.25">
      <c r="A73" s="32">
        <v>5</v>
      </c>
      <c r="B73" s="2">
        <v>-1</v>
      </c>
      <c r="C73" s="2">
        <v>-1</v>
      </c>
      <c r="D73" s="2">
        <v>1</v>
      </c>
      <c r="E73" s="2">
        <v>-1</v>
      </c>
      <c r="F73" s="2">
        <f t="shared" si="51"/>
        <v>1</v>
      </c>
      <c r="G73" s="2">
        <f t="shared" si="52"/>
        <v>-1</v>
      </c>
      <c r="H73" s="2">
        <f t="shared" si="53"/>
        <v>1</v>
      </c>
      <c r="I73" s="2">
        <f>C73*D73</f>
        <v>-1</v>
      </c>
      <c r="J73" s="2">
        <f t="shared" si="55"/>
        <v>1</v>
      </c>
      <c r="K73" s="2">
        <f t="shared" si="56"/>
        <v>-1</v>
      </c>
      <c r="L73" s="37">
        <f t="shared" si="57"/>
        <v>-24.831909343586464</v>
      </c>
      <c r="O73" s="18">
        <f t="shared" si="50"/>
        <v>-24.831909343586464</v>
      </c>
      <c r="R73" s="32">
        <v>7</v>
      </c>
      <c r="S73" s="2">
        <v>-1</v>
      </c>
      <c r="T73" s="2">
        <v>1</v>
      </c>
      <c r="U73" s="2">
        <v>1</v>
      </c>
      <c r="V73" s="2">
        <v>-1</v>
      </c>
      <c r="W73" s="2">
        <f t="shared" si="38"/>
        <v>-1</v>
      </c>
      <c r="X73" s="2">
        <f t="shared" si="39"/>
        <v>-1</v>
      </c>
      <c r="Y73" s="2">
        <f t="shared" si="40"/>
        <v>1</v>
      </c>
      <c r="Z73" s="2">
        <f t="shared" si="41"/>
        <v>1</v>
      </c>
      <c r="AA73" s="2">
        <f t="shared" si="42"/>
        <v>-1</v>
      </c>
      <c r="AB73" s="2">
        <f t="shared" si="43"/>
        <v>-1</v>
      </c>
      <c r="AC73" s="2">
        <f t="shared" si="44"/>
        <v>-1</v>
      </c>
      <c r="AD73" s="2">
        <f t="shared" si="45"/>
        <v>1</v>
      </c>
      <c r="AE73" s="2">
        <f t="shared" si="46"/>
        <v>1</v>
      </c>
      <c r="AF73" s="2">
        <f t="shared" si="47"/>
        <v>-1</v>
      </c>
      <c r="AG73" s="2">
        <f t="shared" si="48"/>
        <v>1</v>
      </c>
      <c r="AH73" s="18">
        <f t="shared" si="49"/>
        <v>1.0601643278815294</v>
      </c>
    </row>
    <row r="74" spans="1:34" x14ac:dyDescent="0.25">
      <c r="A74" s="32">
        <v>6</v>
      </c>
      <c r="B74" s="2">
        <v>1</v>
      </c>
      <c r="C74" s="2">
        <v>-1</v>
      </c>
      <c r="D74" s="2">
        <v>1</v>
      </c>
      <c r="E74" s="2">
        <v>-1</v>
      </c>
      <c r="F74" s="2">
        <f t="shared" si="51"/>
        <v>-1</v>
      </c>
      <c r="G74" s="2">
        <f t="shared" si="52"/>
        <v>1</v>
      </c>
      <c r="H74" s="2">
        <f t="shared" si="53"/>
        <v>-1</v>
      </c>
      <c r="I74" s="2">
        <f t="shared" si="54"/>
        <v>-1</v>
      </c>
      <c r="J74" s="2">
        <f t="shared" si="55"/>
        <v>1</v>
      </c>
      <c r="K74" s="2">
        <f t="shared" si="56"/>
        <v>-1</v>
      </c>
      <c r="L74" s="37">
        <f t="shared" si="57"/>
        <v>16.574595611547892</v>
      </c>
      <c r="O74" s="18">
        <f t="shared" si="50"/>
        <v>-16.574595611547892</v>
      </c>
      <c r="R74" s="32">
        <v>8</v>
      </c>
      <c r="S74" s="2">
        <v>1</v>
      </c>
      <c r="T74" s="2">
        <v>1</v>
      </c>
      <c r="U74" s="2">
        <v>1</v>
      </c>
      <c r="V74" s="2">
        <v>-1</v>
      </c>
      <c r="W74" s="2">
        <f t="shared" si="38"/>
        <v>1</v>
      </c>
      <c r="X74" s="2">
        <f t="shared" si="39"/>
        <v>1</v>
      </c>
      <c r="Y74" s="2">
        <f t="shared" si="40"/>
        <v>-1</v>
      </c>
      <c r="Z74" s="2">
        <f t="shared" si="41"/>
        <v>1</v>
      </c>
      <c r="AA74" s="2">
        <f t="shared" si="42"/>
        <v>-1</v>
      </c>
      <c r="AB74" s="2">
        <f t="shared" si="43"/>
        <v>-1</v>
      </c>
      <c r="AC74" s="2">
        <f t="shared" si="44"/>
        <v>1</v>
      </c>
      <c r="AD74" s="2">
        <f t="shared" si="45"/>
        <v>-1</v>
      </c>
      <c r="AE74" s="2">
        <f t="shared" si="46"/>
        <v>-1</v>
      </c>
      <c r="AF74" s="2">
        <f t="shared" si="47"/>
        <v>-1</v>
      </c>
      <c r="AG74" s="2">
        <f t="shared" si="48"/>
        <v>-1</v>
      </c>
      <c r="AH74" s="18">
        <f t="shared" si="49"/>
        <v>12.128939069634299</v>
      </c>
    </row>
    <row r="75" spans="1:34" x14ac:dyDescent="0.25">
      <c r="A75" s="32">
        <v>7</v>
      </c>
      <c r="B75" s="2">
        <v>-1</v>
      </c>
      <c r="C75" s="2">
        <v>1</v>
      </c>
      <c r="D75" s="2">
        <v>1</v>
      </c>
      <c r="E75" s="2">
        <v>-1</v>
      </c>
      <c r="F75" s="2">
        <f t="shared" si="51"/>
        <v>-1</v>
      </c>
      <c r="G75" s="2">
        <f t="shared" si="52"/>
        <v>-1</v>
      </c>
      <c r="H75" s="2">
        <f t="shared" si="53"/>
        <v>1</v>
      </c>
      <c r="I75" s="2">
        <f t="shared" si="54"/>
        <v>1</v>
      </c>
      <c r="J75" s="2">
        <f t="shared" si="55"/>
        <v>-1</v>
      </c>
      <c r="K75" s="2">
        <f t="shared" si="56"/>
        <v>-1</v>
      </c>
      <c r="L75" s="37">
        <f t="shared" si="57"/>
        <v>1.0489681524798404</v>
      </c>
      <c r="O75" s="18">
        <f t="shared" si="50"/>
        <v>-1.0489681524798404</v>
      </c>
      <c r="R75" s="32">
        <v>9</v>
      </c>
      <c r="S75" s="2">
        <v>-1</v>
      </c>
      <c r="T75" s="2">
        <v>-1</v>
      </c>
      <c r="U75" s="2">
        <v>-1</v>
      </c>
      <c r="V75" s="2">
        <v>1</v>
      </c>
      <c r="W75" s="2">
        <f t="shared" si="38"/>
        <v>1</v>
      </c>
      <c r="X75" s="2">
        <f t="shared" si="39"/>
        <v>1</v>
      </c>
      <c r="Y75" s="2">
        <f t="shared" si="40"/>
        <v>-1</v>
      </c>
      <c r="Z75" s="2">
        <f t="shared" si="41"/>
        <v>1</v>
      </c>
      <c r="AA75" s="2">
        <f t="shared" si="42"/>
        <v>-1</v>
      </c>
      <c r="AB75" s="2">
        <f t="shared" si="43"/>
        <v>-1</v>
      </c>
      <c r="AC75" s="2">
        <f t="shared" si="44"/>
        <v>-1</v>
      </c>
      <c r="AD75" s="2">
        <f t="shared" si="45"/>
        <v>1</v>
      </c>
      <c r="AE75" s="2">
        <f t="shared" si="46"/>
        <v>1</v>
      </c>
      <c r="AF75" s="2">
        <f t="shared" si="47"/>
        <v>1</v>
      </c>
      <c r="AG75" s="2">
        <f t="shared" si="48"/>
        <v>-1</v>
      </c>
      <c r="AH75" s="18">
        <f t="shared" si="49"/>
        <v>5.357340659659247</v>
      </c>
    </row>
    <row r="76" spans="1:34" x14ac:dyDescent="0.25">
      <c r="A76" s="32">
        <v>8</v>
      </c>
      <c r="B76" s="2">
        <v>1</v>
      </c>
      <c r="C76" s="2">
        <v>1</v>
      </c>
      <c r="D76" s="2">
        <v>1</v>
      </c>
      <c r="E76" s="2">
        <v>-1</v>
      </c>
      <c r="F76" s="2">
        <f t="shared" si="51"/>
        <v>1</v>
      </c>
      <c r="G76" s="2">
        <f t="shared" si="52"/>
        <v>1</v>
      </c>
      <c r="H76" s="2">
        <f t="shared" si="53"/>
        <v>-1</v>
      </c>
      <c r="I76" s="2">
        <f t="shared" si="54"/>
        <v>1</v>
      </c>
      <c r="J76" s="2">
        <f t="shared" si="55"/>
        <v>-1</v>
      </c>
      <c r="K76" s="2">
        <f t="shared" si="56"/>
        <v>-1</v>
      </c>
      <c r="L76" s="37">
        <f t="shared" si="57"/>
        <v>13.89166084364531</v>
      </c>
      <c r="O76" s="18">
        <f t="shared" si="50"/>
        <v>13.89166084364531</v>
      </c>
      <c r="R76" s="32">
        <v>10</v>
      </c>
      <c r="S76" s="2">
        <v>1</v>
      </c>
      <c r="T76" s="2">
        <v>-1</v>
      </c>
      <c r="U76" s="2">
        <v>-1</v>
      </c>
      <c r="V76" s="2">
        <v>1</v>
      </c>
      <c r="W76" s="2">
        <f t="shared" si="38"/>
        <v>-1</v>
      </c>
      <c r="X76" s="2">
        <f t="shared" si="39"/>
        <v>-1</v>
      </c>
      <c r="Y76" s="2">
        <f t="shared" si="40"/>
        <v>1</v>
      </c>
      <c r="Z76" s="2">
        <f t="shared" si="41"/>
        <v>1</v>
      </c>
      <c r="AA76" s="2">
        <f t="shared" si="42"/>
        <v>-1</v>
      </c>
      <c r="AB76" s="2">
        <f t="shared" si="43"/>
        <v>-1</v>
      </c>
      <c r="AC76" s="2">
        <f t="shared" si="44"/>
        <v>1</v>
      </c>
      <c r="AD76" s="2">
        <f t="shared" si="45"/>
        <v>-1</v>
      </c>
      <c r="AE76" s="2">
        <f t="shared" si="46"/>
        <v>-1</v>
      </c>
      <c r="AF76" s="2">
        <f t="shared" si="47"/>
        <v>1</v>
      </c>
      <c r="AG76" s="2">
        <f t="shared" si="48"/>
        <v>1</v>
      </c>
      <c r="AH76" s="18">
        <f t="shared" si="49"/>
        <v>0.42632191568472555</v>
      </c>
    </row>
    <row r="77" spans="1:34" x14ac:dyDescent="0.25">
      <c r="A77" s="32">
        <v>9</v>
      </c>
      <c r="B77" s="2">
        <v>-1</v>
      </c>
      <c r="C77" s="2">
        <v>-1</v>
      </c>
      <c r="D77" s="2">
        <v>-1</v>
      </c>
      <c r="E77" s="2">
        <v>1</v>
      </c>
      <c r="F77" s="2">
        <f t="shared" si="51"/>
        <v>1</v>
      </c>
      <c r="G77" s="2">
        <f t="shared" si="52"/>
        <v>1</v>
      </c>
      <c r="H77" s="2">
        <f t="shared" si="53"/>
        <v>-1</v>
      </c>
      <c r="I77" s="2">
        <f t="shared" si="54"/>
        <v>1</v>
      </c>
      <c r="J77" s="2">
        <f t="shared" si="55"/>
        <v>-1</v>
      </c>
      <c r="K77" s="2">
        <f t="shared" si="56"/>
        <v>-1</v>
      </c>
      <c r="L77" s="37">
        <f t="shared" si="57"/>
        <v>9.4546858513181977</v>
      </c>
      <c r="O77" s="18">
        <f t="shared" si="50"/>
        <v>9.4546858513181977</v>
      </c>
      <c r="R77" s="32">
        <v>11</v>
      </c>
      <c r="S77" s="2">
        <v>-1</v>
      </c>
      <c r="T77" s="2">
        <v>1</v>
      </c>
      <c r="U77" s="2">
        <v>-1</v>
      </c>
      <c r="V77" s="2">
        <v>1</v>
      </c>
      <c r="W77" s="2">
        <f t="shared" si="38"/>
        <v>-1</v>
      </c>
      <c r="X77" s="2">
        <f t="shared" si="39"/>
        <v>1</v>
      </c>
      <c r="Y77" s="2">
        <f t="shared" si="40"/>
        <v>-1</v>
      </c>
      <c r="Z77" s="2">
        <f t="shared" si="41"/>
        <v>-1</v>
      </c>
      <c r="AA77" s="2">
        <f t="shared" si="42"/>
        <v>1</v>
      </c>
      <c r="AB77" s="2">
        <f t="shared" si="43"/>
        <v>-1</v>
      </c>
      <c r="AC77" s="2">
        <f t="shared" si="44"/>
        <v>1</v>
      </c>
      <c r="AD77" s="2">
        <f t="shared" si="45"/>
        <v>-1</v>
      </c>
      <c r="AE77" s="2">
        <f t="shared" si="46"/>
        <v>1</v>
      </c>
      <c r="AF77" s="2">
        <f t="shared" si="47"/>
        <v>-1</v>
      </c>
      <c r="AG77" s="2">
        <f t="shared" si="48"/>
        <v>1</v>
      </c>
      <c r="AH77" s="18">
        <f t="shared" si="49"/>
        <v>6.8350546077768879</v>
      </c>
    </row>
    <row r="78" spans="1:34" x14ac:dyDescent="0.25">
      <c r="A78" s="32">
        <v>10</v>
      </c>
      <c r="B78" s="2">
        <v>1</v>
      </c>
      <c r="C78" s="2">
        <v>-1</v>
      </c>
      <c r="D78" s="2">
        <v>-1</v>
      </c>
      <c r="E78" s="2">
        <v>1</v>
      </c>
      <c r="F78" s="2">
        <f t="shared" si="51"/>
        <v>-1</v>
      </c>
      <c r="G78" s="2">
        <f t="shared" si="52"/>
        <v>-1</v>
      </c>
      <c r="H78" s="2">
        <f t="shared" si="53"/>
        <v>1</v>
      </c>
      <c r="I78" s="2">
        <f t="shared" si="54"/>
        <v>1</v>
      </c>
      <c r="J78" s="2">
        <f t="shared" si="55"/>
        <v>-1</v>
      </c>
      <c r="K78" s="2">
        <f t="shared" si="56"/>
        <v>-1</v>
      </c>
      <c r="L78" s="37">
        <f t="shared" si="57"/>
        <v>7.2273672629376673</v>
      </c>
      <c r="O78" s="18">
        <f t="shared" si="50"/>
        <v>-7.2273672629376673</v>
      </c>
      <c r="R78" s="32">
        <v>12</v>
      </c>
      <c r="S78" s="2">
        <v>1</v>
      </c>
      <c r="T78" s="2">
        <v>1</v>
      </c>
      <c r="U78" s="2">
        <v>-1</v>
      </c>
      <c r="V78" s="2">
        <v>1</v>
      </c>
      <c r="W78" s="2">
        <f t="shared" si="38"/>
        <v>1</v>
      </c>
      <c r="X78" s="2">
        <f t="shared" si="39"/>
        <v>-1</v>
      </c>
      <c r="Y78" s="2">
        <f t="shared" si="40"/>
        <v>1</v>
      </c>
      <c r="Z78" s="2">
        <f t="shared" si="41"/>
        <v>-1</v>
      </c>
      <c r="AA78" s="2">
        <f t="shared" si="42"/>
        <v>1</v>
      </c>
      <c r="AB78" s="2">
        <f t="shared" si="43"/>
        <v>-1</v>
      </c>
      <c r="AC78" s="2">
        <f t="shared" si="44"/>
        <v>-1</v>
      </c>
      <c r="AD78" s="2">
        <f t="shared" si="45"/>
        <v>1</v>
      </c>
      <c r="AE78" s="2">
        <f t="shared" si="46"/>
        <v>-1</v>
      </c>
      <c r="AF78" s="2">
        <f t="shared" si="47"/>
        <v>-1</v>
      </c>
      <c r="AG78" s="2">
        <f t="shared" si="48"/>
        <v>-1</v>
      </c>
      <c r="AH78" s="18">
        <f t="shared" si="49"/>
        <v>33.010299956639813</v>
      </c>
    </row>
    <row r="79" spans="1:34" x14ac:dyDescent="0.25">
      <c r="A79" s="32">
        <v>11</v>
      </c>
      <c r="B79" s="2">
        <v>-1</v>
      </c>
      <c r="C79" s="2">
        <v>1</v>
      </c>
      <c r="D79" s="2">
        <v>-1</v>
      </c>
      <c r="E79" s="2">
        <v>1</v>
      </c>
      <c r="F79" s="2">
        <f t="shared" si="51"/>
        <v>-1</v>
      </c>
      <c r="G79" s="2">
        <f t="shared" si="52"/>
        <v>1</v>
      </c>
      <c r="H79" s="2">
        <f t="shared" si="53"/>
        <v>-1</v>
      </c>
      <c r="I79" s="2">
        <f t="shared" si="54"/>
        <v>-1</v>
      </c>
      <c r="J79" s="2">
        <f t="shared" si="55"/>
        <v>1</v>
      </c>
      <c r="K79" s="2">
        <f t="shared" si="56"/>
        <v>-1</v>
      </c>
      <c r="L79" s="37">
        <f t="shared" si="57"/>
        <v>26.628102795388816</v>
      </c>
      <c r="O79" s="18">
        <f t="shared" si="50"/>
        <v>-26.628102795388816</v>
      </c>
      <c r="R79" s="32">
        <v>13</v>
      </c>
      <c r="S79" s="2">
        <v>-1</v>
      </c>
      <c r="T79" s="2">
        <v>-1</v>
      </c>
      <c r="U79" s="2">
        <v>1</v>
      </c>
      <c r="V79" s="2">
        <v>1</v>
      </c>
      <c r="W79" s="2">
        <f t="shared" si="38"/>
        <v>1</v>
      </c>
      <c r="X79" s="2">
        <f t="shared" si="39"/>
        <v>-1</v>
      </c>
      <c r="Y79" s="2">
        <f t="shared" si="40"/>
        <v>-1</v>
      </c>
      <c r="Z79" s="2">
        <f t="shared" si="41"/>
        <v>-1</v>
      </c>
      <c r="AA79" s="2">
        <f t="shared" si="42"/>
        <v>-1</v>
      </c>
      <c r="AB79" s="2">
        <f t="shared" si="43"/>
        <v>1</v>
      </c>
      <c r="AC79" s="2">
        <f t="shared" si="44"/>
        <v>1</v>
      </c>
      <c r="AD79" s="2">
        <f t="shared" si="45"/>
        <v>1</v>
      </c>
      <c r="AE79" s="2">
        <f t="shared" si="46"/>
        <v>-1</v>
      </c>
      <c r="AF79" s="2">
        <f t="shared" si="47"/>
        <v>-1</v>
      </c>
      <c r="AG79" s="2">
        <f t="shared" si="48"/>
        <v>1</v>
      </c>
      <c r="AH79" s="18">
        <f t="shared" si="49"/>
        <v>-0.15715932006950581</v>
      </c>
    </row>
    <row r="80" spans="1:34" x14ac:dyDescent="0.25">
      <c r="A80" s="32">
        <v>12</v>
      </c>
      <c r="B80" s="2">
        <v>1</v>
      </c>
      <c r="C80" s="2">
        <v>1</v>
      </c>
      <c r="D80" s="2">
        <v>-1</v>
      </c>
      <c r="E80" s="2">
        <v>1</v>
      </c>
      <c r="F80" s="2">
        <f t="shared" si="51"/>
        <v>1</v>
      </c>
      <c r="G80" s="2">
        <f t="shared" si="52"/>
        <v>-1</v>
      </c>
      <c r="H80" s="2">
        <f t="shared" si="53"/>
        <v>1</v>
      </c>
      <c r="I80" s="2">
        <f t="shared" si="54"/>
        <v>-1</v>
      </c>
      <c r="J80" s="2">
        <f t="shared" si="55"/>
        <v>1</v>
      </c>
      <c r="K80" s="2">
        <f t="shared" si="56"/>
        <v>-1</v>
      </c>
      <c r="L80" s="37">
        <f t="shared" si="57"/>
        <v>3.010299956639813</v>
      </c>
      <c r="O80" s="18">
        <f t="shared" si="50"/>
        <v>3.010299956639813</v>
      </c>
      <c r="R80" s="32">
        <v>14</v>
      </c>
      <c r="S80" s="2">
        <v>1</v>
      </c>
      <c r="T80" s="2">
        <v>-1</v>
      </c>
      <c r="U80" s="2">
        <v>1</v>
      </c>
      <c r="V80" s="2">
        <v>1</v>
      </c>
      <c r="W80" s="2">
        <f t="shared" si="38"/>
        <v>-1</v>
      </c>
      <c r="X80" s="2">
        <f t="shared" si="39"/>
        <v>1</v>
      </c>
      <c r="Y80" s="2">
        <f t="shared" si="40"/>
        <v>1</v>
      </c>
      <c r="Z80" s="2">
        <f t="shared" si="41"/>
        <v>-1</v>
      </c>
      <c r="AA80" s="2">
        <f t="shared" si="42"/>
        <v>-1</v>
      </c>
      <c r="AB80" s="2">
        <f t="shared" si="43"/>
        <v>1</v>
      </c>
      <c r="AC80" s="2">
        <f t="shared" si="44"/>
        <v>-1</v>
      </c>
      <c r="AD80" s="2">
        <f t="shared" si="45"/>
        <v>-1</v>
      </c>
      <c r="AE80" s="2">
        <f t="shared" si="46"/>
        <v>1</v>
      </c>
      <c r="AF80" s="2">
        <f t="shared" si="47"/>
        <v>-1</v>
      </c>
      <c r="AG80" s="2">
        <f t="shared" si="48"/>
        <v>-1</v>
      </c>
      <c r="AH80" s="18">
        <f t="shared" si="49"/>
        <v>1.5848411157770483</v>
      </c>
    </row>
    <row r="81" spans="1:39" x14ac:dyDescent="0.25">
      <c r="A81" s="32">
        <v>13</v>
      </c>
      <c r="B81" s="2">
        <v>-1</v>
      </c>
      <c r="C81" s="2">
        <v>-1</v>
      </c>
      <c r="D81" s="2">
        <v>1</v>
      </c>
      <c r="E81" s="2">
        <v>1</v>
      </c>
      <c r="F81" s="2">
        <f t="shared" si="51"/>
        <v>1</v>
      </c>
      <c r="G81" s="2">
        <f t="shared" si="52"/>
        <v>-1</v>
      </c>
      <c r="H81" s="2">
        <f t="shared" si="53"/>
        <v>-1</v>
      </c>
      <c r="I81" s="2">
        <f t="shared" si="54"/>
        <v>-1</v>
      </c>
      <c r="J81" s="2">
        <f t="shared" si="55"/>
        <v>-1</v>
      </c>
      <c r="K81" s="2">
        <f t="shared" si="56"/>
        <v>1</v>
      </c>
      <c r="L81" s="37">
        <f t="shared" si="57"/>
        <v>6.4425790906585583</v>
      </c>
      <c r="O81" s="18">
        <f t="shared" si="50"/>
        <v>6.4425790906585583</v>
      </c>
      <c r="R81" s="32">
        <v>15</v>
      </c>
      <c r="S81" s="2">
        <v>-1</v>
      </c>
      <c r="T81" s="2">
        <v>1</v>
      </c>
      <c r="U81" s="2">
        <v>1</v>
      </c>
      <c r="V81" s="2">
        <v>1</v>
      </c>
      <c r="W81" s="2">
        <f t="shared" si="38"/>
        <v>-1</v>
      </c>
      <c r="X81" s="2">
        <f t="shared" si="39"/>
        <v>-1</v>
      </c>
      <c r="Y81" s="2">
        <f t="shared" si="40"/>
        <v>-1</v>
      </c>
      <c r="Z81" s="2">
        <f t="shared" si="41"/>
        <v>1</v>
      </c>
      <c r="AA81" s="2">
        <f t="shared" si="42"/>
        <v>1</v>
      </c>
      <c r="AB81" s="2">
        <f t="shared" si="43"/>
        <v>1</v>
      </c>
      <c r="AC81" s="2">
        <f t="shared" si="44"/>
        <v>-1</v>
      </c>
      <c r="AD81" s="2">
        <f t="shared" si="45"/>
        <v>-1</v>
      </c>
      <c r="AE81" s="2">
        <f t="shared" si="46"/>
        <v>-1</v>
      </c>
      <c r="AF81" s="2">
        <f t="shared" si="47"/>
        <v>1</v>
      </c>
      <c r="AG81" s="2">
        <f t="shared" si="48"/>
        <v>-1</v>
      </c>
      <c r="AH81" s="18">
        <f t="shared" si="49"/>
        <v>1.6941133131485566</v>
      </c>
    </row>
    <row r="82" spans="1:39" ht="16.5" thickBot="1" x14ac:dyDescent="0.3">
      <c r="A82" s="32">
        <v>14</v>
      </c>
      <c r="B82" s="2">
        <v>1</v>
      </c>
      <c r="C82" s="2">
        <v>-1</v>
      </c>
      <c r="D82" s="2">
        <v>1</v>
      </c>
      <c r="E82" s="2">
        <v>1</v>
      </c>
      <c r="F82" s="2">
        <f t="shared" si="51"/>
        <v>-1</v>
      </c>
      <c r="G82" s="2">
        <f t="shared" si="52"/>
        <v>1</v>
      </c>
      <c r="H82" s="2">
        <f t="shared" si="53"/>
        <v>1</v>
      </c>
      <c r="I82" s="2">
        <f t="shared" si="54"/>
        <v>-1</v>
      </c>
      <c r="J82" s="2">
        <f t="shared" si="55"/>
        <v>-1</v>
      </c>
      <c r="K82" s="2">
        <f t="shared" si="56"/>
        <v>1</v>
      </c>
      <c r="L82" s="37">
        <f t="shared" si="57"/>
        <v>-5.0989813756516558</v>
      </c>
      <c r="O82" s="18">
        <f t="shared" si="50"/>
        <v>5.0989813756516558</v>
      </c>
      <c r="R82" s="33">
        <v>16</v>
      </c>
      <c r="S82" s="4">
        <v>1</v>
      </c>
      <c r="T82" s="4">
        <v>1</v>
      </c>
      <c r="U82" s="4">
        <v>1</v>
      </c>
      <c r="V82" s="4">
        <v>1</v>
      </c>
      <c r="W82" s="4">
        <f t="shared" si="38"/>
        <v>1</v>
      </c>
      <c r="X82" s="4">
        <f t="shared" si="39"/>
        <v>1</v>
      </c>
      <c r="Y82" s="4">
        <f t="shared" si="40"/>
        <v>1</v>
      </c>
      <c r="Z82" s="4">
        <f t="shared" si="41"/>
        <v>1</v>
      </c>
      <c r="AA82" s="4">
        <f t="shared" si="42"/>
        <v>1</v>
      </c>
      <c r="AB82" s="4">
        <f t="shared" si="43"/>
        <v>1</v>
      </c>
      <c r="AC82" s="4">
        <f t="shared" si="44"/>
        <v>1</v>
      </c>
      <c r="AD82" s="4">
        <f t="shared" si="45"/>
        <v>1</v>
      </c>
      <c r="AE82" s="4">
        <f t="shared" si="46"/>
        <v>1</v>
      </c>
      <c r="AF82" s="4">
        <f t="shared" si="47"/>
        <v>1</v>
      </c>
      <c r="AG82" s="4">
        <f t="shared" si="48"/>
        <v>1</v>
      </c>
      <c r="AH82" s="18">
        <f t="shared" si="49"/>
        <v>8.6075078242839282</v>
      </c>
    </row>
    <row r="83" spans="1:39" ht="16.5" thickBot="1" x14ac:dyDescent="0.3">
      <c r="A83" s="32">
        <v>15</v>
      </c>
      <c r="B83" s="2">
        <v>-1</v>
      </c>
      <c r="C83" s="2">
        <v>1</v>
      </c>
      <c r="D83" s="2">
        <v>1</v>
      </c>
      <c r="E83" s="2">
        <v>1</v>
      </c>
      <c r="F83" s="2">
        <f t="shared" si="51"/>
        <v>-1</v>
      </c>
      <c r="G83" s="2">
        <f t="shared" si="52"/>
        <v>-1</v>
      </c>
      <c r="H83" s="2">
        <f t="shared" si="53"/>
        <v>-1</v>
      </c>
      <c r="I83" s="2">
        <f t="shared" si="54"/>
        <v>1</v>
      </c>
      <c r="J83" s="2">
        <f t="shared" si="55"/>
        <v>1</v>
      </c>
      <c r="K83" s="2">
        <f t="shared" si="56"/>
        <v>1</v>
      </c>
      <c r="L83" s="37">
        <f t="shared" si="57"/>
        <v>5.4715545888307009</v>
      </c>
      <c r="O83" s="18">
        <f t="shared" si="50"/>
        <v>-5.4715545888307009</v>
      </c>
    </row>
    <row r="84" spans="1:39" ht="16.5" thickBot="1" x14ac:dyDescent="0.3">
      <c r="A84" s="33">
        <v>16</v>
      </c>
      <c r="B84" s="4">
        <v>1</v>
      </c>
      <c r="C84" s="4">
        <v>1</v>
      </c>
      <c r="D84" s="4">
        <v>1</v>
      </c>
      <c r="E84" s="4">
        <v>1</v>
      </c>
      <c r="F84" s="4">
        <f t="shared" si="51"/>
        <v>1</v>
      </c>
      <c r="G84" s="4">
        <f t="shared" si="52"/>
        <v>1</v>
      </c>
      <c r="H84" s="4">
        <f t="shared" si="53"/>
        <v>1</v>
      </c>
      <c r="I84" s="4">
        <f t="shared" si="54"/>
        <v>1</v>
      </c>
      <c r="J84" s="4">
        <f t="shared" si="55"/>
        <v>1</v>
      </c>
      <c r="K84" s="4">
        <f t="shared" si="56"/>
        <v>1</v>
      </c>
      <c r="L84" s="37">
        <f t="shared" si="57"/>
        <v>18.811309430306839</v>
      </c>
      <c r="O84" s="18">
        <f t="shared" si="50"/>
        <v>18.811309430306839</v>
      </c>
      <c r="R84" s="23"/>
      <c r="S84" s="24" t="s">
        <v>103</v>
      </c>
      <c r="T84" s="24" t="s">
        <v>104</v>
      </c>
      <c r="U84" s="24" t="s">
        <v>105</v>
      </c>
      <c r="V84" s="24" t="s">
        <v>106</v>
      </c>
      <c r="W84" s="24" t="s">
        <v>107</v>
      </c>
      <c r="X84" s="24" t="s">
        <v>108</v>
      </c>
      <c r="Y84" s="24" t="s">
        <v>109</v>
      </c>
      <c r="Z84" s="24" t="s">
        <v>110</v>
      </c>
      <c r="AA84" s="24" t="s">
        <v>111</v>
      </c>
      <c r="AB84" s="25" t="s">
        <v>112</v>
      </c>
      <c r="AC84" s="24" t="s">
        <v>244</v>
      </c>
      <c r="AD84" s="25" t="s">
        <v>245</v>
      </c>
      <c r="AE84" s="24" t="s">
        <v>246</v>
      </c>
      <c r="AF84" s="25" t="s">
        <v>247</v>
      </c>
      <c r="AG84" s="24" t="s">
        <v>248</v>
      </c>
    </row>
    <row r="85" spans="1:39" ht="16.5" thickBot="1" x14ac:dyDescent="0.3">
      <c r="R85" s="26"/>
      <c r="S85" s="27">
        <f>SUMPRODUCT(S67:S82,$AH$67:$AH$82)/8</f>
        <v>2.9783443018428795</v>
      </c>
      <c r="T85" s="27">
        <f t="shared" ref="T85:AG85" si="58">SUMPRODUCT(T67:T82,$AH$67:$AH$82)/8</f>
        <v>7.5764626510917266</v>
      </c>
      <c r="U85" s="27">
        <f t="shared" si="58"/>
        <v>-2.2953276215420204</v>
      </c>
      <c r="V85" s="27">
        <f t="shared" si="58"/>
        <v>1.4410351811521878</v>
      </c>
      <c r="W85" s="27">
        <f t="shared" si="58"/>
        <v>7.4852399579443656</v>
      </c>
      <c r="X85" s="27">
        <f t="shared" si="58"/>
        <v>-0.98774011557397845</v>
      </c>
      <c r="Y85" s="27">
        <f t="shared" si="58"/>
        <v>4.4965610861247036</v>
      </c>
      <c r="Z85" s="27">
        <f t="shared" si="58"/>
        <v>-6.434317599148538</v>
      </c>
      <c r="AA85" s="27">
        <f t="shared" si="58"/>
        <v>3.1574451816076907</v>
      </c>
      <c r="AB85" s="27">
        <f t="shared" si="58"/>
        <v>-6.1796009301131409</v>
      </c>
      <c r="AC85" s="27">
        <f t="shared" si="58"/>
        <v>-0.48475951776919457</v>
      </c>
      <c r="AD85" s="27">
        <f t="shared" si="58"/>
        <v>1.5841745840872017</v>
      </c>
      <c r="AE85" s="27">
        <f t="shared" si="58"/>
        <v>-2.1594677989026403</v>
      </c>
      <c r="AF85" s="27">
        <f t="shared" si="58"/>
        <v>0.13737943731159163</v>
      </c>
      <c r="AG85" s="27">
        <f t="shared" si="58"/>
        <v>-5.9989579866179623</v>
      </c>
    </row>
    <row r="86" spans="1:39" ht="21" thickBot="1" x14ac:dyDescent="0.3">
      <c r="A86" s="160" t="s">
        <v>46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2"/>
      <c r="R86" s="29" t="s">
        <v>92</v>
      </c>
      <c r="S86" s="30" t="s">
        <v>93</v>
      </c>
      <c r="T86" s="30" t="s">
        <v>94</v>
      </c>
      <c r="U86" s="30" t="s">
        <v>95</v>
      </c>
      <c r="V86" s="30" t="s">
        <v>96</v>
      </c>
      <c r="W86" s="30" t="s">
        <v>97</v>
      </c>
      <c r="X86" s="30" t="s">
        <v>98</v>
      </c>
      <c r="Y86" s="30" t="s">
        <v>99</v>
      </c>
      <c r="Z86" s="30" t="s">
        <v>100</v>
      </c>
      <c r="AA86" s="30" t="s">
        <v>101</v>
      </c>
      <c r="AB86" s="31" t="s">
        <v>388</v>
      </c>
      <c r="AC86" s="30" t="s">
        <v>389</v>
      </c>
      <c r="AD86" s="31" t="s">
        <v>390</v>
      </c>
      <c r="AE86" s="30" t="s">
        <v>391</v>
      </c>
      <c r="AF86" s="31" t="s">
        <v>392</v>
      </c>
      <c r="AG86" s="30" t="s">
        <v>393</v>
      </c>
    </row>
    <row r="87" spans="1:39" ht="16.5" thickBot="1" x14ac:dyDescent="0.3">
      <c r="A87" s="23"/>
      <c r="B87" s="24" t="s">
        <v>103</v>
      </c>
      <c r="C87" s="24" t="s">
        <v>104</v>
      </c>
      <c r="D87" s="24" t="s">
        <v>105</v>
      </c>
      <c r="E87" s="24" t="s">
        <v>106</v>
      </c>
      <c r="F87" s="24" t="s">
        <v>107</v>
      </c>
      <c r="G87" s="24" t="s">
        <v>108</v>
      </c>
      <c r="H87" s="24" t="s">
        <v>109</v>
      </c>
      <c r="I87" s="24" t="s">
        <v>110</v>
      </c>
      <c r="J87" s="24" t="s">
        <v>111</v>
      </c>
      <c r="K87" s="25" t="s">
        <v>112</v>
      </c>
      <c r="R87" s="26">
        <f>AVERAGE(AH67:AH82)</f>
        <v>6.449272418536494</v>
      </c>
      <c r="S87" s="27">
        <f t="shared" ref="S87:AG87" si="59">S85/2</f>
        <v>1.4891721509214397</v>
      </c>
      <c r="T87" s="27">
        <f t="shared" si="59"/>
        <v>3.7882313255458633</v>
      </c>
      <c r="U87" s="27">
        <f t="shared" si="59"/>
        <v>-1.1476638107710102</v>
      </c>
      <c r="V87" s="27">
        <f t="shared" si="59"/>
        <v>0.72051759057609388</v>
      </c>
      <c r="W87" s="27">
        <f t="shared" si="59"/>
        <v>3.7426199789721828</v>
      </c>
      <c r="X87" s="27">
        <f t="shared" si="59"/>
        <v>-0.49387005778698922</v>
      </c>
      <c r="Y87" s="27">
        <f t="shared" si="59"/>
        <v>2.2482805430623518</v>
      </c>
      <c r="Z87" s="27">
        <f t="shared" si="59"/>
        <v>-3.217158799574269</v>
      </c>
      <c r="AA87" s="27">
        <f t="shared" si="59"/>
        <v>1.5787225908038454</v>
      </c>
      <c r="AB87" s="27">
        <f t="shared" si="59"/>
        <v>-3.0898004650565705</v>
      </c>
      <c r="AC87" s="27">
        <f t="shared" si="59"/>
        <v>-0.24237975888459729</v>
      </c>
      <c r="AD87" s="27">
        <f t="shared" si="59"/>
        <v>0.79208729204360084</v>
      </c>
      <c r="AE87" s="27">
        <f t="shared" si="59"/>
        <v>-1.0797338994513201</v>
      </c>
      <c r="AF87" s="27">
        <f t="shared" si="59"/>
        <v>6.8689718655795817E-2</v>
      </c>
      <c r="AG87" s="27">
        <f t="shared" si="59"/>
        <v>-2.9994789933089812</v>
      </c>
    </row>
    <row r="88" spans="1:39" ht="16.5" thickBot="1" x14ac:dyDescent="0.3">
      <c r="A88" s="26"/>
      <c r="B88" s="27">
        <f>SUMPRODUCT(B69:B84,$L$69:$L$84)/8</f>
        <v>5.1634132609253989</v>
      </c>
      <c r="C88" s="27">
        <f>SUMPRODUCT(C69:C84,$L$69:$L$84)/8</f>
        <v>8.0283338580530383</v>
      </c>
      <c r="D88" s="27">
        <f t="shared" ref="D88:K88" si="60">SUMPRODUCT(D69:D84,$L$69:$L$84)/8</f>
        <v>-3.9046644456128949</v>
      </c>
      <c r="E88" s="27">
        <f t="shared" si="60"/>
        <v>6.0046207049365847</v>
      </c>
      <c r="F88" s="27">
        <f t="shared" si="60"/>
        <v>-4.2797869595714246</v>
      </c>
      <c r="G88" s="27">
        <f t="shared" si="60"/>
        <v>8.8484347444410414</v>
      </c>
      <c r="H88" s="27">
        <f t="shared" si="60"/>
        <v>-11.175145023916301</v>
      </c>
      <c r="I88" s="27">
        <f t="shared" si="60"/>
        <v>3.505968400020552</v>
      </c>
      <c r="J88" s="27">
        <f t="shared" si="60"/>
        <v>0.94557012742281255</v>
      </c>
      <c r="K88" s="28">
        <f t="shared" si="60"/>
        <v>-1.2688340874221198</v>
      </c>
    </row>
    <row r="89" spans="1:39" x14ac:dyDescent="0.25">
      <c r="A89" s="29" t="s">
        <v>92</v>
      </c>
      <c r="B89" s="30" t="s">
        <v>93</v>
      </c>
      <c r="C89" s="30" t="s">
        <v>94</v>
      </c>
      <c r="D89" s="30" t="s">
        <v>95</v>
      </c>
      <c r="E89" s="30" t="s">
        <v>96</v>
      </c>
      <c r="F89" s="30" t="s">
        <v>97</v>
      </c>
      <c r="G89" s="30" t="s">
        <v>98</v>
      </c>
      <c r="H89" s="30" t="s">
        <v>99</v>
      </c>
      <c r="I89" s="30" t="s">
        <v>100</v>
      </c>
      <c r="J89" s="30" t="s">
        <v>101</v>
      </c>
      <c r="K89" s="31" t="s">
        <v>102</v>
      </c>
    </row>
    <row r="90" spans="1:39" ht="16.5" thickBot="1" x14ac:dyDescent="0.3">
      <c r="A90" s="26">
        <f>SUM(J3:J18)/16</f>
        <v>5.9910543475853233</v>
      </c>
      <c r="B90" s="27">
        <f>B88/2</f>
        <v>2.5817066304626994</v>
      </c>
      <c r="C90" s="27">
        <f t="shared" ref="C90:K90" si="61">C88/2</f>
        <v>4.0141669290265192</v>
      </c>
      <c r="D90" s="27">
        <f t="shared" si="61"/>
        <v>-1.9523322228064475</v>
      </c>
      <c r="E90" s="27">
        <f t="shared" si="61"/>
        <v>3.0023103524682924</v>
      </c>
      <c r="F90" s="27">
        <f t="shared" si="61"/>
        <v>-2.1398934797857123</v>
      </c>
      <c r="G90" s="27">
        <f t="shared" si="61"/>
        <v>4.4242173722205207</v>
      </c>
      <c r="H90" s="27">
        <f t="shared" si="61"/>
        <v>-5.5875725119581503</v>
      </c>
      <c r="I90" s="27">
        <f t="shared" si="61"/>
        <v>1.752984200010276</v>
      </c>
      <c r="J90" s="27">
        <f t="shared" si="61"/>
        <v>0.47278506371140627</v>
      </c>
      <c r="K90" s="28">
        <f t="shared" si="61"/>
        <v>-0.63441704371105989</v>
      </c>
      <c r="X90" s="18" t="s">
        <v>249</v>
      </c>
      <c r="Y90" s="18">
        <f>SUM(X91:AB91)/5</f>
        <v>8.682854422487317</v>
      </c>
      <c r="Z90" s="18" t="s">
        <v>250</v>
      </c>
      <c r="AA90" s="18">
        <f>SQRT(Y90)</f>
        <v>2.9466683597730023</v>
      </c>
    </row>
    <row r="91" spans="1:39" x14ac:dyDescent="0.25">
      <c r="X91" s="107">
        <f>AC85^2</f>
        <v>0.23499179006782206</v>
      </c>
      <c r="Y91" s="107">
        <f t="shared" ref="Y91:AB91" si="62">AD85^2</f>
        <v>2.5096091128678584</v>
      </c>
      <c r="Z91" s="107">
        <f t="shared" si="62"/>
        <v>4.6633011744974144</v>
      </c>
      <c r="AA91" s="107">
        <f t="shared" si="62"/>
        <v>1.8873109796049534E-2</v>
      </c>
      <c r="AB91" s="107">
        <f t="shared" si="62"/>
        <v>35.987496925207438</v>
      </c>
    </row>
    <row r="92" spans="1:39" x14ac:dyDescent="0.25">
      <c r="X92" s="18" t="s">
        <v>373</v>
      </c>
      <c r="Y92" s="18">
        <f>_xlfn.T.INV(0.995,5)</f>
        <v>4.0321429835552269</v>
      </c>
    </row>
    <row r="93" spans="1:39" x14ac:dyDescent="0.25">
      <c r="X93" s="18" t="s">
        <v>251</v>
      </c>
      <c r="Y93" s="18">
        <f>Y92*AA90</f>
        <v>11.8813881517229</v>
      </c>
    </row>
    <row r="94" spans="1:39" ht="16.5" thickBot="1" x14ac:dyDescent="0.3">
      <c r="A94" s="18" t="s">
        <v>113</v>
      </c>
      <c r="B94" s="18">
        <v>0.99999999999999978</v>
      </c>
    </row>
    <row r="95" spans="1:39" x14ac:dyDescent="0.25">
      <c r="A95" s="18" t="s">
        <v>114</v>
      </c>
      <c r="B95" s="18">
        <v>1</v>
      </c>
      <c r="F95" s="35" t="s">
        <v>6</v>
      </c>
      <c r="G95" s="35" t="s">
        <v>7</v>
      </c>
      <c r="H95" s="35" t="s">
        <v>8</v>
      </c>
      <c r="I95" s="35" t="s">
        <v>9</v>
      </c>
      <c r="J95" s="35" t="s">
        <v>45</v>
      </c>
      <c r="K95" s="35" t="s">
        <v>72</v>
      </c>
      <c r="L95" s="35" t="s">
        <v>73</v>
      </c>
      <c r="M95" s="35" t="s">
        <v>75</v>
      </c>
      <c r="N95" s="35" t="s">
        <v>76</v>
      </c>
      <c r="O95" s="35" t="s">
        <v>77</v>
      </c>
      <c r="P95" s="35" t="s">
        <v>137</v>
      </c>
      <c r="Q95" s="35" t="s">
        <v>239</v>
      </c>
      <c r="R95" s="35" t="s">
        <v>240</v>
      </c>
      <c r="S95" s="35" t="s">
        <v>241</v>
      </c>
      <c r="T95" s="35" t="s">
        <v>242</v>
      </c>
      <c r="U95" s="18" t="s">
        <v>252</v>
      </c>
      <c r="Y95" s="18" t="s">
        <v>360</v>
      </c>
      <c r="Z95" s="18" t="s">
        <v>361</v>
      </c>
      <c r="AA95" s="18" t="s">
        <v>199</v>
      </c>
      <c r="AB95" s="18" t="s">
        <v>362</v>
      </c>
      <c r="AC95" s="18" t="s">
        <v>363</v>
      </c>
      <c r="AD95" s="18" t="s">
        <v>364</v>
      </c>
      <c r="AE95" s="18" t="s">
        <v>365</v>
      </c>
      <c r="AF95" s="18" t="s">
        <v>366</v>
      </c>
      <c r="AG95" s="18" t="s">
        <v>367</v>
      </c>
      <c r="AH95" s="18" t="s">
        <v>368</v>
      </c>
      <c r="AI95" s="18" t="s">
        <v>369</v>
      </c>
      <c r="AJ95" s="18" t="s">
        <v>370</v>
      </c>
      <c r="AK95" s="18" t="s">
        <v>201</v>
      </c>
      <c r="AL95" s="18" t="s">
        <v>371</v>
      </c>
      <c r="AM95" s="18" t="s">
        <v>372</v>
      </c>
    </row>
    <row r="96" spans="1:39" x14ac:dyDescent="0.25">
      <c r="A96" s="18" t="s">
        <v>115</v>
      </c>
      <c r="B96" s="18">
        <v>-1</v>
      </c>
      <c r="F96" s="2">
        <v>-1</v>
      </c>
      <c r="G96" s="2">
        <v>-1</v>
      </c>
      <c r="H96" s="2">
        <v>-1</v>
      </c>
      <c r="I96" s="2">
        <v>-1</v>
      </c>
      <c r="J96" s="2">
        <f>F96*G96</f>
        <v>1</v>
      </c>
      <c r="K96" s="2">
        <f>F96*H96</f>
        <v>1</v>
      </c>
      <c r="L96" s="2">
        <f>F96*I96</f>
        <v>1</v>
      </c>
      <c r="M96" s="2">
        <f>G96*H96</f>
        <v>1</v>
      </c>
      <c r="N96" s="2">
        <f>G96*I96</f>
        <v>1</v>
      </c>
      <c r="O96" s="2">
        <f>H96*I96</f>
        <v>1</v>
      </c>
      <c r="P96" s="2">
        <f>F96*G96*H96</f>
        <v>-1</v>
      </c>
      <c r="Q96" s="2">
        <f>F96*G96*I96</f>
        <v>-1</v>
      </c>
      <c r="R96" s="2">
        <f>F96*H96*I96</f>
        <v>-1</v>
      </c>
      <c r="S96" s="2">
        <f>G96*H96*I96</f>
        <v>-1</v>
      </c>
      <c r="T96" s="2">
        <f>F96*G96*H96*I96</f>
        <v>1</v>
      </c>
      <c r="U96" s="92">
        <v>-1.44</v>
      </c>
      <c r="X96" s="18" t="s">
        <v>348</v>
      </c>
      <c r="Y96" s="142">
        <f>S85</f>
        <v>2.9783443018428795</v>
      </c>
      <c r="Z96" s="142">
        <f t="shared" ref="Z96:AM96" si="63">T85</f>
        <v>7.5764626510917266</v>
      </c>
      <c r="AA96" s="142">
        <f t="shared" si="63"/>
        <v>-2.2953276215420204</v>
      </c>
      <c r="AB96" s="142">
        <f t="shared" si="63"/>
        <v>1.4410351811521878</v>
      </c>
      <c r="AC96" s="142">
        <f t="shared" si="63"/>
        <v>7.4852399579443656</v>
      </c>
      <c r="AD96" s="142">
        <f t="shared" si="63"/>
        <v>-0.98774011557397845</v>
      </c>
      <c r="AE96" s="142">
        <f t="shared" si="63"/>
        <v>4.4965610861247036</v>
      </c>
      <c r="AF96" s="142">
        <f t="shared" si="63"/>
        <v>-6.434317599148538</v>
      </c>
      <c r="AG96" s="142">
        <f t="shared" si="63"/>
        <v>3.1574451816076907</v>
      </c>
      <c r="AH96" s="142">
        <f t="shared" si="63"/>
        <v>-6.1796009301131409</v>
      </c>
      <c r="AI96" s="142">
        <f t="shared" si="63"/>
        <v>-0.48475951776919457</v>
      </c>
      <c r="AJ96" s="142">
        <f t="shared" si="63"/>
        <v>1.5841745840872017</v>
      </c>
      <c r="AK96" s="142">
        <f t="shared" si="63"/>
        <v>-2.1594677989026403</v>
      </c>
      <c r="AL96" s="142">
        <f t="shared" si="63"/>
        <v>0.13737943731159163</v>
      </c>
      <c r="AM96" s="142">
        <f t="shared" si="63"/>
        <v>-5.9989579866179623</v>
      </c>
    </row>
    <row r="97" spans="1:39" x14ac:dyDescent="0.25">
      <c r="A97" s="18" t="s">
        <v>116</v>
      </c>
      <c r="B97" s="18">
        <v>1</v>
      </c>
      <c r="F97" s="2">
        <v>1</v>
      </c>
      <c r="G97" s="2">
        <v>-1</v>
      </c>
      <c r="H97" s="2">
        <v>-1</v>
      </c>
      <c r="I97" s="2">
        <v>-1</v>
      </c>
      <c r="J97" s="2">
        <f t="shared" ref="J97:J111" si="64">F97*G97</f>
        <v>-1</v>
      </c>
      <c r="K97" s="2">
        <f t="shared" ref="K97:K111" si="65">F97*H97</f>
        <v>-1</v>
      </c>
      <c r="L97" s="2">
        <f t="shared" ref="L97:L111" si="66">F97*I97</f>
        <v>-1</v>
      </c>
      <c r="M97" s="2">
        <f t="shared" ref="M97:M99" si="67">G97*H97</f>
        <v>1</v>
      </c>
      <c r="N97" s="2">
        <f t="shared" ref="N97:N111" si="68">G97*I97</f>
        <v>1</v>
      </c>
      <c r="O97" s="2">
        <f t="shared" ref="O97:O111" si="69">H97*I97</f>
        <v>1</v>
      </c>
      <c r="P97" s="2">
        <f t="shared" ref="P97:P111" si="70">F97*G97*H97</f>
        <v>1</v>
      </c>
      <c r="Q97" s="2">
        <f t="shared" ref="Q97:Q111" si="71">F97*G97*I97</f>
        <v>1</v>
      </c>
      <c r="R97" s="2">
        <f t="shared" ref="R97:R111" si="72">F97*H97*I97</f>
        <v>1</v>
      </c>
      <c r="S97" s="2">
        <f t="shared" ref="S97:S111" si="73">G97*H97*I97</f>
        <v>-1</v>
      </c>
      <c r="T97" s="2">
        <f t="shared" ref="T97:T111" si="74">F97*G97*H97*I97</f>
        <v>-1</v>
      </c>
      <c r="U97" s="92">
        <v>-1.79</v>
      </c>
      <c r="X97" s="18" t="s">
        <v>349</v>
      </c>
      <c r="Y97" s="142">
        <f>Y96+Y93</f>
        <v>14.85973245356578</v>
      </c>
      <c r="Z97" s="142">
        <f t="shared" ref="Z97:AM97" si="75">Z96+Z93</f>
        <v>7.5764626510917266</v>
      </c>
      <c r="AA97" s="142">
        <f t="shared" si="75"/>
        <v>-2.2953276215420204</v>
      </c>
      <c r="AB97" s="142">
        <f t="shared" si="75"/>
        <v>1.4410351811521878</v>
      </c>
      <c r="AC97" s="142">
        <f t="shared" si="75"/>
        <v>7.4852399579443656</v>
      </c>
      <c r="AD97" s="142">
        <f t="shared" si="75"/>
        <v>-0.98774011557397845</v>
      </c>
      <c r="AE97" s="142">
        <f t="shared" si="75"/>
        <v>4.4965610861247036</v>
      </c>
      <c r="AF97" s="142">
        <f t="shared" si="75"/>
        <v>-6.434317599148538</v>
      </c>
      <c r="AG97" s="142">
        <f t="shared" si="75"/>
        <v>3.1574451816076907</v>
      </c>
      <c r="AH97" s="142">
        <f t="shared" si="75"/>
        <v>-6.1796009301131409</v>
      </c>
      <c r="AI97" s="142">
        <f t="shared" si="75"/>
        <v>-0.48475951776919457</v>
      </c>
      <c r="AJ97" s="142">
        <f t="shared" si="75"/>
        <v>1.5841745840872017</v>
      </c>
      <c r="AK97" s="142">
        <f t="shared" si="75"/>
        <v>-2.1594677989026403</v>
      </c>
      <c r="AL97" s="142">
        <f t="shared" si="75"/>
        <v>0.13737943731159163</v>
      </c>
      <c r="AM97" s="142">
        <f t="shared" si="75"/>
        <v>-5.9989579866179623</v>
      </c>
    </row>
    <row r="98" spans="1:39" x14ac:dyDescent="0.25">
      <c r="A98" s="18" t="s">
        <v>117</v>
      </c>
      <c r="B98" s="18">
        <f>A90+B90*B94+C90*B95+D90*B96+E90*B97+F90*B94*B95+G90*B94*B96+H90*B94*B97+I90*B95*B96+J90*B95*B97+K90*B96*B97</f>
        <v>4.7441050257970874</v>
      </c>
      <c r="F98" s="2">
        <v>-1</v>
      </c>
      <c r="G98" s="2">
        <v>1</v>
      </c>
      <c r="H98" s="2">
        <v>-1</v>
      </c>
      <c r="I98" s="2">
        <v>-1</v>
      </c>
      <c r="J98" s="2">
        <f t="shared" si="64"/>
        <v>-1</v>
      </c>
      <c r="K98" s="2">
        <f t="shared" si="65"/>
        <v>1</v>
      </c>
      <c r="L98" s="2">
        <f t="shared" si="66"/>
        <v>1</v>
      </c>
      <c r="M98" s="2">
        <f t="shared" si="67"/>
        <v>-1</v>
      </c>
      <c r="N98" s="2">
        <f t="shared" si="68"/>
        <v>-1</v>
      </c>
      <c r="O98" s="2">
        <f t="shared" si="69"/>
        <v>1</v>
      </c>
      <c r="P98" s="2">
        <f t="shared" si="70"/>
        <v>1</v>
      </c>
      <c r="Q98" s="2">
        <f t="shared" si="71"/>
        <v>1</v>
      </c>
      <c r="R98" s="2">
        <f t="shared" si="72"/>
        <v>-1</v>
      </c>
      <c r="S98" s="2">
        <f t="shared" si="73"/>
        <v>1</v>
      </c>
      <c r="T98" s="2">
        <f t="shared" si="74"/>
        <v>-1</v>
      </c>
      <c r="U98" s="92">
        <v>0.39</v>
      </c>
      <c r="X98" s="18" t="s">
        <v>350</v>
      </c>
      <c r="Y98" s="142">
        <f>Y96-Y93</f>
        <v>-8.9030438498800208</v>
      </c>
      <c r="Z98" s="142">
        <f t="shared" ref="Z98:AM98" si="76">Z96-Z93</f>
        <v>7.5764626510917266</v>
      </c>
      <c r="AA98" s="142">
        <f t="shared" si="76"/>
        <v>-2.2953276215420204</v>
      </c>
      <c r="AB98" s="142">
        <f t="shared" si="76"/>
        <v>1.4410351811521878</v>
      </c>
      <c r="AC98" s="142">
        <f t="shared" si="76"/>
        <v>7.4852399579443656</v>
      </c>
      <c r="AD98" s="142">
        <f t="shared" si="76"/>
        <v>-0.98774011557397845</v>
      </c>
      <c r="AE98" s="142">
        <f t="shared" si="76"/>
        <v>4.4965610861247036</v>
      </c>
      <c r="AF98" s="142">
        <f t="shared" si="76"/>
        <v>-6.434317599148538</v>
      </c>
      <c r="AG98" s="142">
        <f t="shared" si="76"/>
        <v>3.1574451816076907</v>
      </c>
      <c r="AH98" s="142">
        <f t="shared" si="76"/>
        <v>-6.1796009301131409</v>
      </c>
      <c r="AI98" s="142">
        <f t="shared" si="76"/>
        <v>-0.48475951776919457</v>
      </c>
      <c r="AJ98" s="142">
        <f t="shared" si="76"/>
        <v>1.5841745840872017</v>
      </c>
      <c r="AK98" s="142">
        <f t="shared" si="76"/>
        <v>-2.1594677989026403</v>
      </c>
      <c r="AL98" s="142">
        <f t="shared" si="76"/>
        <v>0.13737943731159163</v>
      </c>
      <c r="AM98" s="142">
        <f t="shared" si="76"/>
        <v>-5.9989579866179623</v>
      </c>
    </row>
    <row r="99" spans="1:39" x14ac:dyDescent="0.25">
      <c r="F99" s="2">
        <v>1</v>
      </c>
      <c r="G99" s="2">
        <v>1</v>
      </c>
      <c r="H99" s="2">
        <v>-1</v>
      </c>
      <c r="I99" s="2">
        <v>-1</v>
      </c>
      <c r="J99" s="2">
        <f t="shared" si="64"/>
        <v>1</v>
      </c>
      <c r="K99" s="2">
        <f t="shared" si="65"/>
        <v>-1</v>
      </c>
      <c r="L99" s="2">
        <f t="shared" si="66"/>
        <v>-1</v>
      </c>
      <c r="M99" s="2">
        <f t="shared" si="67"/>
        <v>-1</v>
      </c>
      <c r="N99" s="2">
        <f t="shared" si="68"/>
        <v>-1</v>
      </c>
      <c r="O99" s="2">
        <f t="shared" si="69"/>
        <v>1</v>
      </c>
      <c r="P99" s="2">
        <f t="shared" si="70"/>
        <v>-1</v>
      </c>
      <c r="Q99" s="2">
        <f t="shared" si="71"/>
        <v>-1</v>
      </c>
      <c r="R99" s="2">
        <f t="shared" si="72"/>
        <v>1</v>
      </c>
      <c r="S99" s="2">
        <f t="shared" si="73"/>
        <v>1</v>
      </c>
      <c r="T99" s="2">
        <f t="shared" si="74"/>
        <v>1</v>
      </c>
      <c r="U99" s="92">
        <v>-0.5</v>
      </c>
      <c r="X99" s="18" t="s">
        <v>351</v>
      </c>
      <c r="Y99" s="18">
        <f>(Y96-0)/$AA$90</f>
        <v>1.0107497479194834</v>
      </c>
      <c r="Z99" s="18">
        <f t="shared" ref="Z99:AM99" si="77">(Z96-0)/$AA$90</f>
        <v>2.5711962549037524</v>
      </c>
      <c r="AA99" s="18">
        <f t="shared" si="77"/>
        <v>-0.7789568900515299</v>
      </c>
      <c r="AB99" s="18">
        <f t="shared" si="77"/>
        <v>0.48903880763263036</v>
      </c>
      <c r="AC99" s="18">
        <f t="shared" si="77"/>
        <v>2.5402383451529622</v>
      </c>
      <c r="AD99" s="18">
        <f t="shared" si="77"/>
        <v>-0.33520572897116574</v>
      </c>
      <c r="AE99" s="18">
        <f t="shared" si="77"/>
        <v>1.5259813922429661</v>
      </c>
      <c r="AF99" s="18">
        <f t="shared" si="77"/>
        <v>-2.1835906907570037</v>
      </c>
      <c r="AG99" s="18">
        <f t="shared" si="77"/>
        <v>1.0715305545449729</v>
      </c>
      <c r="AH99" s="18">
        <f t="shared" si="77"/>
        <v>-2.0971484319291327</v>
      </c>
      <c r="AI99" s="18">
        <f t="shared" si="77"/>
        <v>-0.16451105403885294</v>
      </c>
      <c r="AJ99" s="18">
        <f t="shared" si="77"/>
        <v>0.53761550017431858</v>
      </c>
      <c r="AK99" s="18">
        <f t="shared" si="77"/>
        <v>-0.73285064189205051</v>
      </c>
      <c r="AL99" s="18">
        <f t="shared" si="77"/>
        <v>4.6621954199886517E-2</v>
      </c>
      <c r="AM99" s="18">
        <f t="shared" si="77"/>
        <v>-2.0358443008089631</v>
      </c>
    </row>
    <row r="100" spans="1:39" x14ac:dyDescent="0.25">
      <c r="F100" s="2">
        <v>-1</v>
      </c>
      <c r="G100" s="2">
        <v>-1</v>
      </c>
      <c r="H100" s="2">
        <v>1</v>
      </c>
      <c r="I100" s="2">
        <v>-1</v>
      </c>
      <c r="J100" s="2">
        <f t="shared" si="64"/>
        <v>1</v>
      </c>
      <c r="K100" s="2">
        <f t="shared" si="65"/>
        <v>-1</v>
      </c>
      <c r="L100" s="2">
        <f t="shared" si="66"/>
        <v>1</v>
      </c>
      <c r="M100" s="2">
        <f>G100*H100</f>
        <v>-1</v>
      </c>
      <c r="N100" s="2">
        <f t="shared" si="68"/>
        <v>1</v>
      </c>
      <c r="O100" s="2">
        <f t="shared" si="69"/>
        <v>-1</v>
      </c>
      <c r="P100" s="2">
        <f t="shared" si="70"/>
        <v>1</v>
      </c>
      <c r="Q100" s="2">
        <f t="shared" si="71"/>
        <v>-1</v>
      </c>
      <c r="R100" s="2">
        <f t="shared" si="72"/>
        <v>1</v>
      </c>
      <c r="S100" s="2">
        <f t="shared" si="73"/>
        <v>1</v>
      </c>
      <c r="T100" s="2">
        <f t="shared" si="74"/>
        <v>-1</v>
      </c>
      <c r="U100" s="92">
        <v>-0.2</v>
      </c>
      <c r="X100" s="18" t="s">
        <v>359</v>
      </c>
      <c r="Y100" s="18">
        <f>IF(Y99&gt;0,(1-_xlfn.T.DIST(Y99,5,1))*2,_xlfn.T.DIST(Y99,5,1))</f>
        <v>0.35851981756311391</v>
      </c>
      <c r="Z100" s="18">
        <f t="shared" ref="Z100:AM100" si="78">IF(Z99&gt;0,(1-_xlfn.T.DIST(Z99,5,1))*2,_xlfn.T.DIST(Z99,5,1))</f>
        <v>4.9962734970466105E-2</v>
      </c>
      <c r="AA100" s="18">
        <f t="shared" si="78"/>
        <v>0.23562248360273091</v>
      </c>
      <c r="AB100" s="18">
        <f t="shared" si="78"/>
        <v>0.64551003866192302</v>
      </c>
      <c r="AC100" s="18">
        <f t="shared" si="78"/>
        <v>5.187874765254108E-2</v>
      </c>
      <c r="AD100" s="18">
        <f t="shared" si="78"/>
        <v>0.37553811229110312</v>
      </c>
      <c r="AE100" s="18">
        <f t="shared" si="78"/>
        <v>0.18753686180295714</v>
      </c>
      <c r="AF100" s="18">
        <f t="shared" si="78"/>
        <v>4.037324823649209E-2</v>
      </c>
      <c r="AG100" s="18">
        <f t="shared" si="78"/>
        <v>0.3329040981786533</v>
      </c>
      <c r="AH100" s="18">
        <f t="shared" si="78"/>
        <v>4.5039325149701361E-2</v>
      </c>
      <c r="AI100" s="18">
        <f t="shared" si="78"/>
        <v>0.43788634703279528</v>
      </c>
      <c r="AJ100" s="18">
        <f t="shared" si="78"/>
        <v>0.61389835954118599</v>
      </c>
      <c r="AK100" s="18">
        <f t="shared" si="78"/>
        <v>0.24827291729133855</v>
      </c>
      <c r="AL100" s="18">
        <f t="shared" si="78"/>
        <v>0.96461936796422432</v>
      </c>
      <c r="AM100" s="18">
        <f t="shared" si="78"/>
        <v>4.869153186157759E-2</v>
      </c>
    </row>
    <row r="101" spans="1:39" x14ac:dyDescent="0.25">
      <c r="F101" s="2">
        <v>1</v>
      </c>
      <c r="G101" s="2">
        <v>-1</v>
      </c>
      <c r="H101" s="2">
        <v>1</v>
      </c>
      <c r="I101" s="2">
        <v>-1</v>
      </c>
      <c r="J101" s="2">
        <f t="shared" si="64"/>
        <v>-1</v>
      </c>
      <c r="K101" s="2">
        <f t="shared" si="65"/>
        <v>1</v>
      </c>
      <c r="L101" s="2">
        <f t="shared" si="66"/>
        <v>-1</v>
      </c>
      <c r="M101" s="2">
        <f t="shared" ref="M101:M111" si="79">G101*H101</f>
        <v>-1</v>
      </c>
      <c r="N101" s="2">
        <f t="shared" si="68"/>
        <v>1</v>
      </c>
      <c r="O101" s="2">
        <f t="shared" si="69"/>
        <v>-1</v>
      </c>
      <c r="P101" s="2">
        <f t="shared" si="70"/>
        <v>-1</v>
      </c>
      <c r="Q101" s="2">
        <f t="shared" si="71"/>
        <v>1</v>
      </c>
      <c r="R101" s="2">
        <f t="shared" si="72"/>
        <v>-1</v>
      </c>
      <c r="S101" s="2">
        <f t="shared" si="73"/>
        <v>1</v>
      </c>
      <c r="T101" s="2">
        <f t="shared" si="74"/>
        <v>1</v>
      </c>
      <c r="U101" s="92">
        <v>-0.79</v>
      </c>
    </row>
    <row r="102" spans="1:39" x14ac:dyDescent="0.25">
      <c r="F102" s="2">
        <v>-1</v>
      </c>
      <c r="G102" s="2">
        <v>1</v>
      </c>
      <c r="H102" s="2">
        <v>1</v>
      </c>
      <c r="I102" s="2">
        <v>-1</v>
      </c>
      <c r="J102" s="2">
        <f t="shared" si="64"/>
        <v>-1</v>
      </c>
      <c r="K102" s="2">
        <f t="shared" si="65"/>
        <v>-1</v>
      </c>
      <c r="L102" s="2">
        <f t="shared" si="66"/>
        <v>1</v>
      </c>
      <c r="M102" s="2">
        <f t="shared" si="79"/>
        <v>1</v>
      </c>
      <c r="N102" s="2">
        <f t="shared" si="68"/>
        <v>-1</v>
      </c>
      <c r="O102" s="2">
        <f t="shared" si="69"/>
        <v>-1</v>
      </c>
      <c r="P102" s="2">
        <f t="shared" si="70"/>
        <v>-1</v>
      </c>
      <c r="Q102" s="2">
        <f t="shared" si="71"/>
        <v>1</v>
      </c>
      <c r="R102" s="2">
        <f t="shared" si="72"/>
        <v>1</v>
      </c>
      <c r="S102" s="2">
        <f t="shared" si="73"/>
        <v>-1</v>
      </c>
      <c r="T102" s="2">
        <f t="shared" si="74"/>
        <v>1</v>
      </c>
      <c r="U102" s="92">
        <v>1.22</v>
      </c>
      <c r="X102" s="18" t="s">
        <v>375</v>
      </c>
    </row>
    <row r="103" spans="1:39" x14ac:dyDescent="0.25">
      <c r="F103" s="2">
        <v>1</v>
      </c>
      <c r="G103" s="2">
        <v>1</v>
      </c>
      <c r="H103" s="2">
        <v>1</v>
      </c>
      <c r="I103" s="2">
        <v>-1</v>
      </c>
      <c r="J103" s="2">
        <f t="shared" si="64"/>
        <v>1</v>
      </c>
      <c r="K103" s="2">
        <f t="shared" si="65"/>
        <v>1</v>
      </c>
      <c r="L103" s="2">
        <f t="shared" si="66"/>
        <v>-1</v>
      </c>
      <c r="M103" s="2">
        <f t="shared" si="79"/>
        <v>1</v>
      </c>
      <c r="N103" s="2">
        <f t="shared" si="68"/>
        <v>-1</v>
      </c>
      <c r="O103" s="2">
        <f t="shared" si="69"/>
        <v>-1</v>
      </c>
      <c r="P103" s="2">
        <f t="shared" si="70"/>
        <v>1</v>
      </c>
      <c r="Q103" s="2">
        <f t="shared" si="71"/>
        <v>-1</v>
      </c>
      <c r="R103" s="2">
        <f t="shared" si="72"/>
        <v>-1</v>
      </c>
      <c r="S103" s="2">
        <f t="shared" si="73"/>
        <v>-1</v>
      </c>
      <c r="T103" s="2">
        <f t="shared" si="74"/>
        <v>-1</v>
      </c>
      <c r="U103" s="92">
        <v>0.21</v>
      </c>
      <c r="X103" s="18" t="s">
        <v>327</v>
      </c>
      <c r="Y103" s="18" t="s">
        <v>311</v>
      </c>
      <c r="Z103" s="18" t="s">
        <v>259</v>
      </c>
      <c r="AA103" s="18" t="s">
        <v>295</v>
      </c>
      <c r="AB103" s="18" t="s">
        <v>311</v>
      </c>
      <c r="AC103" s="18" t="s">
        <v>295</v>
      </c>
    </row>
    <row r="104" spans="1:39" x14ac:dyDescent="0.25">
      <c r="F104" s="2">
        <v>-1</v>
      </c>
      <c r="G104" s="2">
        <v>-1</v>
      </c>
      <c r="H104" s="2">
        <v>-1</v>
      </c>
      <c r="I104" s="2">
        <v>1</v>
      </c>
      <c r="J104" s="2">
        <f t="shared" si="64"/>
        <v>1</v>
      </c>
      <c r="K104" s="2">
        <f t="shared" si="65"/>
        <v>1</v>
      </c>
      <c r="L104" s="2">
        <f t="shared" si="66"/>
        <v>-1</v>
      </c>
      <c r="M104" s="2">
        <f t="shared" si="79"/>
        <v>1</v>
      </c>
      <c r="N104" s="2">
        <f t="shared" si="68"/>
        <v>-1</v>
      </c>
      <c r="O104" s="2">
        <f t="shared" si="69"/>
        <v>-1</v>
      </c>
      <c r="P104" s="2">
        <f t="shared" si="70"/>
        <v>-1</v>
      </c>
      <c r="Q104" s="2">
        <f t="shared" si="71"/>
        <v>1</v>
      </c>
      <c r="R104" s="2">
        <f t="shared" si="72"/>
        <v>1</v>
      </c>
      <c r="S104" s="2">
        <f t="shared" si="73"/>
        <v>1</v>
      </c>
      <c r="T104" s="2">
        <f t="shared" si="74"/>
        <v>-1</v>
      </c>
      <c r="U104" s="92">
        <v>-0.4</v>
      </c>
      <c r="X104" s="18">
        <v>1</v>
      </c>
      <c r="Y104" s="18">
        <v>-6.434317599148538</v>
      </c>
      <c r="Z104" s="18">
        <f>(X104-0.5)/15</f>
        <v>3.3333333333333333E-2</v>
      </c>
      <c r="AA104" s="18">
        <f>_xlfn.NORM.INV(Z104,0,$AA$90)</f>
        <v>-5.4039382318833828</v>
      </c>
      <c r="AB104" s="18">
        <f>Y104</f>
        <v>-6.434317599148538</v>
      </c>
      <c r="AC104" s="18">
        <f>AA104</f>
        <v>-5.4039382318833828</v>
      </c>
    </row>
    <row r="105" spans="1:39" x14ac:dyDescent="0.25">
      <c r="F105" s="2">
        <v>1</v>
      </c>
      <c r="G105" s="2">
        <v>-1</v>
      </c>
      <c r="H105" s="2">
        <v>-1</v>
      </c>
      <c r="I105" s="2">
        <v>1</v>
      </c>
      <c r="J105" s="2">
        <f t="shared" si="64"/>
        <v>-1</v>
      </c>
      <c r="K105" s="2">
        <f t="shared" si="65"/>
        <v>-1</v>
      </c>
      <c r="L105" s="2">
        <f t="shared" si="66"/>
        <v>1</v>
      </c>
      <c r="M105" s="2">
        <f t="shared" si="79"/>
        <v>1</v>
      </c>
      <c r="N105" s="2">
        <f t="shared" si="68"/>
        <v>-1</v>
      </c>
      <c r="O105" s="2">
        <f t="shared" si="69"/>
        <v>-1</v>
      </c>
      <c r="P105" s="2">
        <f t="shared" si="70"/>
        <v>1</v>
      </c>
      <c r="Q105" s="2">
        <f t="shared" si="71"/>
        <v>-1</v>
      </c>
      <c r="R105" s="2">
        <f t="shared" si="72"/>
        <v>-1</v>
      </c>
      <c r="S105" s="2">
        <f t="shared" si="73"/>
        <v>1</v>
      </c>
      <c r="T105" s="2">
        <f t="shared" si="74"/>
        <v>1</v>
      </c>
      <c r="U105" s="92">
        <v>-0.63</v>
      </c>
      <c r="X105" s="18">
        <v>2</v>
      </c>
      <c r="Y105" s="18">
        <v>-6.1796009301131409</v>
      </c>
      <c r="Z105" s="18">
        <f t="shared" ref="Z105:Z118" si="80">(X105-0.5)/15</f>
        <v>0.1</v>
      </c>
      <c r="AA105" s="18">
        <f t="shared" ref="AA105:AA117" si="81">_xlfn.NORM.INV(Z105,0,$AA$90)</f>
        <v>-3.7763074496078315</v>
      </c>
      <c r="AB105" s="18">
        <f t="shared" ref="AB105:AB118" si="82">Y105</f>
        <v>-6.1796009301131409</v>
      </c>
      <c r="AC105" s="18">
        <f t="shared" ref="AC105:AC118" si="83">AA105</f>
        <v>-3.7763074496078315</v>
      </c>
    </row>
    <row r="106" spans="1:39" x14ac:dyDescent="0.25">
      <c r="F106" s="2">
        <v>-1</v>
      </c>
      <c r="G106" s="2">
        <v>1</v>
      </c>
      <c r="H106" s="2">
        <v>-1</v>
      </c>
      <c r="I106" s="2">
        <v>1</v>
      </c>
      <c r="J106" s="2">
        <f t="shared" si="64"/>
        <v>-1</v>
      </c>
      <c r="K106" s="2">
        <f t="shared" si="65"/>
        <v>1</v>
      </c>
      <c r="L106" s="2">
        <f t="shared" si="66"/>
        <v>-1</v>
      </c>
      <c r="M106" s="2">
        <f t="shared" si="79"/>
        <v>-1</v>
      </c>
      <c r="N106" s="2">
        <f t="shared" si="68"/>
        <v>1</v>
      </c>
      <c r="O106" s="2">
        <f t="shared" si="69"/>
        <v>-1</v>
      </c>
      <c r="P106" s="2">
        <f t="shared" si="70"/>
        <v>1</v>
      </c>
      <c r="Q106" s="2">
        <f t="shared" si="71"/>
        <v>-1</v>
      </c>
      <c r="R106" s="2">
        <f t="shared" si="72"/>
        <v>1</v>
      </c>
      <c r="S106" s="2">
        <f t="shared" si="73"/>
        <v>-1</v>
      </c>
      <c r="T106" s="2">
        <f t="shared" si="74"/>
        <v>1</v>
      </c>
      <c r="U106" s="92">
        <v>0.47</v>
      </c>
      <c r="X106" s="18">
        <v>3</v>
      </c>
      <c r="Y106" s="18">
        <v>-5.9989579866179623</v>
      </c>
      <c r="Z106" s="18">
        <f t="shared" si="80"/>
        <v>0.16666666666666666</v>
      </c>
      <c r="AA106" s="18">
        <f t="shared" si="81"/>
        <v>-2.8506705193939275</v>
      </c>
      <c r="AB106" s="18">
        <f t="shared" si="82"/>
        <v>-5.9989579866179623</v>
      </c>
      <c r="AC106" s="18">
        <f t="shared" si="83"/>
        <v>-2.8506705193939275</v>
      </c>
    </row>
    <row r="107" spans="1:39" x14ac:dyDescent="0.25">
      <c r="F107" s="2">
        <v>1</v>
      </c>
      <c r="G107" s="2">
        <v>1</v>
      </c>
      <c r="H107" s="2">
        <v>-1</v>
      </c>
      <c r="I107" s="2">
        <v>1</v>
      </c>
      <c r="J107" s="2">
        <f t="shared" si="64"/>
        <v>1</v>
      </c>
      <c r="K107" s="2">
        <f t="shared" si="65"/>
        <v>-1</v>
      </c>
      <c r="L107" s="2">
        <f t="shared" si="66"/>
        <v>1</v>
      </c>
      <c r="M107" s="2">
        <f t="shared" si="79"/>
        <v>-1</v>
      </c>
      <c r="N107" s="2">
        <f t="shared" si="68"/>
        <v>1</v>
      </c>
      <c r="O107" s="2">
        <f t="shared" si="69"/>
        <v>-1</v>
      </c>
      <c r="P107" s="2">
        <f t="shared" si="70"/>
        <v>-1</v>
      </c>
      <c r="Q107" s="2">
        <f t="shared" si="71"/>
        <v>1</v>
      </c>
      <c r="R107" s="2">
        <f t="shared" si="72"/>
        <v>-1</v>
      </c>
      <c r="S107" s="2">
        <f t="shared" si="73"/>
        <v>-1</v>
      </c>
      <c r="T107" s="2">
        <f t="shared" si="74"/>
        <v>-1</v>
      </c>
      <c r="U107" s="92">
        <v>-0.01</v>
      </c>
      <c r="X107" s="18">
        <v>4</v>
      </c>
      <c r="Y107" s="18">
        <v>-2.2953276215420204</v>
      </c>
      <c r="Z107" s="18">
        <f t="shared" si="80"/>
        <v>0.23333333333333334</v>
      </c>
      <c r="AA107" s="18">
        <f t="shared" si="81"/>
        <v>-2.1449190628991843</v>
      </c>
      <c r="AB107" s="18">
        <f t="shared" si="82"/>
        <v>-2.2953276215420204</v>
      </c>
      <c r="AC107" s="18">
        <f t="shared" si="83"/>
        <v>-2.1449190628991843</v>
      </c>
    </row>
    <row r="108" spans="1:39" x14ac:dyDescent="0.25">
      <c r="F108" s="2">
        <v>-1</v>
      </c>
      <c r="G108" s="2">
        <v>-1</v>
      </c>
      <c r="H108" s="2">
        <v>1</v>
      </c>
      <c r="I108" s="2">
        <v>1</v>
      </c>
      <c r="J108" s="2">
        <f t="shared" si="64"/>
        <v>1</v>
      </c>
      <c r="K108" s="2">
        <f t="shared" si="65"/>
        <v>-1</v>
      </c>
      <c r="L108" s="2">
        <f t="shared" si="66"/>
        <v>-1</v>
      </c>
      <c r="M108" s="2">
        <f t="shared" si="79"/>
        <v>-1</v>
      </c>
      <c r="N108" s="2">
        <f t="shared" si="68"/>
        <v>-1</v>
      </c>
      <c r="O108" s="2">
        <f t="shared" si="69"/>
        <v>1</v>
      </c>
      <c r="P108" s="2">
        <f t="shared" si="70"/>
        <v>1</v>
      </c>
      <c r="Q108" s="2">
        <f t="shared" si="71"/>
        <v>1</v>
      </c>
      <c r="R108" s="2">
        <f t="shared" si="72"/>
        <v>-1</v>
      </c>
      <c r="S108" s="2">
        <f t="shared" si="73"/>
        <v>-1</v>
      </c>
      <c r="T108" s="2">
        <f t="shared" si="74"/>
        <v>1</v>
      </c>
      <c r="U108" s="92">
        <v>1.29</v>
      </c>
      <c r="X108" s="18">
        <v>5</v>
      </c>
      <c r="Y108" s="18">
        <v>-2.1594677989026403</v>
      </c>
      <c r="Z108" s="18">
        <f t="shared" si="80"/>
        <v>0.3</v>
      </c>
      <c r="AA108" s="18">
        <f t="shared" si="81"/>
        <v>-1.5452343986455244</v>
      </c>
      <c r="AB108" s="18">
        <f t="shared" si="82"/>
        <v>-2.1594677989026403</v>
      </c>
      <c r="AC108" s="18">
        <f t="shared" si="83"/>
        <v>-1.5452343986455244</v>
      </c>
    </row>
    <row r="109" spans="1:39" x14ac:dyDescent="0.25">
      <c r="F109" s="2">
        <v>1</v>
      </c>
      <c r="G109" s="2">
        <v>-1</v>
      </c>
      <c r="H109" s="2">
        <v>1</v>
      </c>
      <c r="I109" s="2">
        <v>1</v>
      </c>
      <c r="J109" s="2">
        <f t="shared" si="64"/>
        <v>-1</v>
      </c>
      <c r="K109" s="2">
        <f t="shared" si="65"/>
        <v>1</v>
      </c>
      <c r="L109" s="2">
        <f t="shared" si="66"/>
        <v>1</v>
      </c>
      <c r="M109" s="2">
        <f t="shared" si="79"/>
        <v>-1</v>
      </c>
      <c r="N109" s="2">
        <f t="shared" si="68"/>
        <v>-1</v>
      </c>
      <c r="O109" s="2">
        <f t="shared" si="69"/>
        <v>1</v>
      </c>
      <c r="P109" s="2">
        <f t="shared" si="70"/>
        <v>-1</v>
      </c>
      <c r="Q109" s="2">
        <f t="shared" si="71"/>
        <v>-1</v>
      </c>
      <c r="R109" s="2">
        <f t="shared" si="72"/>
        <v>1</v>
      </c>
      <c r="S109" s="2">
        <f t="shared" si="73"/>
        <v>-1</v>
      </c>
      <c r="T109" s="2">
        <f t="shared" si="74"/>
        <v>-1</v>
      </c>
      <c r="U109" s="92">
        <v>-1.17</v>
      </c>
      <c r="X109" s="18">
        <v>6</v>
      </c>
      <c r="Y109" s="18">
        <v>-0.98774011557397845</v>
      </c>
      <c r="Z109" s="18">
        <f t="shared" si="80"/>
        <v>0.36666666666666664</v>
      </c>
      <c r="AA109" s="18">
        <f t="shared" si="81"/>
        <v>-1.0039146673179411</v>
      </c>
      <c r="AB109" s="18">
        <f t="shared" si="82"/>
        <v>-0.98774011557397845</v>
      </c>
      <c r="AC109" s="18">
        <f t="shared" si="83"/>
        <v>-1.0039146673179411</v>
      </c>
    </row>
    <row r="110" spans="1:39" x14ac:dyDescent="0.25">
      <c r="F110" s="2">
        <v>-1</v>
      </c>
      <c r="G110" s="2">
        <v>1</v>
      </c>
      <c r="H110" s="2">
        <v>1</v>
      </c>
      <c r="I110" s="2">
        <v>1</v>
      </c>
      <c r="J110" s="2">
        <f t="shared" si="64"/>
        <v>-1</v>
      </c>
      <c r="K110" s="2">
        <f t="shared" si="65"/>
        <v>-1</v>
      </c>
      <c r="L110" s="2">
        <f t="shared" si="66"/>
        <v>-1</v>
      </c>
      <c r="M110" s="2">
        <f t="shared" si="79"/>
        <v>1</v>
      </c>
      <c r="N110" s="2">
        <f t="shared" si="68"/>
        <v>1</v>
      </c>
      <c r="O110" s="2">
        <f t="shared" si="69"/>
        <v>1</v>
      </c>
      <c r="P110" s="2">
        <f t="shared" si="70"/>
        <v>-1</v>
      </c>
      <c r="Q110" s="2">
        <f t="shared" si="71"/>
        <v>-1</v>
      </c>
      <c r="R110" s="2">
        <f t="shared" si="72"/>
        <v>-1</v>
      </c>
      <c r="S110" s="2">
        <f t="shared" si="73"/>
        <v>1</v>
      </c>
      <c r="T110" s="2">
        <f t="shared" si="74"/>
        <v>-1</v>
      </c>
      <c r="U110" s="92">
        <v>0.48</v>
      </c>
      <c r="X110" s="18">
        <v>7</v>
      </c>
      <c r="Y110" s="18">
        <v>-0.48475951776919457</v>
      </c>
      <c r="Z110" s="18">
        <f t="shared" si="80"/>
        <v>0.43333333333333335</v>
      </c>
      <c r="AA110" s="18">
        <f t="shared" si="81"/>
        <v>-0.49472795170468731</v>
      </c>
      <c r="AB110" s="18">
        <f t="shared" si="82"/>
        <v>-0.48475951776919457</v>
      </c>
      <c r="AC110" s="18">
        <f t="shared" si="83"/>
        <v>-0.49472795170468731</v>
      </c>
    </row>
    <row r="111" spans="1:39" ht="16.5" thickBot="1" x14ac:dyDescent="0.3">
      <c r="F111" s="4">
        <v>1</v>
      </c>
      <c r="G111" s="4">
        <v>1</v>
      </c>
      <c r="H111" s="4">
        <v>1</v>
      </c>
      <c r="I111" s="4">
        <v>1</v>
      </c>
      <c r="J111" s="4">
        <f t="shared" si="64"/>
        <v>1</v>
      </c>
      <c r="K111" s="4">
        <f t="shared" si="65"/>
        <v>1</v>
      </c>
      <c r="L111" s="4">
        <f t="shared" si="66"/>
        <v>1</v>
      </c>
      <c r="M111" s="4">
        <f t="shared" si="79"/>
        <v>1</v>
      </c>
      <c r="N111" s="4">
        <f t="shared" si="68"/>
        <v>1</v>
      </c>
      <c r="O111" s="4">
        <f t="shared" si="69"/>
        <v>1</v>
      </c>
      <c r="P111" s="4">
        <f t="shared" si="70"/>
        <v>1</v>
      </c>
      <c r="Q111" s="4">
        <f t="shared" si="71"/>
        <v>1</v>
      </c>
      <c r="R111" s="4">
        <f t="shared" si="72"/>
        <v>1</v>
      </c>
      <c r="S111" s="4">
        <f t="shared" si="73"/>
        <v>1</v>
      </c>
      <c r="T111" s="4">
        <f t="shared" si="74"/>
        <v>1</v>
      </c>
      <c r="U111" s="16">
        <v>0.4</v>
      </c>
      <c r="X111" s="18">
        <v>8</v>
      </c>
      <c r="Y111" s="18">
        <v>0.13737943731159163</v>
      </c>
      <c r="Z111" s="18">
        <f t="shared" si="80"/>
        <v>0.5</v>
      </c>
      <c r="AA111" s="18">
        <f t="shared" si="81"/>
        <v>0</v>
      </c>
      <c r="AB111" s="18">
        <f t="shared" si="82"/>
        <v>0.13737943731159163</v>
      </c>
      <c r="AC111" s="18">
        <f t="shared" si="83"/>
        <v>0</v>
      </c>
    </row>
    <row r="112" spans="1:39" x14ac:dyDescent="0.25">
      <c r="F112" s="2">
        <v>-1</v>
      </c>
      <c r="G112" s="2">
        <v>-1</v>
      </c>
      <c r="H112" s="2">
        <v>-1</v>
      </c>
      <c r="I112" s="2">
        <v>-1</v>
      </c>
      <c r="J112" s="2">
        <f>F112*G112</f>
        <v>1</v>
      </c>
      <c r="K112" s="2">
        <f>F112*H112</f>
        <v>1</v>
      </c>
      <c r="L112" s="2">
        <f>F112*I112</f>
        <v>1</v>
      </c>
      <c r="M112" s="2">
        <f>G112*H112</f>
        <v>1</v>
      </c>
      <c r="N112" s="2">
        <f>G112*I112</f>
        <v>1</v>
      </c>
      <c r="O112" s="2">
        <f>H112*I112</f>
        <v>1</v>
      </c>
      <c r="P112" s="2">
        <f>F112*G112*H112</f>
        <v>-1</v>
      </c>
      <c r="Q112" s="2">
        <f>F112*G112*I112</f>
        <v>-1</v>
      </c>
      <c r="R112" s="2">
        <f>F112*H112*I112</f>
        <v>-1</v>
      </c>
      <c r="S112" s="2">
        <f>G112*H112*I112</f>
        <v>-1</v>
      </c>
      <c r="T112" s="2">
        <f>F112*G112*H112*I112</f>
        <v>1</v>
      </c>
      <c r="U112" s="92">
        <v>-0.08</v>
      </c>
      <c r="X112" s="18">
        <v>9</v>
      </c>
      <c r="Y112" s="18">
        <v>1.4410351811521878</v>
      </c>
      <c r="Z112" s="18">
        <f t="shared" si="80"/>
        <v>0.56666666666666665</v>
      </c>
      <c r="AA112" s="18">
        <f t="shared" si="81"/>
        <v>0.49472795170468731</v>
      </c>
      <c r="AB112" s="18">
        <f t="shared" si="82"/>
        <v>1.4410351811521878</v>
      </c>
      <c r="AC112" s="18">
        <f t="shared" si="83"/>
        <v>0.49472795170468731</v>
      </c>
    </row>
    <row r="113" spans="6:30" x14ac:dyDescent="0.25">
      <c r="F113" s="2">
        <v>1</v>
      </c>
      <c r="G113" s="2">
        <v>-1</v>
      </c>
      <c r="H113" s="2">
        <v>-1</v>
      </c>
      <c r="I113" s="2">
        <v>-1</v>
      </c>
      <c r="J113" s="2">
        <f t="shared" ref="J113:J127" si="84">F113*G113</f>
        <v>-1</v>
      </c>
      <c r="K113" s="2">
        <f t="shared" ref="K113:K127" si="85">F113*H113</f>
        <v>-1</v>
      </c>
      <c r="L113" s="2">
        <f t="shared" ref="L113:L127" si="86">F113*I113</f>
        <v>-1</v>
      </c>
      <c r="M113" s="2">
        <f t="shared" ref="M113:M115" si="87">G113*H113</f>
        <v>1</v>
      </c>
      <c r="N113" s="2">
        <f t="shared" ref="N113:N127" si="88">G113*I113</f>
        <v>1</v>
      </c>
      <c r="O113" s="2">
        <f t="shared" ref="O113:O127" si="89">H113*I113</f>
        <v>1</v>
      </c>
      <c r="P113" s="2">
        <f t="shared" ref="P113:P127" si="90">F113*G113*H113</f>
        <v>1</v>
      </c>
      <c r="Q113" s="2">
        <f t="shared" ref="Q113:Q127" si="91">F113*G113*I113</f>
        <v>1</v>
      </c>
      <c r="R113" s="2">
        <f t="shared" ref="R113:R127" si="92">F113*H113*I113</f>
        <v>1</v>
      </c>
      <c r="S113" s="2">
        <f t="shared" ref="S113:S127" si="93">G113*H113*I113</f>
        <v>-1</v>
      </c>
      <c r="T113" s="2">
        <f t="shared" ref="T113:T127" si="94">F113*G113*H113*I113</f>
        <v>-1</v>
      </c>
      <c r="U113" s="92">
        <v>-1.01</v>
      </c>
      <c r="X113" s="18">
        <v>10</v>
      </c>
      <c r="Y113" s="18">
        <v>1.5841745840872017</v>
      </c>
      <c r="Z113" s="18">
        <f t="shared" si="80"/>
        <v>0.6333333333333333</v>
      </c>
      <c r="AA113" s="18">
        <f t="shared" si="81"/>
        <v>1.0039146673179407</v>
      </c>
      <c r="AB113" s="18">
        <f t="shared" si="82"/>
        <v>1.5841745840872017</v>
      </c>
      <c r="AC113" s="18">
        <f t="shared" si="83"/>
        <v>1.0039146673179407</v>
      </c>
    </row>
    <row r="114" spans="6:30" x14ac:dyDescent="0.25">
      <c r="F114" s="2">
        <v>-1</v>
      </c>
      <c r="G114" s="2">
        <v>1</v>
      </c>
      <c r="H114" s="2">
        <v>-1</v>
      </c>
      <c r="I114" s="2">
        <v>-1</v>
      </c>
      <c r="J114" s="2">
        <f t="shared" si="84"/>
        <v>-1</v>
      </c>
      <c r="K114" s="2">
        <f t="shared" si="85"/>
        <v>1</v>
      </c>
      <c r="L114" s="2">
        <f t="shared" si="86"/>
        <v>1</v>
      </c>
      <c r="M114" s="2">
        <f t="shared" si="87"/>
        <v>-1</v>
      </c>
      <c r="N114" s="2">
        <f t="shared" si="88"/>
        <v>-1</v>
      </c>
      <c r="O114" s="2">
        <f t="shared" si="89"/>
        <v>1</v>
      </c>
      <c r="P114" s="2">
        <f t="shared" si="90"/>
        <v>1</v>
      </c>
      <c r="Q114" s="2">
        <f t="shared" si="91"/>
        <v>1</v>
      </c>
      <c r="R114" s="2">
        <f t="shared" si="92"/>
        <v>-1</v>
      </c>
      <c r="S114" s="2">
        <f t="shared" si="93"/>
        <v>1</v>
      </c>
      <c r="T114" s="2">
        <f t="shared" si="94"/>
        <v>-1</v>
      </c>
      <c r="U114" s="92">
        <v>0.17</v>
      </c>
      <c r="X114" s="18">
        <v>11</v>
      </c>
      <c r="Y114" s="18">
        <v>2.9783443018428795</v>
      </c>
      <c r="Z114" s="18">
        <f t="shared" si="80"/>
        <v>0.7</v>
      </c>
      <c r="AA114" s="18">
        <f t="shared" si="81"/>
        <v>1.5452343986455239</v>
      </c>
      <c r="AB114" s="18">
        <f t="shared" si="82"/>
        <v>2.9783443018428795</v>
      </c>
      <c r="AC114" s="18">
        <f t="shared" si="83"/>
        <v>1.5452343986455239</v>
      </c>
    </row>
    <row r="115" spans="6:30" x14ac:dyDescent="0.25">
      <c r="F115" s="2">
        <v>1</v>
      </c>
      <c r="G115" s="2">
        <v>1</v>
      </c>
      <c r="H115" s="2">
        <v>-1</v>
      </c>
      <c r="I115" s="2">
        <v>-1</v>
      </c>
      <c r="J115" s="2">
        <f t="shared" si="84"/>
        <v>1</v>
      </c>
      <c r="K115" s="2">
        <f t="shared" si="85"/>
        <v>-1</v>
      </c>
      <c r="L115" s="2">
        <f t="shared" si="86"/>
        <v>-1</v>
      </c>
      <c r="M115" s="2">
        <f t="shared" si="87"/>
        <v>-1</v>
      </c>
      <c r="N115" s="2">
        <f t="shared" si="88"/>
        <v>-1</v>
      </c>
      <c r="O115" s="2">
        <f t="shared" si="89"/>
        <v>1</v>
      </c>
      <c r="P115" s="2">
        <f t="shared" si="90"/>
        <v>-1</v>
      </c>
      <c r="Q115" s="2">
        <f t="shared" si="91"/>
        <v>-1</v>
      </c>
      <c r="R115" s="2">
        <f t="shared" si="92"/>
        <v>1</v>
      </c>
      <c r="S115" s="2">
        <f t="shared" si="93"/>
        <v>1</v>
      </c>
      <c r="T115" s="2">
        <f t="shared" si="94"/>
        <v>1</v>
      </c>
      <c r="U115" s="92">
        <v>-0.24</v>
      </c>
      <c r="X115" s="18">
        <v>12</v>
      </c>
      <c r="Y115" s="18">
        <v>3.1574451816076907</v>
      </c>
      <c r="Z115" s="18">
        <f t="shared" si="80"/>
        <v>0.76666666666666672</v>
      </c>
      <c r="AA115" s="18">
        <f t="shared" si="81"/>
        <v>2.1449190628991839</v>
      </c>
      <c r="AB115" s="18">
        <f t="shared" si="82"/>
        <v>3.1574451816076907</v>
      </c>
      <c r="AC115" s="18">
        <f t="shared" si="83"/>
        <v>2.1449190628991839</v>
      </c>
    </row>
    <row r="116" spans="6:30" x14ac:dyDescent="0.25">
      <c r="F116" s="2">
        <v>-1</v>
      </c>
      <c r="G116" s="2">
        <v>-1</v>
      </c>
      <c r="H116" s="2">
        <v>1</v>
      </c>
      <c r="I116" s="2">
        <v>-1</v>
      </c>
      <c r="J116" s="2">
        <f t="shared" si="84"/>
        <v>1</v>
      </c>
      <c r="K116" s="2">
        <f t="shared" si="85"/>
        <v>-1</v>
      </c>
      <c r="L116" s="2">
        <f t="shared" si="86"/>
        <v>1</v>
      </c>
      <c r="M116" s="2">
        <f>G116*H116</f>
        <v>-1</v>
      </c>
      <c r="N116" s="2">
        <f t="shared" si="88"/>
        <v>1</v>
      </c>
      <c r="O116" s="2">
        <f t="shared" si="89"/>
        <v>-1</v>
      </c>
      <c r="P116" s="2">
        <f t="shared" si="90"/>
        <v>1</v>
      </c>
      <c r="Q116" s="2">
        <f t="shared" si="91"/>
        <v>-1</v>
      </c>
      <c r="R116" s="2">
        <f t="shared" si="92"/>
        <v>1</v>
      </c>
      <c r="S116" s="2">
        <f t="shared" si="93"/>
        <v>1</v>
      </c>
      <c r="T116" s="2">
        <f t="shared" si="94"/>
        <v>-1</v>
      </c>
      <c r="U116" s="92">
        <v>0.17</v>
      </c>
      <c r="X116" s="18">
        <v>13</v>
      </c>
      <c r="Y116" s="18">
        <v>4.4965610861247036</v>
      </c>
      <c r="Z116" s="18">
        <f t="shared" si="80"/>
        <v>0.83333333333333337</v>
      </c>
      <c r="AA116" s="18">
        <f t="shared" si="81"/>
        <v>2.8506705193939275</v>
      </c>
      <c r="AB116" s="18">
        <f t="shared" si="82"/>
        <v>4.4965610861247036</v>
      </c>
      <c r="AC116" s="18">
        <f t="shared" si="83"/>
        <v>2.8506705193939275</v>
      </c>
    </row>
    <row r="117" spans="6:30" x14ac:dyDescent="0.25">
      <c r="F117" s="2">
        <v>1</v>
      </c>
      <c r="G117" s="2">
        <v>-1</v>
      </c>
      <c r="H117" s="2">
        <v>1</v>
      </c>
      <c r="I117" s="2">
        <v>-1</v>
      </c>
      <c r="J117" s="2">
        <f t="shared" si="84"/>
        <v>-1</v>
      </c>
      <c r="K117" s="2">
        <f t="shared" si="85"/>
        <v>1</v>
      </c>
      <c r="L117" s="2">
        <f t="shared" si="86"/>
        <v>-1</v>
      </c>
      <c r="M117" s="2">
        <f t="shared" ref="M117:M127" si="95">G117*H117</f>
        <v>-1</v>
      </c>
      <c r="N117" s="2">
        <f t="shared" si="88"/>
        <v>1</v>
      </c>
      <c r="O117" s="2">
        <f t="shared" si="89"/>
        <v>-1</v>
      </c>
      <c r="P117" s="2">
        <f t="shared" si="90"/>
        <v>-1</v>
      </c>
      <c r="Q117" s="2">
        <f t="shared" si="91"/>
        <v>1</v>
      </c>
      <c r="R117" s="2">
        <f t="shared" si="92"/>
        <v>-1</v>
      </c>
      <c r="S117" s="2">
        <f t="shared" si="93"/>
        <v>1</v>
      </c>
      <c r="T117" s="2">
        <f t="shared" si="94"/>
        <v>1</v>
      </c>
      <c r="U117" s="92">
        <v>-0.64</v>
      </c>
      <c r="X117" s="18">
        <v>14</v>
      </c>
      <c r="Y117" s="18">
        <v>7.4852399579443656</v>
      </c>
      <c r="Z117" s="18">
        <f t="shared" si="80"/>
        <v>0.9</v>
      </c>
      <c r="AA117" s="18">
        <f t="shared" si="81"/>
        <v>3.7763074496078315</v>
      </c>
      <c r="AB117" s="18">
        <f t="shared" si="82"/>
        <v>7.4852399579443656</v>
      </c>
      <c r="AC117" s="18">
        <f t="shared" si="83"/>
        <v>3.7763074496078315</v>
      </c>
    </row>
    <row r="118" spans="6:30" x14ac:dyDescent="0.25">
      <c r="F118" s="2">
        <v>-1</v>
      </c>
      <c r="G118" s="2">
        <v>1</v>
      </c>
      <c r="H118" s="2">
        <v>1</v>
      </c>
      <c r="I118" s="2">
        <v>-1</v>
      </c>
      <c r="J118" s="2">
        <f t="shared" si="84"/>
        <v>-1</v>
      </c>
      <c r="K118" s="2">
        <f t="shared" si="85"/>
        <v>-1</v>
      </c>
      <c r="L118" s="2">
        <f t="shared" si="86"/>
        <v>1</v>
      </c>
      <c r="M118" s="2">
        <f t="shared" si="95"/>
        <v>1</v>
      </c>
      <c r="N118" s="2">
        <f t="shared" si="88"/>
        <v>-1</v>
      </c>
      <c r="O118" s="2">
        <f t="shared" si="89"/>
        <v>-1</v>
      </c>
      <c r="P118" s="2">
        <f t="shared" si="90"/>
        <v>-1</v>
      </c>
      <c r="Q118" s="2">
        <f t="shared" si="91"/>
        <v>1</v>
      </c>
      <c r="R118" s="2">
        <f t="shared" si="92"/>
        <v>1</v>
      </c>
      <c r="S118" s="2">
        <f t="shared" si="93"/>
        <v>-1</v>
      </c>
      <c r="T118" s="2">
        <f t="shared" si="94"/>
        <v>1</v>
      </c>
      <c r="U118" s="92">
        <v>0.28000000000000003</v>
      </c>
      <c r="X118" s="18">
        <v>15</v>
      </c>
      <c r="Y118" s="18">
        <v>7.5764626510917266</v>
      </c>
      <c r="Z118" s="18">
        <f t="shared" si="80"/>
        <v>0.96666666666666667</v>
      </c>
      <c r="AA118" s="18">
        <f>_xlfn.NORM.INV(Z118,0,$AA$90)</f>
        <v>5.4039382318833828</v>
      </c>
      <c r="AB118" s="18">
        <f t="shared" si="82"/>
        <v>7.5764626510917266</v>
      </c>
      <c r="AC118" s="18">
        <f t="shared" si="83"/>
        <v>5.4039382318833828</v>
      </c>
    </row>
    <row r="119" spans="6:30" x14ac:dyDescent="0.25">
      <c r="F119" s="2">
        <v>1</v>
      </c>
      <c r="G119" s="2">
        <v>1</v>
      </c>
      <c r="H119" s="2">
        <v>1</v>
      </c>
      <c r="I119" s="2">
        <v>-1</v>
      </c>
      <c r="J119" s="2">
        <f t="shared" si="84"/>
        <v>1</v>
      </c>
      <c r="K119" s="2">
        <f t="shared" si="85"/>
        <v>1</v>
      </c>
      <c r="L119" s="2">
        <f t="shared" si="86"/>
        <v>-1</v>
      </c>
      <c r="M119" s="2">
        <f t="shared" si="95"/>
        <v>1</v>
      </c>
      <c r="N119" s="2">
        <f t="shared" si="88"/>
        <v>-1</v>
      </c>
      <c r="O119" s="2">
        <f t="shared" si="89"/>
        <v>-1</v>
      </c>
      <c r="P119" s="2">
        <f t="shared" si="90"/>
        <v>1</v>
      </c>
      <c r="Q119" s="2">
        <f t="shared" si="91"/>
        <v>-1</v>
      </c>
      <c r="R119" s="2">
        <f t="shared" si="92"/>
        <v>-1</v>
      </c>
      <c r="S119" s="2">
        <f t="shared" si="93"/>
        <v>-1</v>
      </c>
      <c r="T119" s="2">
        <f t="shared" si="94"/>
        <v>-1</v>
      </c>
      <c r="U119" s="92">
        <v>0.28000000000000003</v>
      </c>
    </row>
    <row r="120" spans="6:30" x14ac:dyDescent="0.25">
      <c r="F120" s="2">
        <v>-1</v>
      </c>
      <c r="G120" s="2">
        <v>-1</v>
      </c>
      <c r="H120" s="2">
        <v>-1</v>
      </c>
      <c r="I120" s="2">
        <v>1</v>
      </c>
      <c r="J120" s="2">
        <f t="shared" si="84"/>
        <v>1</v>
      </c>
      <c r="K120" s="2">
        <f t="shared" si="85"/>
        <v>1</v>
      </c>
      <c r="L120" s="2">
        <f t="shared" si="86"/>
        <v>-1</v>
      </c>
      <c r="M120" s="2">
        <f t="shared" si="95"/>
        <v>1</v>
      </c>
      <c r="N120" s="2">
        <f t="shared" si="88"/>
        <v>-1</v>
      </c>
      <c r="O120" s="2">
        <f t="shared" si="89"/>
        <v>-1</v>
      </c>
      <c r="P120" s="2">
        <f t="shared" si="90"/>
        <v>-1</v>
      </c>
      <c r="Q120" s="2">
        <f t="shared" si="91"/>
        <v>1</v>
      </c>
      <c r="R120" s="2">
        <f t="shared" si="92"/>
        <v>1</v>
      </c>
      <c r="S120" s="2">
        <f t="shared" si="93"/>
        <v>1</v>
      </c>
      <c r="T120" s="2">
        <f t="shared" si="94"/>
        <v>-1</v>
      </c>
      <c r="U120" s="92">
        <v>-0.65</v>
      </c>
    </row>
    <row r="121" spans="6:30" x14ac:dyDescent="0.25">
      <c r="F121" s="2">
        <v>1</v>
      </c>
      <c r="G121" s="2">
        <v>-1</v>
      </c>
      <c r="H121" s="2">
        <v>-1</v>
      </c>
      <c r="I121" s="2">
        <v>1</v>
      </c>
      <c r="J121" s="2">
        <f t="shared" si="84"/>
        <v>-1</v>
      </c>
      <c r="K121" s="2">
        <f t="shared" si="85"/>
        <v>-1</v>
      </c>
      <c r="L121" s="2">
        <f t="shared" si="86"/>
        <v>1</v>
      </c>
      <c r="M121" s="2">
        <f t="shared" si="95"/>
        <v>1</v>
      </c>
      <c r="N121" s="2">
        <f t="shared" si="88"/>
        <v>-1</v>
      </c>
      <c r="O121" s="2">
        <f t="shared" si="89"/>
        <v>-1</v>
      </c>
      <c r="P121" s="2">
        <f t="shared" si="90"/>
        <v>1</v>
      </c>
      <c r="Q121" s="2">
        <f t="shared" si="91"/>
        <v>-1</v>
      </c>
      <c r="R121" s="2">
        <f t="shared" si="92"/>
        <v>-1</v>
      </c>
      <c r="S121" s="2">
        <f t="shared" si="93"/>
        <v>1</v>
      </c>
      <c r="T121" s="2">
        <f t="shared" si="94"/>
        <v>1</v>
      </c>
      <c r="U121" s="92">
        <v>-1.19</v>
      </c>
    </row>
    <row r="122" spans="6:30" x14ac:dyDescent="0.25">
      <c r="F122" s="2">
        <v>-1</v>
      </c>
      <c r="G122" s="2">
        <v>1</v>
      </c>
      <c r="H122" s="2">
        <v>-1</v>
      </c>
      <c r="I122" s="2">
        <v>1</v>
      </c>
      <c r="J122" s="2">
        <f t="shared" si="84"/>
        <v>-1</v>
      </c>
      <c r="K122" s="2">
        <f t="shared" si="85"/>
        <v>1</v>
      </c>
      <c r="L122" s="2">
        <f t="shared" si="86"/>
        <v>-1</v>
      </c>
      <c r="M122" s="2">
        <f t="shared" si="95"/>
        <v>-1</v>
      </c>
      <c r="N122" s="2">
        <f t="shared" si="88"/>
        <v>1</v>
      </c>
      <c r="O122" s="2">
        <f t="shared" si="89"/>
        <v>-1</v>
      </c>
      <c r="P122" s="2">
        <f t="shared" si="90"/>
        <v>1</v>
      </c>
      <c r="Q122" s="2">
        <f t="shared" si="91"/>
        <v>-1</v>
      </c>
      <c r="R122" s="2">
        <f t="shared" si="92"/>
        <v>1</v>
      </c>
      <c r="S122" s="2">
        <f t="shared" si="93"/>
        <v>-1</v>
      </c>
      <c r="T122" s="2">
        <f t="shared" si="94"/>
        <v>1</v>
      </c>
      <c r="U122" s="92">
        <v>0.44</v>
      </c>
    </row>
    <row r="123" spans="6:30" x14ac:dyDescent="0.25">
      <c r="F123" s="2">
        <v>1</v>
      </c>
      <c r="G123" s="2">
        <v>1</v>
      </c>
      <c r="H123" s="2">
        <v>-1</v>
      </c>
      <c r="I123" s="2">
        <v>1</v>
      </c>
      <c r="J123" s="2">
        <f t="shared" si="84"/>
        <v>1</v>
      </c>
      <c r="K123" s="2">
        <f t="shared" si="85"/>
        <v>-1</v>
      </c>
      <c r="L123" s="2">
        <f t="shared" si="86"/>
        <v>1</v>
      </c>
      <c r="M123" s="2">
        <f t="shared" si="95"/>
        <v>-1</v>
      </c>
      <c r="N123" s="2">
        <f t="shared" si="88"/>
        <v>1</v>
      </c>
      <c r="O123" s="2">
        <f t="shared" si="89"/>
        <v>-1</v>
      </c>
      <c r="P123" s="2">
        <f t="shared" si="90"/>
        <v>-1</v>
      </c>
      <c r="Q123" s="2">
        <f t="shared" si="91"/>
        <v>1</v>
      </c>
      <c r="R123" s="2">
        <f t="shared" si="92"/>
        <v>-1</v>
      </c>
      <c r="S123" s="2">
        <f t="shared" si="93"/>
        <v>-1</v>
      </c>
      <c r="T123" s="2">
        <f t="shared" si="94"/>
        <v>-1</v>
      </c>
      <c r="U123" s="92">
        <v>-0.03</v>
      </c>
    </row>
    <row r="124" spans="6:30" x14ac:dyDescent="0.25">
      <c r="F124" s="2">
        <v>-1</v>
      </c>
      <c r="G124" s="2">
        <v>-1</v>
      </c>
      <c r="H124" s="2">
        <v>1</v>
      </c>
      <c r="I124" s="2">
        <v>1</v>
      </c>
      <c r="J124" s="2">
        <f t="shared" si="84"/>
        <v>1</v>
      </c>
      <c r="K124" s="2">
        <f t="shared" si="85"/>
        <v>-1</v>
      </c>
      <c r="L124" s="2">
        <f t="shared" si="86"/>
        <v>-1</v>
      </c>
      <c r="M124" s="2">
        <f t="shared" si="95"/>
        <v>-1</v>
      </c>
      <c r="N124" s="2">
        <f t="shared" si="88"/>
        <v>-1</v>
      </c>
      <c r="O124" s="2">
        <f t="shared" si="89"/>
        <v>1</v>
      </c>
      <c r="P124" s="2">
        <f t="shared" si="90"/>
        <v>1</v>
      </c>
      <c r="Q124" s="2">
        <f t="shared" si="91"/>
        <v>1</v>
      </c>
      <c r="R124" s="2">
        <f t="shared" si="92"/>
        <v>-1</v>
      </c>
      <c r="S124" s="2">
        <f t="shared" si="93"/>
        <v>-1</v>
      </c>
      <c r="T124" s="2">
        <f t="shared" si="94"/>
        <v>1</v>
      </c>
      <c r="U124" s="92">
        <v>0.64</v>
      </c>
    </row>
    <row r="125" spans="6:30" x14ac:dyDescent="0.25">
      <c r="F125" s="2">
        <v>1</v>
      </c>
      <c r="G125" s="2">
        <v>-1</v>
      </c>
      <c r="H125" s="2">
        <v>1</v>
      </c>
      <c r="I125" s="2">
        <v>1</v>
      </c>
      <c r="J125" s="2">
        <f t="shared" si="84"/>
        <v>-1</v>
      </c>
      <c r="K125" s="2">
        <f t="shared" si="85"/>
        <v>1</v>
      </c>
      <c r="L125" s="2">
        <f t="shared" si="86"/>
        <v>1</v>
      </c>
      <c r="M125" s="2">
        <f t="shared" si="95"/>
        <v>-1</v>
      </c>
      <c r="N125" s="2">
        <f t="shared" si="88"/>
        <v>-1</v>
      </c>
      <c r="O125" s="2">
        <f t="shared" si="89"/>
        <v>1</v>
      </c>
      <c r="P125" s="2">
        <f t="shared" si="90"/>
        <v>-1</v>
      </c>
      <c r="Q125" s="2">
        <f t="shared" si="91"/>
        <v>-1</v>
      </c>
      <c r="R125" s="2">
        <f t="shared" si="92"/>
        <v>1</v>
      </c>
      <c r="S125" s="2">
        <f t="shared" si="93"/>
        <v>-1</v>
      </c>
      <c r="T125" s="2">
        <f t="shared" si="94"/>
        <v>-1</v>
      </c>
      <c r="U125" s="92">
        <v>0.14000000000000001</v>
      </c>
      <c r="X125" s="18" t="s">
        <v>376</v>
      </c>
      <c r="Y125" s="18" t="s">
        <v>377</v>
      </c>
      <c r="Z125" s="18" t="s">
        <v>378</v>
      </c>
      <c r="AA125" s="18" t="s">
        <v>379</v>
      </c>
      <c r="AB125" s="18" t="s">
        <v>380</v>
      </c>
      <c r="AC125" s="18" t="s">
        <v>381</v>
      </c>
      <c r="AD125" s="18" t="s">
        <v>382</v>
      </c>
    </row>
    <row r="126" spans="6:30" x14ac:dyDescent="0.25">
      <c r="F126" s="2">
        <v>-1</v>
      </c>
      <c r="G126" s="2">
        <v>1</v>
      </c>
      <c r="H126" s="2">
        <v>1</v>
      </c>
      <c r="I126" s="2">
        <v>1</v>
      </c>
      <c r="J126" s="2">
        <f t="shared" si="84"/>
        <v>-1</v>
      </c>
      <c r="K126" s="2">
        <f t="shared" si="85"/>
        <v>-1</v>
      </c>
      <c r="L126" s="2">
        <f t="shared" si="86"/>
        <v>-1</v>
      </c>
      <c r="M126" s="2">
        <f t="shared" si="95"/>
        <v>1</v>
      </c>
      <c r="N126" s="2">
        <f t="shared" si="88"/>
        <v>1</v>
      </c>
      <c r="O126" s="2">
        <f t="shared" si="89"/>
        <v>1</v>
      </c>
      <c r="P126" s="2">
        <f t="shared" si="90"/>
        <v>-1</v>
      </c>
      <c r="Q126" s="2">
        <f t="shared" si="91"/>
        <v>-1</v>
      </c>
      <c r="R126" s="2">
        <f t="shared" si="92"/>
        <v>-1</v>
      </c>
      <c r="S126" s="2">
        <f t="shared" si="93"/>
        <v>1</v>
      </c>
      <c r="T126" s="2">
        <f t="shared" si="94"/>
        <v>-1</v>
      </c>
      <c r="U126" s="92">
        <v>1.06</v>
      </c>
      <c r="X126" s="142">
        <f>R87</f>
        <v>6.449272418536494</v>
      </c>
      <c r="Y126" s="142">
        <f>T87</f>
        <v>3.7882313255458633</v>
      </c>
      <c r="Z126" s="142">
        <f>W87</f>
        <v>3.7426199789721828</v>
      </c>
      <c r="AA126" s="142">
        <f>Y87</f>
        <v>2.2482805430623518</v>
      </c>
      <c r="AB126" s="142">
        <f>Z87</f>
        <v>-3.217158799574269</v>
      </c>
      <c r="AC126" s="142">
        <f>AB87</f>
        <v>-3.0898004650565705</v>
      </c>
      <c r="AD126" s="142">
        <f>AG87</f>
        <v>-2.9994789933089812</v>
      </c>
    </row>
    <row r="127" spans="6:30" ht="16.5" thickBot="1" x14ac:dyDescent="0.3">
      <c r="F127" s="4">
        <v>1</v>
      </c>
      <c r="G127" s="4">
        <v>1</v>
      </c>
      <c r="H127" s="4">
        <v>1</v>
      </c>
      <c r="I127" s="4">
        <v>1</v>
      </c>
      <c r="J127" s="4">
        <f t="shared" si="84"/>
        <v>1</v>
      </c>
      <c r="K127" s="4">
        <f t="shared" si="85"/>
        <v>1</v>
      </c>
      <c r="L127" s="4">
        <f t="shared" si="86"/>
        <v>1</v>
      </c>
      <c r="M127" s="4">
        <f t="shared" si="95"/>
        <v>1</v>
      </c>
      <c r="N127" s="4">
        <f t="shared" si="88"/>
        <v>1</v>
      </c>
      <c r="O127" s="4">
        <f t="shared" si="89"/>
        <v>1</v>
      </c>
      <c r="P127" s="4">
        <f t="shared" si="90"/>
        <v>1</v>
      </c>
      <c r="Q127" s="4">
        <f t="shared" si="91"/>
        <v>1</v>
      </c>
      <c r="R127" s="4">
        <f t="shared" si="92"/>
        <v>1</v>
      </c>
      <c r="S127" s="4">
        <f t="shared" si="93"/>
        <v>1</v>
      </c>
      <c r="T127" s="4">
        <f t="shared" si="94"/>
        <v>1</v>
      </c>
      <c r="U127" s="16">
        <v>0.34</v>
      </c>
      <c r="X127" s="18" t="s">
        <v>383</v>
      </c>
      <c r="Y127" s="18" t="s">
        <v>384</v>
      </c>
      <c r="Z127" s="18" t="s">
        <v>385</v>
      </c>
      <c r="AA127" s="18" t="s">
        <v>386</v>
      </c>
    </row>
    <row r="128" spans="6:30" x14ac:dyDescent="0.25">
      <c r="X128" s="18">
        <v>1</v>
      </c>
      <c r="Y128" s="18">
        <v>1</v>
      </c>
      <c r="Z128" s="18">
        <v>-1</v>
      </c>
      <c r="AA128" s="18">
        <v>1</v>
      </c>
    </row>
    <row r="129" spans="24:25" x14ac:dyDescent="0.25">
      <c r="X129" s="18" t="s">
        <v>387</v>
      </c>
      <c r="Y129" s="18">
        <f>X126+Y126*Y128+Z126*X128*Y128+AA126*X128*AA128+AB126*Y128*Z128+AC126*Z128*AA128+AD126*X128*Y128*Z128*AA128</f>
        <v>25.534842524056707</v>
      </c>
    </row>
  </sheetData>
  <sortState xmlns:xlrd2="http://schemas.microsoft.com/office/spreadsheetml/2017/richdata2" ref="Y104:Y118">
    <sortCondition ref="Y104"/>
  </sortState>
  <mergeCells count="35">
    <mergeCell ref="A62:J62"/>
    <mergeCell ref="A86:K86"/>
    <mergeCell ref="S55:T55"/>
    <mergeCell ref="S56:T56"/>
    <mergeCell ref="S57:T57"/>
    <mergeCell ref="S58:T58"/>
    <mergeCell ref="O58:P58"/>
    <mergeCell ref="R49:T49"/>
    <mergeCell ref="R50:R51"/>
    <mergeCell ref="S50:T51"/>
    <mergeCell ref="S52:T52"/>
    <mergeCell ref="S53:T53"/>
    <mergeCell ref="S54:T54"/>
    <mergeCell ref="K57:L57"/>
    <mergeCell ref="K58:L58"/>
    <mergeCell ref="M49:M51"/>
    <mergeCell ref="N49:P49"/>
    <mergeCell ref="N50:N51"/>
    <mergeCell ref="O52:P52"/>
    <mergeCell ref="O53:P53"/>
    <mergeCell ref="O54:P54"/>
    <mergeCell ref="O55:P55"/>
    <mergeCell ref="K53:L53"/>
    <mergeCell ref="K54:L54"/>
    <mergeCell ref="K55:L55"/>
    <mergeCell ref="K56:L56"/>
    <mergeCell ref="O56:P56"/>
    <mergeCell ref="O57:P57"/>
    <mergeCell ref="I49:I51"/>
    <mergeCell ref="J49:L49"/>
    <mergeCell ref="J50:J51"/>
    <mergeCell ref="K52:L52"/>
    <mergeCell ref="Q49:Q51"/>
    <mergeCell ref="K50:L51"/>
    <mergeCell ref="O50:P5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24" sqref="B24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78"/>
  <sheetViews>
    <sheetView topLeftCell="A40" zoomScale="70" zoomScaleNormal="70" workbookViewId="0">
      <selection activeCell="N34" sqref="N34"/>
    </sheetView>
  </sheetViews>
  <sheetFormatPr defaultColWidth="9" defaultRowHeight="15.75" x14ac:dyDescent="0.25"/>
  <cols>
    <col min="1" max="1" width="12.125" style="18" customWidth="1"/>
    <col min="2" max="2" width="14.625" style="18" customWidth="1"/>
    <col min="3" max="3" width="14.75" style="18" customWidth="1"/>
    <col min="4" max="6" width="15.5" style="18" customWidth="1"/>
    <col min="7" max="7" width="14.75" style="18" customWidth="1"/>
    <col min="8" max="8" width="14.625" style="18" customWidth="1"/>
    <col min="9" max="9" width="15.5" style="18" customWidth="1"/>
    <col min="10" max="10" width="3.5" style="18" customWidth="1"/>
    <col min="11" max="16" width="9.5" style="18" customWidth="1"/>
    <col min="17" max="17" width="10" style="18" customWidth="1"/>
    <col min="18" max="16384" width="9" style="18"/>
  </cols>
  <sheetData>
    <row r="1" spans="1:20" x14ac:dyDescent="0.25">
      <c r="A1" s="44" t="s">
        <v>5</v>
      </c>
      <c r="B1" s="45" t="s">
        <v>130</v>
      </c>
      <c r="C1" s="45" t="s">
        <v>131</v>
      </c>
      <c r="D1" s="45" t="s">
        <v>78</v>
      </c>
      <c r="E1" s="45" t="s">
        <v>79</v>
      </c>
      <c r="F1" s="45" t="s">
        <v>80</v>
      </c>
      <c r="G1" s="45" t="s">
        <v>81</v>
      </c>
      <c r="H1" s="48" t="s">
        <v>91</v>
      </c>
      <c r="I1" s="48" t="s">
        <v>129</v>
      </c>
      <c r="J1" s="51" t="s">
        <v>128</v>
      </c>
      <c r="K1" s="97" t="s">
        <v>227</v>
      </c>
      <c r="L1" s="38"/>
      <c r="M1" s="39" t="s">
        <v>140</v>
      </c>
      <c r="N1" s="39" t="s">
        <v>132</v>
      </c>
      <c r="O1" s="39" t="s">
        <v>133</v>
      </c>
      <c r="P1" s="39" t="s">
        <v>134</v>
      </c>
      <c r="Q1" s="39" t="s">
        <v>135</v>
      </c>
      <c r="R1" s="39" t="s">
        <v>136</v>
      </c>
      <c r="S1" s="39" t="s">
        <v>179</v>
      </c>
      <c r="T1" s="40" t="s">
        <v>137</v>
      </c>
    </row>
    <row r="2" spans="1:20" x14ac:dyDescent="0.25">
      <c r="A2" s="46">
        <v>1</v>
      </c>
      <c r="B2" s="2">
        <v>-1</v>
      </c>
      <c r="C2" s="2">
        <v>-1</v>
      </c>
      <c r="D2" s="2">
        <v>-1</v>
      </c>
      <c r="E2" s="2">
        <v>61.43</v>
      </c>
      <c r="F2" s="2">
        <v>58.58</v>
      </c>
      <c r="G2" s="2">
        <v>57.07</v>
      </c>
      <c r="H2" s="49">
        <f>AVERAGE(E2:G2)</f>
        <v>59.026666666666664</v>
      </c>
      <c r="I2" s="49">
        <f>_xlfn.VAR.S(E2:G2)</f>
        <v>4.9020333333333328</v>
      </c>
      <c r="J2" s="52">
        <f>-10*LOG(((E2-100)^2+(F2-100)^2+(G2-100)^2)/3)</f>
        <v>-32.25847180659887</v>
      </c>
      <c r="K2" s="98">
        <f>-10*LOG((1/E2^2+1/F2^2+1/G2^2)/3)</f>
        <v>35.408910608317413</v>
      </c>
      <c r="L2" s="42"/>
      <c r="M2" s="41"/>
      <c r="N2" s="41">
        <v>-1</v>
      </c>
      <c r="O2" s="41">
        <v>-1</v>
      </c>
      <c r="P2" s="41">
        <v>-1</v>
      </c>
      <c r="Q2" s="41">
        <f>N2*O2</f>
        <v>1</v>
      </c>
      <c r="R2" s="41">
        <f>N2*P2</f>
        <v>1</v>
      </c>
      <c r="S2" s="41">
        <f>O2*P2</f>
        <v>1</v>
      </c>
      <c r="T2" s="14">
        <f>N2*O2*P2</f>
        <v>-1</v>
      </c>
    </row>
    <row r="3" spans="1:20" x14ac:dyDescent="0.25">
      <c r="A3" s="46">
        <v>2</v>
      </c>
      <c r="B3" s="2">
        <v>1</v>
      </c>
      <c r="C3" s="2">
        <v>-1</v>
      </c>
      <c r="D3" s="2">
        <v>-1</v>
      </c>
      <c r="E3" s="2">
        <v>75.62</v>
      </c>
      <c r="F3" s="2">
        <v>77.569999999999993</v>
      </c>
      <c r="G3" s="2">
        <v>75.75</v>
      </c>
      <c r="H3" s="49">
        <f t="shared" ref="H3:H9" si="0">AVERAGE(E3:G3)</f>
        <v>76.313333333333333</v>
      </c>
      <c r="I3" s="49">
        <f t="shared" ref="I3:I8" si="1">_xlfn.VAR.S(E3:G3)</f>
        <v>1.1886333333333217</v>
      </c>
      <c r="J3" s="52">
        <f t="shared" ref="J3:J9" si="2">-10*LOG(((E3-100)^2+(F3-100)^2+(G3-100)^2)/3)</f>
        <v>-27.4962084898306</v>
      </c>
      <c r="K3" s="98">
        <f t="shared" ref="K3:K9" si="3">-10*LOG((1/E3^2+1/F3^2+1/G3^2)/3)</f>
        <v>37.650254614759426</v>
      </c>
      <c r="L3" s="42"/>
      <c r="M3" s="41"/>
      <c r="N3" s="41">
        <v>1</v>
      </c>
      <c r="O3" s="41">
        <v>-1</v>
      </c>
      <c r="P3" s="41">
        <v>-1</v>
      </c>
      <c r="Q3" s="41">
        <f t="shared" ref="Q3:Q9" si="4">N3*O3</f>
        <v>-1</v>
      </c>
      <c r="R3" s="41">
        <f t="shared" ref="R3:R8" si="5">N3*P3</f>
        <v>-1</v>
      </c>
      <c r="S3" s="41">
        <f>O3*P3</f>
        <v>1</v>
      </c>
      <c r="T3" s="14">
        <f t="shared" ref="T3:T9" si="6">N3*O3*P3</f>
        <v>1</v>
      </c>
    </row>
    <row r="4" spans="1:20" x14ac:dyDescent="0.25">
      <c r="A4" s="46">
        <v>3</v>
      </c>
      <c r="B4" s="2">
        <v>-1</v>
      </c>
      <c r="C4" s="2">
        <v>1</v>
      </c>
      <c r="D4" s="2">
        <v>-1</v>
      </c>
      <c r="E4" s="2">
        <v>27.51</v>
      </c>
      <c r="F4" s="2">
        <v>34.03</v>
      </c>
      <c r="G4" s="2">
        <v>25.07</v>
      </c>
      <c r="H4" s="49">
        <f t="shared" si="0"/>
        <v>28.870000000000005</v>
      </c>
      <c r="I4" s="49">
        <f t="shared" si="1"/>
        <v>21.457599999999502</v>
      </c>
      <c r="J4" s="52">
        <f t="shared" si="2"/>
        <v>-37.053318005467176</v>
      </c>
      <c r="K4" s="98">
        <f t="shared" si="3"/>
        <v>29.000941294066639</v>
      </c>
      <c r="L4" s="42"/>
      <c r="M4" s="41"/>
      <c r="N4" s="41">
        <v>-1</v>
      </c>
      <c r="O4" s="41">
        <v>1</v>
      </c>
      <c r="P4" s="41">
        <v>-1</v>
      </c>
      <c r="Q4" s="41">
        <f t="shared" si="4"/>
        <v>-1</v>
      </c>
      <c r="R4" s="41">
        <f t="shared" si="5"/>
        <v>1</v>
      </c>
      <c r="S4" s="41">
        <f>O4*P4</f>
        <v>-1</v>
      </c>
      <c r="T4" s="14">
        <f t="shared" si="6"/>
        <v>1</v>
      </c>
    </row>
    <row r="5" spans="1:20" x14ac:dyDescent="0.25">
      <c r="A5" s="46">
        <v>4</v>
      </c>
      <c r="B5" s="2">
        <v>1</v>
      </c>
      <c r="C5" s="2">
        <v>1</v>
      </c>
      <c r="D5" s="2">
        <v>-1</v>
      </c>
      <c r="E5" s="2">
        <v>51.37</v>
      </c>
      <c r="F5" s="2">
        <v>48.49</v>
      </c>
      <c r="G5" s="2">
        <v>54.37</v>
      </c>
      <c r="H5" s="49">
        <f t="shared" si="0"/>
        <v>51.41</v>
      </c>
      <c r="I5" s="49">
        <f t="shared" si="1"/>
        <v>8.6447999999999858</v>
      </c>
      <c r="J5" s="52">
        <f t="shared" si="2"/>
        <v>-33.741526243370735</v>
      </c>
      <c r="K5" s="98">
        <f t="shared" si="3"/>
        <v>34.192524115312551</v>
      </c>
      <c r="L5" s="42"/>
      <c r="M5" s="41"/>
      <c r="N5" s="41">
        <v>1</v>
      </c>
      <c r="O5" s="41">
        <v>1</v>
      </c>
      <c r="P5" s="41">
        <v>-1</v>
      </c>
      <c r="Q5" s="41">
        <f t="shared" si="4"/>
        <v>1</v>
      </c>
      <c r="R5" s="41">
        <f t="shared" si="5"/>
        <v>-1</v>
      </c>
      <c r="S5" s="41">
        <f t="shared" ref="S5:S8" si="7">O5*P5</f>
        <v>-1</v>
      </c>
      <c r="T5" s="14">
        <f t="shared" si="6"/>
        <v>-1</v>
      </c>
    </row>
    <row r="6" spans="1:20" x14ac:dyDescent="0.25">
      <c r="A6" s="46">
        <v>5</v>
      </c>
      <c r="B6" s="2">
        <v>-1</v>
      </c>
      <c r="C6" s="2">
        <v>-1</v>
      </c>
      <c r="D6" s="2">
        <v>1</v>
      </c>
      <c r="E6" s="2">
        <v>24.8</v>
      </c>
      <c r="F6" s="2">
        <v>20.69</v>
      </c>
      <c r="G6" s="2">
        <v>15.41</v>
      </c>
      <c r="H6" s="49">
        <f t="shared" si="0"/>
        <v>20.3</v>
      </c>
      <c r="I6" s="49">
        <f t="shared" si="1"/>
        <v>22.157100000000014</v>
      </c>
      <c r="J6" s="52">
        <f t="shared" si="2"/>
        <v>-38.039253958242064</v>
      </c>
      <c r="K6" s="98">
        <f t="shared" si="3"/>
        <v>25.647378596124927</v>
      </c>
      <c r="L6" s="42"/>
      <c r="M6" s="41"/>
      <c r="N6" s="41">
        <v>-1</v>
      </c>
      <c r="O6" s="41">
        <v>-1</v>
      </c>
      <c r="P6" s="41">
        <v>1</v>
      </c>
      <c r="Q6" s="41">
        <f t="shared" si="4"/>
        <v>1</v>
      </c>
      <c r="R6" s="41">
        <f t="shared" si="5"/>
        <v>-1</v>
      </c>
      <c r="S6" s="41">
        <f t="shared" si="7"/>
        <v>-1</v>
      </c>
      <c r="T6" s="14">
        <f t="shared" si="6"/>
        <v>1</v>
      </c>
    </row>
    <row r="7" spans="1:20" x14ac:dyDescent="0.25">
      <c r="A7" s="46">
        <v>6</v>
      </c>
      <c r="B7" s="2">
        <v>1</v>
      </c>
      <c r="C7" s="2">
        <v>-1</v>
      </c>
      <c r="D7" s="2">
        <v>1</v>
      </c>
      <c r="E7" s="2">
        <v>43.58</v>
      </c>
      <c r="F7" s="2">
        <v>44.31</v>
      </c>
      <c r="G7" s="2">
        <v>36.99</v>
      </c>
      <c r="H7" s="49">
        <f t="shared" si="0"/>
        <v>41.626666666666665</v>
      </c>
      <c r="I7" s="49">
        <f t="shared" si="1"/>
        <v>16.257233333333328</v>
      </c>
      <c r="J7" s="52">
        <f t="shared" si="2"/>
        <v>-35.338081676183947</v>
      </c>
      <c r="K7" s="98">
        <f t="shared" si="3"/>
        <v>32.299547823475152</v>
      </c>
      <c r="L7" s="42"/>
      <c r="M7" s="41"/>
      <c r="N7" s="41">
        <v>1</v>
      </c>
      <c r="O7" s="41">
        <v>-1</v>
      </c>
      <c r="P7" s="41">
        <v>1</v>
      </c>
      <c r="Q7" s="41">
        <f t="shared" si="4"/>
        <v>-1</v>
      </c>
      <c r="R7" s="41">
        <f t="shared" si="5"/>
        <v>1</v>
      </c>
      <c r="S7" s="41">
        <f t="shared" si="7"/>
        <v>-1</v>
      </c>
      <c r="T7" s="14">
        <f t="shared" si="6"/>
        <v>-1</v>
      </c>
    </row>
    <row r="8" spans="1:20" x14ac:dyDescent="0.25">
      <c r="A8" s="46">
        <v>7</v>
      </c>
      <c r="B8" s="2">
        <v>-1</v>
      </c>
      <c r="C8" s="2">
        <v>1</v>
      </c>
      <c r="D8" s="2">
        <v>1</v>
      </c>
      <c r="E8" s="2">
        <v>45.2</v>
      </c>
      <c r="F8" s="2">
        <v>49.53</v>
      </c>
      <c r="G8" s="2">
        <v>50.29</v>
      </c>
      <c r="H8" s="49">
        <f t="shared" si="0"/>
        <v>48.34</v>
      </c>
      <c r="I8" s="49">
        <f t="shared" si="1"/>
        <v>7.5390999999999906</v>
      </c>
      <c r="J8" s="52">
        <f t="shared" si="2"/>
        <v>-34.271259411334526</v>
      </c>
      <c r="K8" s="98">
        <f t="shared" si="3"/>
        <v>33.656926814242361</v>
      </c>
      <c r="L8" s="42"/>
      <c r="M8" s="41"/>
      <c r="N8" s="41">
        <v>-1</v>
      </c>
      <c r="O8" s="41">
        <v>1</v>
      </c>
      <c r="P8" s="41">
        <v>1</v>
      </c>
      <c r="Q8" s="41">
        <f t="shared" si="4"/>
        <v>-1</v>
      </c>
      <c r="R8" s="41">
        <f t="shared" si="5"/>
        <v>-1</v>
      </c>
      <c r="S8" s="41">
        <f t="shared" si="7"/>
        <v>1</v>
      </c>
      <c r="T8" s="14">
        <f t="shared" si="6"/>
        <v>-1</v>
      </c>
    </row>
    <row r="9" spans="1:20" ht="16.5" thickBot="1" x14ac:dyDescent="0.3">
      <c r="A9" s="47">
        <v>8</v>
      </c>
      <c r="B9" s="4">
        <v>1</v>
      </c>
      <c r="C9" s="4">
        <v>1</v>
      </c>
      <c r="D9" s="4">
        <v>1</v>
      </c>
      <c r="E9" s="4">
        <v>70.510000000000005</v>
      </c>
      <c r="F9" s="4">
        <v>74</v>
      </c>
      <c r="G9" s="4">
        <v>74.680000000000007</v>
      </c>
      <c r="H9" s="50">
        <f t="shared" si="0"/>
        <v>73.063333333333333</v>
      </c>
      <c r="I9" s="50">
        <f>_xlfn.VAR.S(E9:G9)</f>
        <v>5.0052333333333312</v>
      </c>
      <c r="J9" s="99">
        <f t="shared" si="2"/>
        <v>-28.626803630045615</v>
      </c>
      <c r="K9" s="100">
        <f t="shared" si="3"/>
        <v>37.265668219355973</v>
      </c>
      <c r="L9" s="42"/>
      <c r="M9" s="41"/>
      <c r="N9" s="41">
        <v>1</v>
      </c>
      <c r="O9" s="41">
        <v>1</v>
      </c>
      <c r="P9" s="41">
        <v>1</v>
      </c>
      <c r="Q9" s="41">
        <f t="shared" si="4"/>
        <v>1</v>
      </c>
      <c r="R9" s="41">
        <f>N9*P9</f>
        <v>1</v>
      </c>
      <c r="S9" s="41">
        <f>O9*P9</f>
        <v>1</v>
      </c>
      <c r="T9" s="14">
        <f t="shared" si="6"/>
        <v>1</v>
      </c>
    </row>
    <row r="10" spans="1:20" x14ac:dyDescent="0.25">
      <c r="H10" s="18" t="s">
        <v>82</v>
      </c>
      <c r="I10" s="18">
        <f>SUM(I2:I9)/8</f>
        <v>10.893966666666602</v>
      </c>
      <c r="L10" s="42" t="s">
        <v>138</v>
      </c>
      <c r="M10" s="41">
        <v>49.868749999999999</v>
      </c>
      <c r="N10" s="41">
        <v>21.469166666666663</v>
      </c>
      <c r="O10" s="41">
        <v>1.1041666666666679</v>
      </c>
      <c r="P10" s="41">
        <v>-8.072499999999998</v>
      </c>
      <c r="Q10" s="41">
        <v>2.1624999999999979</v>
      </c>
      <c r="R10" s="41">
        <v>28.634166666666701</v>
      </c>
      <c r="S10" s="41">
        <v>1.5558333333333323</v>
      </c>
      <c r="T10" s="14">
        <v>-0.46416666666666373</v>
      </c>
    </row>
    <row r="11" spans="1:20" ht="16.5" thickBot="1" x14ac:dyDescent="0.3">
      <c r="L11" s="53" t="s">
        <v>139</v>
      </c>
      <c r="M11" s="16">
        <v>49.868749999999999</v>
      </c>
      <c r="N11" s="16">
        <v>10.734583333333331</v>
      </c>
      <c r="O11" s="16">
        <v>0.55208333333333393</v>
      </c>
      <c r="P11" s="16">
        <v>-4.036249999999999</v>
      </c>
      <c r="Q11" s="16">
        <v>1.0812499999999989</v>
      </c>
      <c r="R11" s="16">
        <v>14.317083333333334</v>
      </c>
      <c r="S11" s="16">
        <v>0.77791666666666615</v>
      </c>
      <c r="T11" s="17">
        <v>-0.23208333333333186</v>
      </c>
    </row>
    <row r="13" spans="1:20" x14ac:dyDescent="0.25">
      <c r="A13" s="18" t="s">
        <v>83</v>
      </c>
      <c r="B13" s="18">
        <f>I10/6</f>
        <v>1.8156611111111003</v>
      </c>
    </row>
    <row r="14" spans="1:20" x14ac:dyDescent="0.25">
      <c r="A14" s="18" t="s">
        <v>84</v>
      </c>
      <c r="B14" s="18">
        <f>SQRT(B13)</f>
        <v>1.3474646975379727</v>
      </c>
    </row>
    <row r="16" spans="1:20" x14ac:dyDescent="0.25">
      <c r="C16" s="18" t="s">
        <v>103</v>
      </c>
      <c r="D16" s="18" t="s">
        <v>187</v>
      </c>
      <c r="E16" s="18" t="s">
        <v>188</v>
      </c>
      <c r="F16" s="18" t="s">
        <v>189</v>
      </c>
      <c r="G16" s="18" t="s">
        <v>180</v>
      </c>
      <c r="H16" s="18" t="s">
        <v>181</v>
      </c>
      <c r="I16" s="18" t="s">
        <v>182</v>
      </c>
    </row>
    <row r="17" spans="1:9" x14ac:dyDescent="0.25">
      <c r="A17" s="18">
        <v>1</v>
      </c>
      <c r="C17" s="18">
        <f>B2*H2</f>
        <v>-59.026666666666664</v>
      </c>
      <c r="D17" s="18">
        <f t="shared" ref="D17:D24" si="8">C2*H2</f>
        <v>-59.026666666666664</v>
      </c>
      <c r="E17" s="18">
        <f t="shared" ref="E17:E24" si="9">D2*H2</f>
        <v>-59.026666666666664</v>
      </c>
      <c r="F17" s="18">
        <f t="shared" ref="F17:F24" si="10">B2*C2*H2</f>
        <v>59.026666666666664</v>
      </c>
      <c r="G17" s="18">
        <f>C2*D2*H2</f>
        <v>59.026666666666664</v>
      </c>
      <c r="H17" s="18">
        <f>B2*D2*H2</f>
        <v>59.026666666666664</v>
      </c>
      <c r="I17" s="18">
        <f t="shared" ref="I17:I24" si="11">B2*C2*D2*H2</f>
        <v>-59.026666666666664</v>
      </c>
    </row>
    <row r="18" spans="1:9" x14ac:dyDescent="0.25">
      <c r="A18" s="18">
        <v>2</v>
      </c>
      <c r="C18" s="18">
        <f t="shared" ref="C18:C24" si="12">B3*H3</f>
        <v>76.313333333333333</v>
      </c>
      <c r="D18" s="18">
        <f t="shared" si="8"/>
        <v>-76.313333333333333</v>
      </c>
      <c r="E18" s="18">
        <f t="shared" si="9"/>
        <v>-76.313333333333333</v>
      </c>
      <c r="F18" s="18">
        <f t="shared" si="10"/>
        <v>-76.313333333333333</v>
      </c>
      <c r="G18" s="18">
        <f t="shared" ref="G18:G24" si="13">C3*D3*H3</f>
        <v>76.313333333333333</v>
      </c>
      <c r="H18" s="18">
        <f t="shared" ref="H18:H24" si="14">B3*D3*H3</f>
        <v>-76.313333333333333</v>
      </c>
      <c r="I18" s="18">
        <f t="shared" si="11"/>
        <v>76.313333333333333</v>
      </c>
    </row>
    <row r="19" spans="1:9" x14ac:dyDescent="0.25">
      <c r="A19" s="18">
        <v>3</v>
      </c>
      <c r="C19" s="18">
        <f t="shared" si="12"/>
        <v>-28.870000000000005</v>
      </c>
      <c r="D19" s="18">
        <f t="shared" si="8"/>
        <v>28.870000000000005</v>
      </c>
      <c r="E19" s="18">
        <f t="shared" si="9"/>
        <v>-28.870000000000005</v>
      </c>
      <c r="F19" s="18">
        <f t="shared" si="10"/>
        <v>-28.870000000000005</v>
      </c>
      <c r="G19" s="18">
        <f t="shared" si="13"/>
        <v>-28.870000000000005</v>
      </c>
      <c r="H19" s="18">
        <f t="shared" si="14"/>
        <v>28.870000000000005</v>
      </c>
      <c r="I19" s="18">
        <f t="shared" si="11"/>
        <v>28.870000000000005</v>
      </c>
    </row>
    <row r="20" spans="1:9" x14ac:dyDescent="0.25">
      <c r="A20" s="18">
        <v>4</v>
      </c>
      <c r="C20" s="18">
        <f t="shared" si="12"/>
        <v>51.41</v>
      </c>
      <c r="D20" s="18">
        <f t="shared" si="8"/>
        <v>51.41</v>
      </c>
      <c r="E20" s="18">
        <f t="shared" si="9"/>
        <v>-51.41</v>
      </c>
      <c r="F20" s="18">
        <f t="shared" si="10"/>
        <v>51.41</v>
      </c>
      <c r="G20" s="18">
        <f t="shared" si="13"/>
        <v>-51.41</v>
      </c>
      <c r="H20" s="18">
        <f t="shared" si="14"/>
        <v>-51.41</v>
      </c>
      <c r="I20" s="18">
        <f t="shared" si="11"/>
        <v>-51.41</v>
      </c>
    </row>
    <row r="21" spans="1:9" x14ac:dyDescent="0.25">
      <c r="A21" s="18">
        <v>5</v>
      </c>
      <c r="C21" s="18">
        <f t="shared" si="12"/>
        <v>-20.3</v>
      </c>
      <c r="D21" s="18">
        <f t="shared" si="8"/>
        <v>-20.3</v>
      </c>
      <c r="E21" s="18">
        <f t="shared" si="9"/>
        <v>20.3</v>
      </c>
      <c r="F21" s="18">
        <f t="shared" si="10"/>
        <v>20.3</v>
      </c>
      <c r="G21" s="18">
        <f t="shared" si="13"/>
        <v>-20.3</v>
      </c>
      <c r="H21" s="18">
        <f t="shared" si="14"/>
        <v>-20.3</v>
      </c>
      <c r="I21" s="18">
        <f t="shared" si="11"/>
        <v>20.3</v>
      </c>
    </row>
    <row r="22" spans="1:9" x14ac:dyDescent="0.25">
      <c r="A22" s="18">
        <v>6</v>
      </c>
      <c r="C22" s="18">
        <f t="shared" si="12"/>
        <v>41.626666666666665</v>
      </c>
      <c r="D22" s="18">
        <f t="shared" si="8"/>
        <v>-41.626666666666665</v>
      </c>
      <c r="E22" s="18">
        <f t="shared" si="9"/>
        <v>41.626666666666665</v>
      </c>
      <c r="F22" s="18">
        <f t="shared" si="10"/>
        <v>-41.626666666666665</v>
      </c>
      <c r="G22" s="18">
        <f t="shared" si="13"/>
        <v>-41.626666666666665</v>
      </c>
      <c r="H22" s="18">
        <f t="shared" si="14"/>
        <v>41.626666666666665</v>
      </c>
      <c r="I22" s="18">
        <f t="shared" si="11"/>
        <v>-41.626666666666665</v>
      </c>
    </row>
    <row r="23" spans="1:9" x14ac:dyDescent="0.25">
      <c r="A23" s="18">
        <v>7</v>
      </c>
      <c r="C23" s="18">
        <f t="shared" si="12"/>
        <v>-48.34</v>
      </c>
      <c r="D23" s="18">
        <f t="shared" si="8"/>
        <v>48.34</v>
      </c>
      <c r="E23" s="18">
        <f t="shared" si="9"/>
        <v>48.34</v>
      </c>
      <c r="F23" s="18">
        <f t="shared" si="10"/>
        <v>-48.34</v>
      </c>
      <c r="G23" s="18">
        <f t="shared" si="13"/>
        <v>48.34</v>
      </c>
      <c r="H23" s="18">
        <f t="shared" si="14"/>
        <v>-48.34</v>
      </c>
      <c r="I23" s="18">
        <f t="shared" si="11"/>
        <v>-48.34</v>
      </c>
    </row>
    <row r="24" spans="1:9" x14ac:dyDescent="0.25">
      <c r="A24" s="18">
        <v>8</v>
      </c>
      <c r="C24" s="18">
        <f t="shared" si="12"/>
        <v>73.063333333333333</v>
      </c>
      <c r="D24" s="18">
        <f t="shared" si="8"/>
        <v>73.063333333333333</v>
      </c>
      <c r="E24" s="18">
        <f t="shared" si="9"/>
        <v>73.063333333333333</v>
      </c>
      <c r="F24" s="18">
        <f t="shared" si="10"/>
        <v>73.063333333333333</v>
      </c>
      <c r="G24" s="18">
        <f t="shared" si="13"/>
        <v>73.063333333333333</v>
      </c>
      <c r="H24" s="18">
        <f t="shared" si="14"/>
        <v>73.063333333333333</v>
      </c>
      <c r="I24" s="18">
        <f t="shared" si="11"/>
        <v>73.063333333333333</v>
      </c>
    </row>
    <row r="25" spans="1:9" x14ac:dyDescent="0.25">
      <c r="A25" s="18" t="s">
        <v>118</v>
      </c>
      <c r="B25" s="18">
        <f>AVERAGE(E2:G9)</f>
        <v>49.868749999999999</v>
      </c>
      <c r="C25" s="18">
        <f>SUM(C17:C24)/4</f>
        <v>21.469166666666663</v>
      </c>
      <c r="D25" s="18">
        <f t="shared" ref="D25:I25" si="15">SUM(D17:D24)/4</f>
        <v>1.1041666666666679</v>
      </c>
      <c r="E25" s="18">
        <f t="shared" si="15"/>
        <v>-8.072499999999998</v>
      </c>
      <c r="F25" s="18">
        <f t="shared" si="15"/>
        <v>2.1624999999999979</v>
      </c>
      <c r="G25" s="18">
        <f t="shared" si="15"/>
        <v>28.634166666666669</v>
      </c>
      <c r="H25" s="18">
        <f t="shared" si="15"/>
        <v>1.5558333333333323</v>
      </c>
      <c r="I25" s="18">
        <f t="shared" si="15"/>
        <v>-0.46416666666666373</v>
      </c>
    </row>
    <row r="26" spans="1:9" x14ac:dyDescent="0.25">
      <c r="A26" s="18" t="s">
        <v>119</v>
      </c>
      <c r="B26" s="18">
        <f>B25</f>
        <v>49.868749999999999</v>
      </c>
      <c r="C26" s="18">
        <f>C25/2</f>
        <v>10.734583333333331</v>
      </c>
      <c r="D26" s="18">
        <f t="shared" ref="D26:I26" si="16">D25/2</f>
        <v>0.55208333333333393</v>
      </c>
      <c r="E26" s="18">
        <f t="shared" si="16"/>
        <v>-4.036249999999999</v>
      </c>
      <c r="F26" s="18">
        <f t="shared" si="16"/>
        <v>1.0812499999999989</v>
      </c>
      <c r="G26" s="18">
        <f t="shared" si="16"/>
        <v>14.317083333333334</v>
      </c>
      <c r="H26" s="18">
        <f t="shared" si="16"/>
        <v>0.77791666666666615</v>
      </c>
      <c r="I26" s="18">
        <f t="shared" si="16"/>
        <v>-0.23208333333333186</v>
      </c>
    </row>
    <row r="29" spans="1:9" x14ac:dyDescent="0.25">
      <c r="B29" s="18">
        <f>_xlfn.T.INV(0.025,16)</f>
        <v>-2.119905299221255</v>
      </c>
      <c r="C29" s="43"/>
      <c r="D29" s="18">
        <f>B14*B29</f>
        <v>-2.8564975528243139</v>
      </c>
    </row>
    <row r="30" spans="1:9" x14ac:dyDescent="0.25">
      <c r="B30" s="18">
        <f>_xlfn.T.INV(0.975,16)</f>
        <v>2.119905299221255</v>
      </c>
      <c r="D30" s="18">
        <f>B14*B30</f>
        <v>2.8564975528243139</v>
      </c>
    </row>
    <row r="32" spans="1:9" ht="16.5" thickBot="1" x14ac:dyDescent="0.3">
      <c r="A32" s="18" t="s">
        <v>86</v>
      </c>
    </row>
    <row r="33" spans="1:17" x14ac:dyDescent="0.25">
      <c r="A33" s="57"/>
      <c r="B33" s="58" t="s">
        <v>126</v>
      </c>
      <c r="C33" s="58" t="s">
        <v>123</v>
      </c>
      <c r="D33" s="58" t="s">
        <v>124</v>
      </c>
      <c r="E33" s="58" t="s">
        <v>125</v>
      </c>
      <c r="F33" s="58" t="s">
        <v>185</v>
      </c>
      <c r="G33" s="58" t="s">
        <v>183</v>
      </c>
      <c r="H33" s="58" t="s">
        <v>184</v>
      </c>
      <c r="I33" s="59" t="s">
        <v>186</v>
      </c>
    </row>
    <row r="34" spans="1:17" x14ac:dyDescent="0.25">
      <c r="A34" s="13" t="s">
        <v>87</v>
      </c>
      <c r="B34" s="41">
        <f>B26+D30</f>
        <v>52.725247552824314</v>
      </c>
      <c r="C34" s="41">
        <f>(C25+$D$30)/2</f>
        <v>12.162832109745489</v>
      </c>
      <c r="D34" s="82">
        <f t="shared" ref="D34:I34" si="17">(D25+$D$30)/2</f>
        <v>1.9803321097454909</v>
      </c>
      <c r="E34" s="82">
        <f t="shared" si="17"/>
        <v>-2.6080012235878423</v>
      </c>
      <c r="F34" s="82">
        <f t="shared" si="17"/>
        <v>2.5094987764121557</v>
      </c>
      <c r="G34" s="82">
        <f t="shared" si="17"/>
        <v>15.745332109745492</v>
      </c>
      <c r="H34" s="82">
        <f t="shared" si="17"/>
        <v>2.2061654430788229</v>
      </c>
      <c r="I34" s="82">
        <f t="shared" si="17"/>
        <v>1.1961654430788251</v>
      </c>
    </row>
    <row r="35" spans="1:17" x14ac:dyDescent="0.25">
      <c r="A35" s="13" t="s">
        <v>88</v>
      </c>
      <c r="B35" s="41">
        <f>B26+D29</f>
        <v>47.012252447175683</v>
      </c>
      <c r="C35" s="41">
        <f>(C25+$D$29)/2</f>
        <v>9.3063345569211737</v>
      </c>
      <c r="D35" s="82">
        <f t="shared" ref="D35:I35" si="18">(D25+$D$29)/2</f>
        <v>-0.87616544307882305</v>
      </c>
      <c r="E35" s="82">
        <f t="shared" si="18"/>
        <v>-5.4644987764121558</v>
      </c>
      <c r="F35" s="82">
        <f t="shared" si="18"/>
        <v>-0.34699877641215804</v>
      </c>
      <c r="G35" s="82">
        <f t="shared" si="18"/>
        <v>12.888834556921177</v>
      </c>
      <c r="H35" s="82">
        <f t="shared" si="18"/>
        <v>-0.65033210974549083</v>
      </c>
      <c r="I35" s="82">
        <f t="shared" si="18"/>
        <v>-1.6603321097454888</v>
      </c>
    </row>
    <row r="36" spans="1:17" x14ac:dyDescent="0.25">
      <c r="A36" s="13" t="s">
        <v>85</v>
      </c>
      <c r="B36" s="41">
        <f t="shared" ref="B36:I36" si="19">B25/$B$14</f>
        <v>37.00931838223142</v>
      </c>
      <c r="C36" s="41">
        <f>C25/$B$14</f>
        <v>15.933008639034599</v>
      </c>
      <c r="D36" s="41">
        <f t="shared" si="19"/>
        <v>0.81944014465399495</v>
      </c>
      <c r="E36" s="41">
        <f t="shared" si="19"/>
        <v>-5.990880514160934</v>
      </c>
      <c r="F36" s="41">
        <f t="shared" si="19"/>
        <v>1.6048657927374432</v>
      </c>
      <c r="G36" s="41">
        <f t="shared" si="19"/>
        <v>21.250402121098787</v>
      </c>
      <c r="H36" s="41">
        <f t="shared" si="19"/>
        <v>1.1546375472218913</v>
      </c>
      <c r="I36" s="14">
        <f t="shared" si="19"/>
        <v>-0.34447408345077118</v>
      </c>
    </row>
    <row r="37" spans="1:17" x14ac:dyDescent="0.25">
      <c r="A37" s="13" t="s">
        <v>127</v>
      </c>
      <c r="B37" s="41">
        <f t="shared" ref="B37" si="20">1-_xlfn.T.DIST(B36,16,1)</f>
        <v>0</v>
      </c>
      <c r="C37" s="41">
        <f>(1-_xlfn.T.DIST(C36,16,1))/2</f>
        <v>7.7027273448493361E-12</v>
      </c>
      <c r="D37" s="82">
        <f>(1-_xlfn.T.DIST(D36,16,1))/2</f>
        <v>0.10614351185200177</v>
      </c>
      <c r="E37" s="82">
        <f t="shared" ref="E37:H37" si="21">(1-_xlfn.T.DIST(E36,16,1))/2</f>
        <v>0.4999952889379633</v>
      </c>
      <c r="F37" s="82">
        <f t="shared" si="21"/>
        <v>3.2019342741492651E-2</v>
      </c>
      <c r="G37" s="82">
        <f t="shared" si="21"/>
        <v>9.3702823278363212E-14</v>
      </c>
      <c r="H37" s="82">
        <f t="shared" si="21"/>
        <v>6.6298324451952606E-2</v>
      </c>
      <c r="I37" s="82">
        <f>(_xlfn.T.DIST(I36,16,1))*2</f>
        <v>0.73497586712810914</v>
      </c>
    </row>
    <row r="38" spans="1:17" x14ac:dyDescent="0.25">
      <c r="A38" s="13" t="s">
        <v>141</v>
      </c>
      <c r="B38" s="41" t="s">
        <v>142</v>
      </c>
      <c r="C38" s="41" t="s">
        <v>143</v>
      </c>
      <c r="D38" s="41" t="s">
        <v>144</v>
      </c>
      <c r="E38" s="41" t="s">
        <v>143</v>
      </c>
      <c r="F38" s="41" t="s">
        <v>145</v>
      </c>
      <c r="G38" s="41" t="s">
        <v>142</v>
      </c>
      <c r="H38" s="41" t="s">
        <v>145</v>
      </c>
      <c r="I38" s="14" t="s">
        <v>146</v>
      </c>
    </row>
    <row r="39" spans="1:17" ht="16.5" thickBot="1" x14ac:dyDescent="0.3">
      <c r="A39" s="15" t="s">
        <v>147</v>
      </c>
      <c r="B39" s="55" t="s">
        <v>148</v>
      </c>
      <c r="C39" s="55" t="s">
        <v>149</v>
      </c>
      <c r="D39" s="55" t="s">
        <v>150</v>
      </c>
      <c r="E39" s="55" t="s">
        <v>153</v>
      </c>
      <c r="F39" s="55" t="s">
        <v>151</v>
      </c>
      <c r="G39" s="55" t="s">
        <v>148</v>
      </c>
      <c r="H39" s="55" t="s">
        <v>152</v>
      </c>
      <c r="I39" s="56" t="s">
        <v>150</v>
      </c>
    </row>
    <row r="44" spans="1:17" ht="16.5" thickBot="1" x14ac:dyDescent="0.3"/>
    <row r="45" spans="1:17" x14ac:dyDescent="0.25">
      <c r="A45" s="10"/>
      <c r="B45" s="11" t="s">
        <v>190</v>
      </c>
      <c r="C45" s="11" t="s">
        <v>191</v>
      </c>
      <c r="D45" s="11" t="s">
        <v>192</v>
      </c>
      <c r="E45" s="11" t="s">
        <v>135</v>
      </c>
      <c r="F45" s="11" t="s">
        <v>193</v>
      </c>
      <c r="G45" s="11" t="s">
        <v>194</v>
      </c>
      <c r="H45" s="12" t="s">
        <v>137</v>
      </c>
      <c r="J45" s="10"/>
      <c r="K45" s="11" t="s">
        <v>6</v>
      </c>
      <c r="L45" s="11" t="s">
        <v>191</v>
      </c>
      <c r="M45" s="11" t="s">
        <v>192</v>
      </c>
      <c r="N45" s="11" t="s">
        <v>135</v>
      </c>
      <c r="O45" s="11" t="s">
        <v>193</v>
      </c>
      <c r="P45" s="11" t="s">
        <v>194</v>
      </c>
      <c r="Q45" s="12" t="s">
        <v>137</v>
      </c>
    </row>
    <row r="46" spans="1:17" x14ac:dyDescent="0.25">
      <c r="A46" s="86">
        <v>1</v>
      </c>
      <c r="B46" s="87">
        <f>B2*J2</f>
        <v>32.25847180659887</v>
      </c>
      <c r="C46" s="87">
        <f>C2*J2</f>
        <v>32.25847180659887</v>
      </c>
      <c r="D46" s="87">
        <f>D2*J2</f>
        <v>32.25847180659887</v>
      </c>
      <c r="E46" s="87">
        <f>B2*C2*J2</f>
        <v>-32.25847180659887</v>
      </c>
      <c r="F46" s="87">
        <f t="shared" ref="F46:F53" si="22">B2*D2*J2</f>
        <v>-32.25847180659887</v>
      </c>
      <c r="G46" s="87">
        <f t="shared" ref="G46:G53" si="23">C2*D2*J2</f>
        <v>-32.25847180659887</v>
      </c>
      <c r="H46" s="88">
        <f>B2*C2*D2*J2</f>
        <v>32.25847180659887</v>
      </c>
      <c r="J46" s="86">
        <v>1</v>
      </c>
      <c r="K46" s="101">
        <f>B2*K2</f>
        <v>-35.408910608317413</v>
      </c>
      <c r="L46" s="101">
        <f>C2*K2</f>
        <v>-35.408910608317413</v>
      </c>
      <c r="M46" s="101">
        <f>D2*K2</f>
        <v>-35.408910608317413</v>
      </c>
      <c r="N46" s="101">
        <f>B2*C2*K2</f>
        <v>35.408910608317413</v>
      </c>
      <c r="O46" s="101">
        <f>B2*D2*K2</f>
        <v>35.408910608317413</v>
      </c>
      <c r="P46" s="101">
        <f>C2*D2*K2</f>
        <v>35.408910608317413</v>
      </c>
      <c r="Q46" s="102">
        <f>B2*C2*D2*K2</f>
        <v>-35.408910608317413</v>
      </c>
    </row>
    <row r="47" spans="1:17" x14ac:dyDescent="0.25">
      <c r="A47" s="86">
        <v>2</v>
      </c>
      <c r="B47" s="87">
        <f t="shared" ref="B47:B53" si="24">B3*J3</f>
        <v>-27.4962084898306</v>
      </c>
      <c r="C47" s="87">
        <f t="shared" ref="C47:C53" si="25">C3*J3</f>
        <v>27.4962084898306</v>
      </c>
      <c r="D47" s="87">
        <f t="shared" ref="D47:D53" si="26">D3*J3</f>
        <v>27.4962084898306</v>
      </c>
      <c r="E47" s="87">
        <f t="shared" ref="E47:E53" si="27">B3*C3*J3</f>
        <v>27.4962084898306</v>
      </c>
      <c r="F47" s="87">
        <f t="shared" si="22"/>
        <v>27.4962084898306</v>
      </c>
      <c r="G47" s="87">
        <f t="shared" si="23"/>
        <v>-27.4962084898306</v>
      </c>
      <c r="H47" s="88">
        <f t="shared" ref="H47:H53" si="28">B3*C3*D3*J3</f>
        <v>-27.4962084898306</v>
      </c>
      <c r="J47" s="86">
        <v>2</v>
      </c>
      <c r="K47" s="101">
        <f t="shared" ref="K47:K53" si="29">B3*K3</f>
        <v>37.650254614759426</v>
      </c>
      <c r="L47" s="101">
        <f t="shared" ref="L47:L53" si="30">C3*K3</f>
        <v>-37.650254614759426</v>
      </c>
      <c r="M47" s="101">
        <f t="shared" ref="M47:M53" si="31">D3*K3</f>
        <v>-37.650254614759426</v>
      </c>
      <c r="N47" s="101">
        <f t="shared" ref="N47:N53" si="32">B3*C3*K3</f>
        <v>-37.650254614759426</v>
      </c>
      <c r="O47" s="101">
        <f t="shared" ref="O47:O53" si="33">B3*D3*K3</f>
        <v>-37.650254614759426</v>
      </c>
      <c r="P47" s="101">
        <f t="shared" ref="P47:P53" si="34">C3*D3*K3</f>
        <v>37.650254614759426</v>
      </c>
      <c r="Q47" s="102">
        <f t="shared" ref="Q47:Q53" si="35">B3*C3*D3*K3</f>
        <v>37.650254614759426</v>
      </c>
    </row>
    <row r="48" spans="1:17" x14ac:dyDescent="0.25">
      <c r="A48" s="86">
        <v>3</v>
      </c>
      <c r="B48" s="87">
        <f t="shared" si="24"/>
        <v>37.053318005467176</v>
      </c>
      <c r="C48" s="87">
        <f t="shared" si="25"/>
        <v>-37.053318005467176</v>
      </c>
      <c r="D48" s="87">
        <f t="shared" si="26"/>
        <v>37.053318005467176</v>
      </c>
      <c r="E48" s="87">
        <f t="shared" si="27"/>
        <v>37.053318005467176</v>
      </c>
      <c r="F48" s="87">
        <f t="shared" si="22"/>
        <v>-37.053318005467176</v>
      </c>
      <c r="G48" s="87">
        <f t="shared" si="23"/>
        <v>37.053318005467176</v>
      </c>
      <c r="H48" s="88">
        <f t="shared" si="28"/>
        <v>-37.053318005467176</v>
      </c>
      <c r="J48" s="86">
        <v>3</v>
      </c>
      <c r="K48" s="101">
        <f t="shared" si="29"/>
        <v>-29.000941294066639</v>
      </c>
      <c r="L48" s="101">
        <f t="shared" si="30"/>
        <v>29.000941294066639</v>
      </c>
      <c r="M48" s="101">
        <f t="shared" si="31"/>
        <v>-29.000941294066639</v>
      </c>
      <c r="N48" s="101">
        <f t="shared" si="32"/>
        <v>-29.000941294066639</v>
      </c>
      <c r="O48" s="101">
        <f t="shared" si="33"/>
        <v>29.000941294066639</v>
      </c>
      <c r="P48" s="101">
        <f t="shared" si="34"/>
        <v>-29.000941294066639</v>
      </c>
      <c r="Q48" s="102">
        <f t="shared" si="35"/>
        <v>29.000941294066639</v>
      </c>
    </row>
    <row r="49" spans="1:17" x14ac:dyDescent="0.25">
      <c r="A49" s="86">
        <v>4</v>
      </c>
      <c r="B49" s="87">
        <f t="shared" si="24"/>
        <v>-33.741526243370735</v>
      </c>
      <c r="C49" s="87">
        <f t="shared" si="25"/>
        <v>-33.741526243370735</v>
      </c>
      <c r="D49" s="87">
        <f t="shared" si="26"/>
        <v>33.741526243370735</v>
      </c>
      <c r="E49" s="87">
        <f t="shared" si="27"/>
        <v>-33.741526243370735</v>
      </c>
      <c r="F49" s="87">
        <f t="shared" si="22"/>
        <v>33.741526243370735</v>
      </c>
      <c r="G49" s="87">
        <f t="shared" si="23"/>
        <v>33.741526243370735</v>
      </c>
      <c r="H49" s="88">
        <f t="shared" si="28"/>
        <v>33.741526243370735</v>
      </c>
      <c r="J49" s="86">
        <v>4</v>
      </c>
      <c r="K49" s="101">
        <f t="shared" si="29"/>
        <v>34.192524115312551</v>
      </c>
      <c r="L49" s="101">
        <f t="shared" si="30"/>
        <v>34.192524115312551</v>
      </c>
      <c r="M49" s="101">
        <f t="shared" si="31"/>
        <v>-34.192524115312551</v>
      </c>
      <c r="N49" s="101">
        <f t="shared" si="32"/>
        <v>34.192524115312551</v>
      </c>
      <c r="O49" s="101">
        <f t="shared" si="33"/>
        <v>-34.192524115312551</v>
      </c>
      <c r="P49" s="101">
        <f t="shared" si="34"/>
        <v>-34.192524115312551</v>
      </c>
      <c r="Q49" s="102">
        <f t="shared" si="35"/>
        <v>-34.192524115312551</v>
      </c>
    </row>
    <row r="50" spans="1:17" x14ac:dyDescent="0.25">
      <c r="A50" s="86">
        <v>5</v>
      </c>
      <c r="B50" s="87">
        <f t="shared" si="24"/>
        <v>38.039253958242064</v>
      </c>
      <c r="C50" s="87">
        <f t="shared" si="25"/>
        <v>38.039253958242064</v>
      </c>
      <c r="D50" s="87">
        <f t="shared" si="26"/>
        <v>-38.039253958242064</v>
      </c>
      <c r="E50" s="87">
        <f t="shared" si="27"/>
        <v>-38.039253958242064</v>
      </c>
      <c r="F50" s="87">
        <f t="shared" si="22"/>
        <v>38.039253958242064</v>
      </c>
      <c r="G50" s="87">
        <f t="shared" si="23"/>
        <v>38.039253958242064</v>
      </c>
      <c r="H50" s="88">
        <f t="shared" si="28"/>
        <v>-38.039253958242064</v>
      </c>
      <c r="J50" s="86">
        <v>5</v>
      </c>
      <c r="K50" s="101">
        <f t="shared" si="29"/>
        <v>-25.647378596124927</v>
      </c>
      <c r="L50" s="101">
        <f t="shared" si="30"/>
        <v>-25.647378596124927</v>
      </c>
      <c r="M50" s="101">
        <f t="shared" si="31"/>
        <v>25.647378596124927</v>
      </c>
      <c r="N50" s="101">
        <f t="shared" si="32"/>
        <v>25.647378596124927</v>
      </c>
      <c r="O50" s="101">
        <f t="shared" si="33"/>
        <v>-25.647378596124927</v>
      </c>
      <c r="P50" s="101">
        <f t="shared" si="34"/>
        <v>-25.647378596124927</v>
      </c>
      <c r="Q50" s="102">
        <f t="shared" si="35"/>
        <v>25.647378596124927</v>
      </c>
    </row>
    <row r="51" spans="1:17" x14ac:dyDescent="0.25">
      <c r="A51" s="86">
        <v>6</v>
      </c>
      <c r="B51" s="87">
        <f t="shared" si="24"/>
        <v>-35.338081676183947</v>
      </c>
      <c r="C51" s="87">
        <f t="shared" si="25"/>
        <v>35.338081676183947</v>
      </c>
      <c r="D51" s="87">
        <f t="shared" si="26"/>
        <v>-35.338081676183947</v>
      </c>
      <c r="E51" s="87">
        <f t="shared" si="27"/>
        <v>35.338081676183947</v>
      </c>
      <c r="F51" s="87">
        <f t="shared" si="22"/>
        <v>-35.338081676183947</v>
      </c>
      <c r="G51" s="87">
        <f t="shared" si="23"/>
        <v>35.338081676183947</v>
      </c>
      <c r="H51" s="88">
        <f t="shared" si="28"/>
        <v>35.338081676183947</v>
      </c>
      <c r="J51" s="86">
        <v>6</v>
      </c>
      <c r="K51" s="101">
        <f t="shared" si="29"/>
        <v>32.299547823475152</v>
      </c>
      <c r="L51" s="101">
        <f t="shared" si="30"/>
        <v>-32.299547823475152</v>
      </c>
      <c r="M51" s="101">
        <f t="shared" si="31"/>
        <v>32.299547823475152</v>
      </c>
      <c r="N51" s="101">
        <f t="shared" si="32"/>
        <v>-32.299547823475152</v>
      </c>
      <c r="O51" s="101">
        <f t="shared" si="33"/>
        <v>32.299547823475152</v>
      </c>
      <c r="P51" s="101">
        <f t="shared" si="34"/>
        <v>-32.299547823475152</v>
      </c>
      <c r="Q51" s="102">
        <f t="shared" si="35"/>
        <v>-32.299547823475152</v>
      </c>
    </row>
    <row r="52" spans="1:17" x14ac:dyDescent="0.25">
      <c r="A52" s="86">
        <v>7</v>
      </c>
      <c r="B52" s="87">
        <f t="shared" si="24"/>
        <v>34.271259411334526</v>
      </c>
      <c r="C52" s="87">
        <f t="shared" si="25"/>
        <v>-34.271259411334526</v>
      </c>
      <c r="D52" s="87">
        <f t="shared" si="26"/>
        <v>-34.271259411334526</v>
      </c>
      <c r="E52" s="87">
        <f t="shared" si="27"/>
        <v>34.271259411334526</v>
      </c>
      <c r="F52" s="87">
        <f t="shared" si="22"/>
        <v>34.271259411334526</v>
      </c>
      <c r="G52" s="87">
        <f t="shared" si="23"/>
        <v>-34.271259411334526</v>
      </c>
      <c r="H52" s="88">
        <f t="shared" si="28"/>
        <v>34.271259411334526</v>
      </c>
      <c r="J52" s="86">
        <v>7</v>
      </c>
      <c r="K52" s="101">
        <f t="shared" si="29"/>
        <v>-33.656926814242361</v>
      </c>
      <c r="L52" s="101">
        <f t="shared" si="30"/>
        <v>33.656926814242361</v>
      </c>
      <c r="M52" s="101">
        <f t="shared" si="31"/>
        <v>33.656926814242361</v>
      </c>
      <c r="N52" s="101">
        <f t="shared" si="32"/>
        <v>-33.656926814242361</v>
      </c>
      <c r="O52" s="101">
        <f t="shared" si="33"/>
        <v>-33.656926814242361</v>
      </c>
      <c r="P52" s="101">
        <f t="shared" si="34"/>
        <v>33.656926814242361</v>
      </c>
      <c r="Q52" s="102">
        <f t="shared" si="35"/>
        <v>-33.656926814242361</v>
      </c>
    </row>
    <row r="53" spans="1:17" ht="16.5" thickBot="1" x14ac:dyDescent="0.3">
      <c r="A53" s="69">
        <v>8</v>
      </c>
      <c r="B53" s="70">
        <f t="shared" si="24"/>
        <v>-28.626803630045615</v>
      </c>
      <c r="C53" s="70">
        <f t="shared" si="25"/>
        <v>-28.626803630045615</v>
      </c>
      <c r="D53" s="70">
        <f t="shared" si="26"/>
        <v>-28.626803630045615</v>
      </c>
      <c r="E53" s="87">
        <f t="shared" si="27"/>
        <v>-28.626803630045615</v>
      </c>
      <c r="F53" s="70">
        <f t="shared" si="22"/>
        <v>-28.626803630045615</v>
      </c>
      <c r="G53" s="70">
        <f t="shared" si="23"/>
        <v>-28.626803630045615</v>
      </c>
      <c r="H53" s="71">
        <f t="shared" si="28"/>
        <v>-28.626803630045615</v>
      </c>
      <c r="J53" s="69">
        <v>8</v>
      </c>
      <c r="K53" s="101">
        <f t="shared" si="29"/>
        <v>37.265668219355973</v>
      </c>
      <c r="L53" s="101">
        <f t="shared" si="30"/>
        <v>37.265668219355973</v>
      </c>
      <c r="M53" s="101">
        <f t="shared" si="31"/>
        <v>37.265668219355973</v>
      </c>
      <c r="N53" s="101">
        <f t="shared" si="32"/>
        <v>37.265668219355973</v>
      </c>
      <c r="O53" s="101">
        <f t="shared" si="33"/>
        <v>37.265668219355973</v>
      </c>
      <c r="P53" s="101">
        <f t="shared" si="34"/>
        <v>37.265668219355973</v>
      </c>
      <c r="Q53" s="102">
        <f t="shared" si="35"/>
        <v>37.265668219355973</v>
      </c>
    </row>
    <row r="54" spans="1:17" x14ac:dyDescent="0.25">
      <c r="A54" s="144" t="s">
        <v>138</v>
      </c>
      <c r="B54" s="72" t="s">
        <v>196</v>
      </c>
      <c r="C54" s="72" t="s">
        <v>198</v>
      </c>
      <c r="D54" s="72" t="s">
        <v>200</v>
      </c>
      <c r="E54" s="72" t="s">
        <v>210</v>
      </c>
      <c r="F54" s="72" t="s">
        <v>203</v>
      </c>
      <c r="G54" s="72" t="s">
        <v>204</v>
      </c>
      <c r="H54" s="73" t="s">
        <v>206</v>
      </c>
      <c r="J54" s="144" t="s">
        <v>138</v>
      </c>
      <c r="K54" s="103" t="s">
        <v>196</v>
      </c>
      <c r="L54" s="103" t="s">
        <v>198</v>
      </c>
      <c r="M54" s="103" t="s">
        <v>200</v>
      </c>
      <c r="N54" s="103" t="s">
        <v>210</v>
      </c>
      <c r="O54" s="103" t="s">
        <v>203</v>
      </c>
      <c r="P54" s="103" t="s">
        <v>204</v>
      </c>
      <c r="Q54" s="104" t="s">
        <v>206</v>
      </c>
    </row>
    <row r="55" spans="1:17" ht="16.5" thickBot="1" x14ac:dyDescent="0.3">
      <c r="A55" s="164"/>
      <c r="B55" s="55">
        <f>SUM(B46:B53)/4</f>
        <v>4.1049207855529346</v>
      </c>
      <c r="C55" s="55">
        <f t="shared" ref="C55:H55" si="36">SUM(C46:C53)/4</f>
        <v>-0.14022283984064288</v>
      </c>
      <c r="D55" s="55">
        <f t="shared" si="36"/>
        <v>-1.431468532634689</v>
      </c>
      <c r="E55" s="55">
        <f t="shared" si="36"/>
        <v>0.37320298613974145</v>
      </c>
      <c r="F55" s="55">
        <f>SUM(F46:F53)/4</f>
        <v>6.7893246120579676E-2</v>
      </c>
      <c r="G55" s="55">
        <f>SUM(G46:G53)/4</f>
        <v>5.3798591363635779</v>
      </c>
      <c r="H55" s="56">
        <f t="shared" si="36"/>
        <v>1.0984387634756558</v>
      </c>
      <c r="J55" s="164"/>
      <c r="K55" s="105">
        <f>SUM(K46:K53)/4</f>
        <v>4.4234593650379406</v>
      </c>
      <c r="L55" s="105">
        <f t="shared" ref="L55:N55" si="37">SUM(L46:L53)/4</f>
        <v>0.77749220007515341</v>
      </c>
      <c r="M55" s="105">
        <f t="shared" si="37"/>
        <v>-1.8457772948144058</v>
      </c>
      <c r="N55" s="105">
        <f t="shared" si="37"/>
        <v>-2.3297251858178214E-2</v>
      </c>
      <c r="O55" s="105">
        <f>SUM(O46:O53)/4</f>
        <v>0.70699595119397785</v>
      </c>
      <c r="P55" s="105">
        <f>SUM(P46:P53)/4</f>
        <v>5.7103421069239761</v>
      </c>
      <c r="Q55" s="106">
        <f t="shared" ref="Q55" si="38">SUM(Q46:Q53)/4</f>
        <v>-1.498416659260128</v>
      </c>
    </row>
    <row r="56" spans="1:17" x14ac:dyDescent="0.25">
      <c r="A56" s="18" t="s">
        <v>209</v>
      </c>
      <c r="L56" s="18" t="s">
        <v>228</v>
      </c>
      <c r="N56" s="18" t="s">
        <v>229</v>
      </c>
      <c r="P56" s="18" t="s">
        <v>230</v>
      </c>
    </row>
    <row r="57" spans="1:17" x14ac:dyDescent="0.25">
      <c r="L57" s="18" t="s">
        <v>212</v>
      </c>
      <c r="M57" s="18">
        <v>1</v>
      </c>
      <c r="N57" s="18" t="s">
        <v>212</v>
      </c>
      <c r="O57" s="18">
        <v>1</v>
      </c>
      <c r="P57" s="18" t="s">
        <v>231</v>
      </c>
      <c r="Q57" s="18">
        <v>1</v>
      </c>
    </row>
    <row r="58" spans="1:17" x14ac:dyDescent="0.25">
      <c r="L58" s="18" t="s">
        <v>213</v>
      </c>
      <c r="M58" s="18">
        <v>-1</v>
      </c>
      <c r="N58" s="18" t="s">
        <v>215</v>
      </c>
      <c r="O58" s="18">
        <v>-1</v>
      </c>
      <c r="P58" s="18" t="s">
        <v>232</v>
      </c>
      <c r="Q58" s="18">
        <v>-1</v>
      </c>
    </row>
    <row r="59" spans="1:17" x14ac:dyDescent="0.25">
      <c r="L59" s="18" t="s">
        <v>214</v>
      </c>
      <c r="M59" s="18">
        <v>-1</v>
      </c>
      <c r="N59" s="18" t="s">
        <v>214</v>
      </c>
      <c r="O59" s="18">
        <v>-1</v>
      </c>
      <c r="P59" s="18" t="s">
        <v>233</v>
      </c>
      <c r="Q59" s="18">
        <v>-1</v>
      </c>
    </row>
    <row r="60" spans="1:17" x14ac:dyDescent="0.25">
      <c r="L60" s="18" t="s">
        <v>216</v>
      </c>
      <c r="M60" s="18">
        <f>B26+M57*C26+E26*M59+G26*M58*M59</f>
        <v>78.956666666666663</v>
      </c>
      <c r="N60" s="18" t="s">
        <v>217</v>
      </c>
      <c r="O60" s="18">
        <f>(B78+C78*O57+D78*O58+E78*O59+F78*O57*O58+G78*O57*O59+H78*O58*O59+I78*O57*O58*O59)</f>
        <v>-27.4962084898306</v>
      </c>
      <c r="P60" s="18" t="s">
        <v>234</v>
      </c>
      <c r="Q60" s="18">
        <f>L78+M78*Q57+N78*Q58+O78*Q59+P78*Q57*Q58+Q78*Q57*Q59+R78*Q58*Q59+S78*Q57*Q58*Q59</f>
        <v>37.650254614759426</v>
      </c>
    </row>
    <row r="61" spans="1:17" ht="16.5" thickBot="1" x14ac:dyDescent="0.3"/>
    <row r="62" spans="1:17" ht="16.5" thickBot="1" x14ac:dyDescent="0.3">
      <c r="A62" s="38"/>
      <c r="B62" s="39" t="s">
        <v>140</v>
      </c>
      <c r="C62" s="39" t="s">
        <v>132</v>
      </c>
      <c r="D62" s="39" t="s">
        <v>133</v>
      </c>
      <c r="E62" s="39" t="s">
        <v>134</v>
      </c>
      <c r="F62" s="39" t="s">
        <v>135</v>
      </c>
      <c r="G62" s="39" t="s">
        <v>136</v>
      </c>
      <c r="H62" s="39" t="s">
        <v>179</v>
      </c>
      <c r="I62" s="40" t="s">
        <v>137</v>
      </c>
      <c r="J62" s="18" t="s">
        <v>207</v>
      </c>
    </row>
    <row r="63" spans="1:17" x14ac:dyDescent="0.25">
      <c r="A63" s="42"/>
      <c r="B63" s="41"/>
      <c r="C63" s="41">
        <v>-1</v>
      </c>
      <c r="D63" s="41">
        <v>-1</v>
      </c>
      <c r="E63" s="41">
        <v>-1</v>
      </c>
      <c r="F63" s="41">
        <f>C63*D63</f>
        <v>1</v>
      </c>
      <c r="G63" s="41">
        <f>C63*E63</f>
        <v>1</v>
      </c>
      <c r="H63" s="41">
        <f>D63*E63</f>
        <v>1</v>
      </c>
      <c r="I63" s="14">
        <f>C63*D63*E63</f>
        <v>-1</v>
      </c>
      <c r="J63" s="18">
        <v>28.517202570894259</v>
      </c>
      <c r="L63" s="144" t="s">
        <v>222</v>
      </c>
      <c r="M63" s="83" t="s">
        <v>223</v>
      </c>
      <c r="N63" s="83" t="s">
        <v>224</v>
      </c>
      <c r="O63" s="83" t="s">
        <v>225</v>
      </c>
      <c r="P63" s="85" t="s">
        <v>226</v>
      </c>
    </row>
    <row r="64" spans="1:17" x14ac:dyDescent="0.25">
      <c r="A64" s="42"/>
      <c r="B64" s="41"/>
      <c r="C64" s="41">
        <v>1</v>
      </c>
      <c r="D64" s="41">
        <v>-1</v>
      </c>
      <c r="E64" s="41">
        <v>-1</v>
      </c>
      <c r="F64" s="41">
        <f t="shared" ref="F64:F70" si="39">C64*D64</f>
        <v>-1</v>
      </c>
      <c r="G64" s="41">
        <f t="shared" ref="G64:G69" si="40">C64*E64</f>
        <v>-1</v>
      </c>
      <c r="H64" s="41">
        <f>D64*E64</f>
        <v>1</v>
      </c>
      <c r="I64" s="14">
        <f t="shared" ref="I64:I70" si="41">C64*D64*E64</f>
        <v>1</v>
      </c>
      <c r="J64" s="18">
        <v>36.901529423353978</v>
      </c>
      <c r="L64" s="145"/>
      <c r="M64" s="84">
        <v>1</v>
      </c>
      <c r="N64" s="84">
        <v>-1</v>
      </c>
      <c r="O64" s="84">
        <v>-1</v>
      </c>
      <c r="P64" s="165">
        <f>M60</f>
        <v>78.956666666666663</v>
      </c>
    </row>
    <row r="65" spans="1:19" x14ac:dyDescent="0.25">
      <c r="A65" s="42"/>
      <c r="B65" s="41"/>
      <c r="C65" s="41">
        <v>-1</v>
      </c>
      <c r="D65" s="41">
        <v>1</v>
      </c>
      <c r="E65" s="41">
        <v>-1</v>
      </c>
      <c r="F65" s="41">
        <f t="shared" si="39"/>
        <v>-1</v>
      </c>
      <c r="G65" s="41">
        <f t="shared" si="40"/>
        <v>1</v>
      </c>
      <c r="H65" s="41">
        <f>D65*E65</f>
        <v>-1</v>
      </c>
      <c r="I65" s="14">
        <f t="shared" si="41"/>
        <v>1</v>
      </c>
      <c r="J65" s="18">
        <v>15.893124225939889</v>
      </c>
      <c r="L65" s="145"/>
      <c r="M65" s="84">
        <v>120</v>
      </c>
      <c r="N65" s="84">
        <v>50</v>
      </c>
      <c r="O65" s="84">
        <v>5</v>
      </c>
      <c r="P65" s="165"/>
    </row>
    <row r="66" spans="1:19" x14ac:dyDescent="0.25">
      <c r="A66" s="42"/>
      <c r="B66" s="41"/>
      <c r="C66" s="41">
        <v>1</v>
      </c>
      <c r="D66" s="41">
        <v>1</v>
      </c>
      <c r="E66" s="41">
        <v>-1</v>
      </c>
      <c r="F66" s="41">
        <f t="shared" si="39"/>
        <v>1</v>
      </c>
      <c r="G66" s="41">
        <f t="shared" si="40"/>
        <v>-1</v>
      </c>
      <c r="H66" s="41">
        <f t="shared" ref="H66:H69" si="42">D66*E66</f>
        <v>-1</v>
      </c>
      <c r="I66" s="14">
        <f t="shared" si="41"/>
        <v>-1</v>
      </c>
      <c r="J66" s="18">
        <v>24.853402575389477</v>
      </c>
      <c r="L66" s="145" t="s">
        <v>236</v>
      </c>
      <c r="M66" s="84" t="s">
        <v>223</v>
      </c>
      <c r="N66" s="84" t="s">
        <v>224</v>
      </c>
      <c r="O66" s="84" t="s">
        <v>225</v>
      </c>
      <c r="P66" s="14" t="s">
        <v>226</v>
      </c>
    </row>
    <row r="67" spans="1:19" x14ac:dyDescent="0.25">
      <c r="A67" s="42"/>
      <c r="B67" s="41"/>
      <c r="C67" s="41">
        <v>-1</v>
      </c>
      <c r="D67" s="41">
        <v>-1</v>
      </c>
      <c r="E67" s="41">
        <v>1</v>
      </c>
      <c r="F67" s="41">
        <f t="shared" si="39"/>
        <v>1</v>
      </c>
      <c r="G67" s="41">
        <f t="shared" si="40"/>
        <v>-1</v>
      </c>
      <c r="H67" s="41">
        <f t="shared" si="42"/>
        <v>-1</v>
      </c>
      <c r="I67" s="14">
        <f t="shared" si="41"/>
        <v>1</v>
      </c>
      <c r="J67" s="18">
        <v>12.694791580559013</v>
      </c>
      <c r="L67" s="145"/>
      <c r="M67" s="84">
        <v>1</v>
      </c>
      <c r="N67" s="84">
        <v>-1</v>
      </c>
      <c r="O67" s="84">
        <v>-1</v>
      </c>
      <c r="P67" s="165">
        <f>O60</f>
        <v>-27.4962084898306</v>
      </c>
    </row>
    <row r="68" spans="1:19" ht="16.5" thickBot="1" x14ac:dyDescent="0.3">
      <c r="A68" s="42"/>
      <c r="B68" s="41"/>
      <c r="C68" s="41">
        <v>1</v>
      </c>
      <c r="D68" s="41">
        <v>-1</v>
      </c>
      <c r="E68" s="41">
        <v>1</v>
      </c>
      <c r="F68" s="41">
        <f t="shared" si="39"/>
        <v>-1</v>
      </c>
      <c r="G68" s="41">
        <f t="shared" si="40"/>
        <v>1</v>
      </c>
      <c r="H68" s="41">
        <f t="shared" si="42"/>
        <v>-1</v>
      </c>
      <c r="I68" s="14">
        <f t="shared" si="41"/>
        <v>-1</v>
      </c>
      <c r="J68" s="18">
        <v>20.27696631643877</v>
      </c>
      <c r="L68" s="164"/>
      <c r="M68" s="16">
        <v>120</v>
      </c>
      <c r="N68" s="16">
        <v>50</v>
      </c>
      <c r="O68" s="16">
        <v>5</v>
      </c>
      <c r="P68" s="166"/>
    </row>
    <row r="69" spans="1:19" x14ac:dyDescent="0.25">
      <c r="A69" s="42"/>
      <c r="B69" s="41"/>
      <c r="C69" s="41">
        <v>-1</v>
      </c>
      <c r="D69" s="41">
        <v>1</v>
      </c>
      <c r="E69" s="41">
        <v>1</v>
      </c>
      <c r="F69" s="41">
        <f t="shared" si="39"/>
        <v>-1</v>
      </c>
      <c r="G69" s="41">
        <f t="shared" si="40"/>
        <v>-1</v>
      </c>
      <c r="H69" s="41">
        <f t="shared" si="42"/>
        <v>1</v>
      </c>
      <c r="I69" s="14">
        <f t="shared" si="41"/>
        <v>-1</v>
      </c>
      <c r="J69" s="18">
        <v>24.912937882314552</v>
      </c>
      <c r="L69" s="145" t="s">
        <v>235</v>
      </c>
      <c r="M69" s="87" t="s">
        <v>223</v>
      </c>
      <c r="N69" s="87" t="s">
        <v>224</v>
      </c>
      <c r="O69" s="87" t="s">
        <v>8</v>
      </c>
      <c r="P69" s="88" t="s">
        <v>226</v>
      </c>
    </row>
    <row r="70" spans="1:19" x14ac:dyDescent="0.25">
      <c r="A70" s="42"/>
      <c r="B70" s="41"/>
      <c r="C70" s="41">
        <v>1</v>
      </c>
      <c r="D70" s="41">
        <v>1</v>
      </c>
      <c r="E70" s="41">
        <v>1</v>
      </c>
      <c r="F70" s="41">
        <f t="shared" si="39"/>
        <v>1</v>
      </c>
      <c r="G70" s="41">
        <f>C70*E70</f>
        <v>1</v>
      </c>
      <c r="H70" s="41">
        <f>D70*E70</f>
        <v>1</v>
      </c>
      <c r="I70" s="14">
        <f t="shared" si="41"/>
        <v>1</v>
      </c>
      <c r="J70" s="18">
        <v>30.279746357001226</v>
      </c>
      <c r="L70" s="145"/>
      <c r="M70" s="87">
        <v>1</v>
      </c>
      <c r="N70" s="87">
        <v>-1</v>
      </c>
      <c r="O70" s="87">
        <v>-1</v>
      </c>
      <c r="P70" s="165">
        <f>Q60</f>
        <v>37.650254614759426</v>
      </c>
    </row>
    <row r="71" spans="1:19" ht="16.5" thickBot="1" x14ac:dyDescent="0.3">
      <c r="A71" s="42" t="s">
        <v>138</v>
      </c>
      <c r="B71" s="41">
        <v>49.868749999999999</v>
      </c>
      <c r="C71" s="41">
        <v>21.469166666666663</v>
      </c>
      <c r="D71" s="41">
        <v>1.1041666666666679</v>
      </c>
      <c r="E71" s="41">
        <v>-8.072499999999998</v>
      </c>
      <c r="F71" s="41">
        <v>2.1624999999999979</v>
      </c>
      <c r="G71" s="41">
        <v>28.634166666666701</v>
      </c>
      <c r="H71" s="41">
        <v>1.5558333333333323</v>
      </c>
      <c r="I71" s="14">
        <v>-0.46416666666666373</v>
      </c>
      <c r="L71" s="164"/>
      <c r="M71" s="16">
        <v>120</v>
      </c>
      <c r="N71" s="16">
        <v>50</v>
      </c>
      <c r="O71" s="16">
        <v>5</v>
      </c>
      <c r="P71" s="166"/>
    </row>
    <row r="72" spans="1:19" ht="16.5" thickBot="1" x14ac:dyDescent="0.3">
      <c r="A72" s="53" t="s">
        <v>139</v>
      </c>
      <c r="B72" s="16">
        <v>49.868749999999999</v>
      </c>
      <c r="C72" s="16">
        <v>10.734583333333331</v>
      </c>
      <c r="D72" s="16">
        <v>0.55208333333333393</v>
      </c>
      <c r="E72" s="16">
        <v>-4.036249999999999</v>
      </c>
      <c r="F72" s="16">
        <v>1.0812499999999989</v>
      </c>
      <c r="G72" s="16">
        <v>14.317083333333334</v>
      </c>
      <c r="H72" s="16">
        <v>0.77791666666666615</v>
      </c>
      <c r="I72" s="17">
        <v>-0.23208333333333186</v>
      </c>
    </row>
    <row r="75" spans="1:19" ht="16.5" thickBot="1" x14ac:dyDescent="0.3"/>
    <row r="76" spans="1:19" x14ac:dyDescent="0.25">
      <c r="A76" s="74" t="s">
        <v>138</v>
      </c>
      <c r="B76" s="75">
        <v>0</v>
      </c>
      <c r="C76" s="75" t="s">
        <v>195</v>
      </c>
      <c r="D76" s="75" t="s">
        <v>197</v>
      </c>
      <c r="E76" s="75" t="s">
        <v>199</v>
      </c>
      <c r="F76" s="75" t="s">
        <v>211</v>
      </c>
      <c r="G76" s="75" t="s">
        <v>201</v>
      </c>
      <c r="H76" s="75" t="s">
        <v>202</v>
      </c>
      <c r="I76" s="76" t="s">
        <v>205</v>
      </c>
      <c r="K76" s="74" t="s">
        <v>138</v>
      </c>
      <c r="L76" s="75">
        <v>0</v>
      </c>
      <c r="M76" s="75" t="s">
        <v>195</v>
      </c>
      <c r="N76" s="75" t="s">
        <v>197</v>
      </c>
      <c r="O76" s="75" t="s">
        <v>199</v>
      </c>
      <c r="P76" s="75" t="s">
        <v>210</v>
      </c>
      <c r="Q76" s="75" t="s">
        <v>201</v>
      </c>
      <c r="R76" s="75" t="s">
        <v>202</v>
      </c>
      <c r="S76" s="76" t="s">
        <v>205</v>
      </c>
    </row>
    <row r="77" spans="1:19" ht="16.5" thickBot="1" x14ac:dyDescent="0.3">
      <c r="A77" s="77"/>
      <c r="B77" s="78"/>
      <c r="C77" s="78">
        <f>B55</f>
        <v>4.1049207855529346</v>
      </c>
      <c r="D77" s="78">
        <f t="shared" ref="D77:I77" si="43">C55</f>
        <v>-0.14022283984064288</v>
      </c>
      <c r="E77" s="78">
        <f t="shared" si="43"/>
        <v>-1.431468532634689</v>
      </c>
      <c r="F77" s="78">
        <f t="shared" si="43"/>
        <v>0.37320298613974145</v>
      </c>
      <c r="G77" s="78">
        <f t="shared" si="43"/>
        <v>6.7893246120579676E-2</v>
      </c>
      <c r="H77" s="78">
        <f t="shared" si="43"/>
        <v>5.3798591363635779</v>
      </c>
      <c r="I77" s="78">
        <f t="shared" si="43"/>
        <v>1.0984387634756558</v>
      </c>
      <c r="K77" s="77"/>
      <c r="L77" s="78"/>
      <c r="M77" s="78">
        <f>K55</f>
        <v>4.4234593650379406</v>
      </c>
      <c r="N77" s="78">
        <f t="shared" ref="N77:S77" si="44">L55</f>
        <v>0.77749220007515341</v>
      </c>
      <c r="O77" s="78">
        <f t="shared" si="44"/>
        <v>-1.8457772948144058</v>
      </c>
      <c r="P77" s="78">
        <f t="shared" si="44"/>
        <v>-2.3297251858178214E-2</v>
      </c>
      <c r="Q77" s="78">
        <f t="shared" si="44"/>
        <v>0.70699595119397785</v>
      </c>
      <c r="R77" s="78">
        <f t="shared" si="44"/>
        <v>5.7103421069239761</v>
      </c>
      <c r="S77" s="78">
        <f t="shared" si="44"/>
        <v>-1.498416659260128</v>
      </c>
    </row>
    <row r="78" spans="1:19" ht="16.5" thickBot="1" x14ac:dyDescent="0.3">
      <c r="A78" s="79" t="s">
        <v>208</v>
      </c>
      <c r="B78" s="80">
        <f>AVERAGE(J2:J9)</f>
        <v>-33.353115402634195</v>
      </c>
      <c r="C78" s="80">
        <f>C77/2</f>
        <v>2.0524603927764673</v>
      </c>
      <c r="D78" s="80">
        <f t="shared" ref="D78:F78" si="45">D77/2</f>
        <v>-7.0111419920321438E-2</v>
      </c>
      <c r="E78" s="80">
        <f t="shared" si="45"/>
        <v>-0.71573426631734449</v>
      </c>
      <c r="F78" s="80">
        <f t="shared" si="45"/>
        <v>0.18660149306987073</v>
      </c>
      <c r="G78" s="80">
        <f>G77/2</f>
        <v>3.3946623060289838E-2</v>
      </c>
      <c r="H78" s="80">
        <f>H77/2</f>
        <v>2.689929568181789</v>
      </c>
      <c r="I78" s="81">
        <f>I77/2</f>
        <v>0.54921938173782792</v>
      </c>
      <c r="K78" s="79" t="s">
        <v>208</v>
      </c>
      <c r="L78" s="80">
        <f>AVERAGE(K2:K9)</f>
        <v>33.140269010706803</v>
      </c>
      <c r="M78" s="80">
        <f>M77/2</f>
        <v>2.2117296825189703</v>
      </c>
      <c r="N78" s="80">
        <f t="shared" ref="N78:P78" si="46">N77/2</f>
        <v>0.3887461000375767</v>
      </c>
      <c r="O78" s="80">
        <f t="shared" si="46"/>
        <v>-0.92288864740720289</v>
      </c>
      <c r="P78" s="80">
        <f t="shared" si="46"/>
        <v>-1.1648625929089107E-2</v>
      </c>
      <c r="Q78" s="80">
        <f>Q77/2</f>
        <v>0.35349797559698892</v>
      </c>
      <c r="R78" s="80">
        <f>R77/2</f>
        <v>2.8551710534619881</v>
      </c>
      <c r="S78" s="81">
        <f>S77/2</f>
        <v>-0.74920832963006401</v>
      </c>
    </row>
  </sheetData>
  <mergeCells count="8">
    <mergeCell ref="L69:L71"/>
    <mergeCell ref="P70:P71"/>
    <mergeCell ref="A54:A55"/>
    <mergeCell ref="L63:L65"/>
    <mergeCell ref="L66:L68"/>
    <mergeCell ref="P64:P65"/>
    <mergeCell ref="P67:P68"/>
    <mergeCell ref="J54:J5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selection activeCell="N18" sqref="N18"/>
    </sheetView>
  </sheetViews>
  <sheetFormatPr defaultRowHeight="16.5" x14ac:dyDescent="0.25"/>
  <cols>
    <col min="1" max="1" width="12" customWidth="1"/>
  </cols>
  <sheetData>
    <row r="1" spans="1:9" x14ac:dyDescent="0.25">
      <c r="A1" t="s">
        <v>47</v>
      </c>
    </row>
    <row r="2" spans="1:9" ht="17.25" thickBot="1" x14ac:dyDescent="0.3"/>
    <row r="3" spans="1:9" x14ac:dyDescent="0.25">
      <c r="A3" s="8" t="s">
        <v>48</v>
      </c>
      <c r="B3" s="8"/>
    </row>
    <row r="4" spans="1:9" x14ac:dyDescent="0.25">
      <c r="A4" s="5" t="s">
        <v>49</v>
      </c>
      <c r="B4" s="5">
        <v>0.98944603157237543</v>
      </c>
    </row>
    <row r="5" spans="1:9" x14ac:dyDescent="0.25">
      <c r="A5" s="5" t="s">
        <v>50</v>
      </c>
      <c r="B5" s="5">
        <v>0.97900344939432205</v>
      </c>
    </row>
    <row r="6" spans="1:9" x14ac:dyDescent="0.25">
      <c r="A6" s="5" t="s">
        <v>51</v>
      </c>
      <c r="B6" s="5">
        <v>0.96981745850433798</v>
      </c>
    </row>
    <row r="7" spans="1:9" x14ac:dyDescent="0.25">
      <c r="A7" s="5" t="s">
        <v>52</v>
      </c>
      <c r="B7" s="5">
        <v>3.3006009553817139</v>
      </c>
    </row>
    <row r="8" spans="1:9" ht="17.25" thickBot="1" x14ac:dyDescent="0.3">
      <c r="A8" s="6" t="s">
        <v>53</v>
      </c>
      <c r="B8" s="6">
        <v>24</v>
      </c>
    </row>
    <row r="10" spans="1:9" ht="17.25" thickBot="1" x14ac:dyDescent="0.3">
      <c r="A10" t="s">
        <v>54</v>
      </c>
    </row>
    <row r="11" spans="1:9" x14ac:dyDescent="0.25">
      <c r="A11" s="7"/>
      <c r="B11" s="7" t="s">
        <v>59</v>
      </c>
      <c r="C11" s="7" t="s">
        <v>60</v>
      </c>
      <c r="D11" s="7" t="s">
        <v>61</v>
      </c>
      <c r="E11" s="7" t="s">
        <v>62</v>
      </c>
      <c r="F11" s="7" t="s">
        <v>63</v>
      </c>
    </row>
    <row r="12" spans="1:9" x14ac:dyDescent="0.25">
      <c r="A12" s="5" t="s">
        <v>55</v>
      </c>
      <c r="B12" s="5">
        <v>7</v>
      </c>
      <c r="C12" s="5">
        <v>8127.2251958333318</v>
      </c>
      <c r="D12" s="5">
        <v>1161.0321708333331</v>
      </c>
      <c r="E12" s="5">
        <v>106.57570436541309</v>
      </c>
      <c r="F12" s="5">
        <v>3.2000830664664587E-12</v>
      </c>
    </row>
    <row r="13" spans="1:9" x14ac:dyDescent="0.25">
      <c r="A13" s="5" t="s">
        <v>56</v>
      </c>
      <c r="B13" s="5">
        <v>16</v>
      </c>
      <c r="C13" s="5">
        <v>174.30346666666694</v>
      </c>
      <c r="D13" s="5">
        <v>10.893966666666683</v>
      </c>
      <c r="E13" s="5"/>
      <c r="F13" s="5"/>
    </row>
    <row r="14" spans="1:9" ht="17.25" thickBot="1" x14ac:dyDescent="0.3">
      <c r="A14" s="6" t="s">
        <v>57</v>
      </c>
      <c r="B14" s="6">
        <v>23</v>
      </c>
      <c r="C14" s="6">
        <v>8301.528662499999</v>
      </c>
      <c r="D14" s="6"/>
      <c r="E14" s="6"/>
      <c r="F14" s="6"/>
    </row>
    <row r="15" spans="1:9" ht="17.25" thickBot="1" x14ac:dyDescent="0.3"/>
    <row r="16" spans="1:9" x14ac:dyDescent="0.25">
      <c r="A16" s="7"/>
      <c r="B16" s="7" t="s">
        <v>64</v>
      </c>
      <c r="C16" s="7" t="s">
        <v>52</v>
      </c>
      <c r="D16" s="7" t="s">
        <v>65</v>
      </c>
      <c r="E16" s="7" t="s">
        <v>66</v>
      </c>
      <c r="F16" s="7" t="s">
        <v>67</v>
      </c>
      <c r="G16" s="7" t="s">
        <v>68</v>
      </c>
      <c r="H16" s="7" t="s">
        <v>69</v>
      </c>
      <c r="I16" s="7" t="s">
        <v>70</v>
      </c>
    </row>
    <row r="17" spans="1:9" x14ac:dyDescent="0.25">
      <c r="A17" s="5" t="s">
        <v>58</v>
      </c>
      <c r="B17" s="5">
        <v>49.868750000000006</v>
      </c>
      <c r="C17" s="5">
        <v>0.67373234876898902</v>
      </c>
      <c r="D17" s="5">
        <v>74.01863676446257</v>
      </c>
      <c r="E17" s="5">
        <v>1.0163243607548037E-21</v>
      </c>
      <c r="F17" s="5">
        <v>48.440501223587844</v>
      </c>
      <c r="G17" s="5">
        <v>51.296998776412167</v>
      </c>
      <c r="H17" s="5">
        <v>48.440501223587844</v>
      </c>
      <c r="I17" s="5">
        <v>51.296998776412167</v>
      </c>
    </row>
    <row r="18" spans="1:9" x14ac:dyDescent="0.25">
      <c r="A18" s="5" t="s">
        <v>35</v>
      </c>
      <c r="B18" s="5">
        <v>10.734583333333333</v>
      </c>
      <c r="C18" s="5">
        <v>0.6737323487689888</v>
      </c>
      <c r="D18" s="5">
        <v>15.933008639034544</v>
      </c>
      <c r="E18" s="5">
        <v>3.0810835246894781E-11</v>
      </c>
      <c r="F18" s="5">
        <v>9.306334556921172</v>
      </c>
      <c r="G18" s="5">
        <v>12.162832109745494</v>
      </c>
      <c r="H18" s="5">
        <v>9.306334556921172</v>
      </c>
      <c r="I18" s="5">
        <v>12.162832109745494</v>
      </c>
    </row>
    <row r="19" spans="1:9" x14ac:dyDescent="0.25">
      <c r="A19" s="5" t="s">
        <v>36</v>
      </c>
      <c r="B19" s="5">
        <v>0.55208333333333437</v>
      </c>
      <c r="C19" s="5">
        <v>0.6737323487689888</v>
      </c>
      <c r="D19" s="5">
        <v>0.81944014465399262</v>
      </c>
      <c r="E19" s="5">
        <v>0.42457404740800853</v>
      </c>
      <c r="F19" s="5">
        <v>-0.87616544307882771</v>
      </c>
      <c r="G19" s="5">
        <v>1.9803321097454964</v>
      </c>
      <c r="H19" s="5">
        <v>-0.87616544307882771</v>
      </c>
      <c r="I19" s="5">
        <v>1.9803321097454964</v>
      </c>
    </row>
    <row r="20" spans="1:9" x14ac:dyDescent="0.25">
      <c r="A20" s="5" t="s">
        <v>37</v>
      </c>
      <c r="B20" s="5">
        <v>-4.0362499999999972</v>
      </c>
      <c r="C20" s="5">
        <v>0.67373234876898902</v>
      </c>
      <c r="D20" s="5">
        <v>-5.9908805141609083</v>
      </c>
      <c r="E20" s="5">
        <v>1.8844248146767218E-5</v>
      </c>
      <c r="F20" s="5">
        <v>-5.4644987764121602</v>
      </c>
      <c r="G20" s="5">
        <v>-2.6080012235878347</v>
      </c>
      <c r="H20" s="5">
        <v>-5.4644987764121602</v>
      </c>
      <c r="I20" s="5">
        <v>-2.6080012235878347</v>
      </c>
    </row>
    <row r="21" spans="1:9" x14ac:dyDescent="0.25">
      <c r="A21" s="5" t="s">
        <v>44</v>
      </c>
      <c r="B21" s="5">
        <v>1.0812500000000012</v>
      </c>
      <c r="C21" s="5">
        <v>0.67373234876898902</v>
      </c>
      <c r="D21" s="5">
        <v>1.6048657927374403</v>
      </c>
      <c r="E21" s="5">
        <v>0.12807737096597091</v>
      </c>
      <c r="F21" s="5">
        <v>-0.34699877641216137</v>
      </c>
      <c r="G21" s="5">
        <v>2.5094987764121637</v>
      </c>
      <c r="H21" s="5">
        <v>-0.34699877641216137</v>
      </c>
      <c r="I21" s="5">
        <v>2.5094987764121637</v>
      </c>
    </row>
    <row r="22" spans="1:9" x14ac:dyDescent="0.25">
      <c r="A22" s="5" t="s">
        <v>71</v>
      </c>
      <c r="B22" s="5">
        <v>0.77791666666666381</v>
      </c>
      <c r="C22" s="5">
        <v>0.67373234876898902</v>
      </c>
      <c r="D22" s="5">
        <v>1.1546375472218831</v>
      </c>
      <c r="E22" s="5">
        <v>0.26519329780781442</v>
      </c>
      <c r="F22" s="5">
        <v>-0.65033210974549871</v>
      </c>
      <c r="G22" s="5">
        <v>2.2061654430788264</v>
      </c>
      <c r="H22" s="5">
        <v>-0.65033210974549871</v>
      </c>
      <c r="I22" s="5">
        <v>2.2061654430788264</v>
      </c>
    </row>
    <row r="23" spans="1:9" x14ac:dyDescent="0.25">
      <c r="A23" s="5" t="s">
        <v>74</v>
      </c>
      <c r="B23" s="5">
        <v>14.317083333333329</v>
      </c>
      <c r="C23" s="5">
        <v>0.67373234876898913</v>
      </c>
      <c r="D23" s="5">
        <v>21.250402121098691</v>
      </c>
      <c r="E23" s="5">
        <v>3.7490699005937819E-13</v>
      </c>
      <c r="F23" s="5">
        <v>12.888834556921166</v>
      </c>
      <c r="G23" s="5">
        <v>15.745332109745492</v>
      </c>
      <c r="H23" s="5">
        <v>12.888834556921166</v>
      </c>
      <c r="I23" s="5">
        <v>15.745332109745492</v>
      </c>
    </row>
    <row r="24" spans="1:9" ht="17.25" thickBot="1" x14ac:dyDescent="0.3">
      <c r="A24" s="6" t="s">
        <v>89</v>
      </c>
      <c r="B24" s="6">
        <v>-0.23208333333333186</v>
      </c>
      <c r="C24" s="6">
        <v>0.6737323487689888</v>
      </c>
      <c r="D24" s="6">
        <v>-0.34447408345076991</v>
      </c>
      <c r="E24" s="6">
        <v>0.73497586712811003</v>
      </c>
      <c r="F24" s="6">
        <v>-1.6603321097454939</v>
      </c>
      <c r="G24" s="6">
        <v>1.1961654430788302</v>
      </c>
      <c r="H24" s="6">
        <v>-1.6603321097454939</v>
      </c>
      <c r="I24" s="6">
        <v>1.1961654430788302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selection activeCell="E29" sqref="E29"/>
    </sheetView>
  </sheetViews>
  <sheetFormatPr defaultRowHeight="16.5" x14ac:dyDescent="0.25"/>
  <sheetData>
    <row r="1" spans="1:9" x14ac:dyDescent="0.25">
      <c r="A1" t="s">
        <v>47</v>
      </c>
    </row>
    <row r="2" spans="1:9" ht="17.25" thickBot="1" x14ac:dyDescent="0.3"/>
    <row r="3" spans="1:9" x14ac:dyDescent="0.25">
      <c r="A3" s="8" t="s">
        <v>48</v>
      </c>
      <c r="B3" s="8"/>
    </row>
    <row r="4" spans="1:9" x14ac:dyDescent="0.25">
      <c r="A4" s="5" t="s">
        <v>49</v>
      </c>
      <c r="B4" s="5">
        <v>1</v>
      </c>
    </row>
    <row r="5" spans="1:9" x14ac:dyDescent="0.25">
      <c r="A5" s="5" t="s">
        <v>50</v>
      </c>
      <c r="B5" s="5">
        <v>1</v>
      </c>
    </row>
    <row r="6" spans="1:9" x14ac:dyDescent="0.25">
      <c r="A6" s="5" t="s">
        <v>51</v>
      </c>
      <c r="B6" s="5">
        <v>65535</v>
      </c>
    </row>
    <row r="7" spans="1:9" x14ac:dyDescent="0.25">
      <c r="A7" s="5" t="s">
        <v>52</v>
      </c>
      <c r="B7" s="5">
        <v>0</v>
      </c>
    </row>
    <row r="8" spans="1:9" ht="17.25" thickBot="1" x14ac:dyDescent="0.3">
      <c r="A8" s="6" t="s">
        <v>53</v>
      </c>
      <c r="B8" s="6">
        <v>8</v>
      </c>
    </row>
    <row r="10" spans="1:9" ht="17.25" thickBot="1" x14ac:dyDescent="0.3">
      <c r="A10" t="s">
        <v>54</v>
      </c>
    </row>
    <row r="11" spans="1:9" x14ac:dyDescent="0.25">
      <c r="A11" s="7"/>
      <c r="B11" s="7" t="s">
        <v>59</v>
      </c>
      <c r="C11" s="7" t="s">
        <v>60</v>
      </c>
      <c r="D11" s="7" t="s">
        <v>61</v>
      </c>
      <c r="E11" s="7" t="s">
        <v>62</v>
      </c>
      <c r="F11" s="7" t="s">
        <v>63</v>
      </c>
    </row>
    <row r="12" spans="1:9" x14ac:dyDescent="0.25">
      <c r="A12" s="5" t="s">
        <v>55</v>
      </c>
      <c r="B12" s="5">
        <v>7</v>
      </c>
      <c r="C12" s="5">
        <v>434.56326009704537</v>
      </c>
      <c r="D12" s="5">
        <v>62.080465728149342</v>
      </c>
      <c r="E12" s="5" t="e">
        <v>#NUM!</v>
      </c>
      <c r="F12" s="5" t="e">
        <v>#NUM!</v>
      </c>
    </row>
    <row r="13" spans="1:9" x14ac:dyDescent="0.25">
      <c r="A13" s="5" t="s">
        <v>56</v>
      </c>
      <c r="B13" s="5">
        <v>0</v>
      </c>
      <c r="C13" s="5">
        <v>0</v>
      </c>
      <c r="D13" s="5">
        <v>65535</v>
      </c>
      <c r="E13" s="5"/>
      <c r="F13" s="5"/>
    </row>
    <row r="14" spans="1:9" ht="17.25" thickBot="1" x14ac:dyDescent="0.3">
      <c r="A14" s="6" t="s">
        <v>57</v>
      </c>
      <c r="B14" s="6">
        <v>7</v>
      </c>
      <c r="C14" s="6">
        <v>434.56326009704537</v>
      </c>
      <c r="D14" s="6"/>
      <c r="E14" s="6"/>
      <c r="F14" s="6"/>
    </row>
    <row r="15" spans="1:9" ht="17.25" thickBot="1" x14ac:dyDescent="0.3"/>
    <row r="16" spans="1:9" x14ac:dyDescent="0.25">
      <c r="A16" s="7"/>
      <c r="B16" s="7" t="s">
        <v>64</v>
      </c>
      <c r="C16" s="7" t="s">
        <v>52</v>
      </c>
      <c r="D16" s="7" t="s">
        <v>65</v>
      </c>
      <c r="E16" s="7" t="s">
        <v>66</v>
      </c>
      <c r="F16" s="7" t="s">
        <v>67</v>
      </c>
      <c r="G16" s="7" t="s">
        <v>68</v>
      </c>
      <c r="H16" s="7" t="s">
        <v>69</v>
      </c>
      <c r="I16" s="7" t="s">
        <v>70</v>
      </c>
    </row>
    <row r="17" spans="1:9" x14ac:dyDescent="0.25">
      <c r="A17" s="5" t="s">
        <v>58</v>
      </c>
      <c r="B17" s="5">
        <v>-24.291212616486391</v>
      </c>
      <c r="C17" s="5">
        <v>0</v>
      </c>
      <c r="D17" s="5">
        <v>65535</v>
      </c>
      <c r="E17" s="5" t="e">
        <v>#NUM!</v>
      </c>
      <c r="F17" s="5">
        <v>-24.291212616486391</v>
      </c>
      <c r="G17" s="5">
        <v>-24.291212616486391</v>
      </c>
      <c r="H17" s="5">
        <v>-24.291212616486391</v>
      </c>
      <c r="I17" s="5">
        <v>-24.291212616486391</v>
      </c>
    </row>
    <row r="18" spans="1:9" x14ac:dyDescent="0.25">
      <c r="A18" s="5" t="s">
        <v>35</v>
      </c>
      <c r="B18" s="5">
        <v>-3.7866985515594669</v>
      </c>
      <c r="C18" s="5">
        <v>0</v>
      </c>
      <c r="D18" s="5">
        <v>65535</v>
      </c>
      <c r="E18" s="5" t="e">
        <v>#NUM!</v>
      </c>
      <c r="F18" s="5">
        <v>-3.7866985515594669</v>
      </c>
      <c r="G18" s="5">
        <v>-3.7866985515594669</v>
      </c>
      <c r="H18" s="5">
        <v>-3.7866985515594669</v>
      </c>
      <c r="I18" s="5">
        <v>-3.7866985515594669</v>
      </c>
    </row>
    <row r="19" spans="1:9" x14ac:dyDescent="0.25">
      <c r="A19" s="5" t="s">
        <v>36</v>
      </c>
      <c r="B19" s="5">
        <v>0.30640985632510942</v>
      </c>
      <c r="C19" s="5">
        <v>0</v>
      </c>
      <c r="D19" s="5">
        <v>65535</v>
      </c>
      <c r="E19" s="5" t="e">
        <v>#NUM!</v>
      </c>
      <c r="F19" s="5">
        <v>0.30640985632510942</v>
      </c>
      <c r="G19" s="5">
        <v>0.30640985632510942</v>
      </c>
      <c r="H19" s="5">
        <v>0.30640985632510942</v>
      </c>
      <c r="I19" s="5">
        <v>0.30640985632510942</v>
      </c>
    </row>
    <row r="20" spans="1:9" x14ac:dyDescent="0.25">
      <c r="A20" s="5" t="s">
        <v>37</v>
      </c>
      <c r="B20" s="5">
        <v>2.2501020824080062</v>
      </c>
      <c r="C20" s="5">
        <v>0</v>
      </c>
      <c r="D20" s="5">
        <v>65535</v>
      </c>
      <c r="E20" s="5" t="e">
        <v>#NUM!</v>
      </c>
      <c r="F20" s="5">
        <v>2.2501020824080062</v>
      </c>
      <c r="G20" s="5">
        <v>2.2501020824080062</v>
      </c>
      <c r="H20" s="5">
        <v>2.2501020824080062</v>
      </c>
      <c r="I20" s="5">
        <v>2.2501020824080062</v>
      </c>
    </row>
    <row r="21" spans="1:9" x14ac:dyDescent="0.25">
      <c r="A21" s="5" t="s">
        <v>44</v>
      </c>
      <c r="B21" s="5">
        <v>0.20492684552540205</v>
      </c>
      <c r="C21" s="5">
        <v>0</v>
      </c>
      <c r="D21" s="5">
        <v>65535</v>
      </c>
      <c r="E21" s="5" t="e">
        <v>#NUM!</v>
      </c>
      <c r="F21" s="5">
        <v>0.20492684552540205</v>
      </c>
      <c r="G21" s="5">
        <v>0.20492684552540205</v>
      </c>
      <c r="H21" s="5">
        <v>0.20492684552540205</v>
      </c>
      <c r="I21" s="5">
        <v>0.20492684552540205</v>
      </c>
    </row>
    <row r="22" spans="1:9" x14ac:dyDescent="0.25">
      <c r="A22" s="5" t="s">
        <v>71</v>
      </c>
      <c r="B22" s="5">
        <v>0.54945274891786022</v>
      </c>
      <c r="C22" s="5">
        <v>0</v>
      </c>
      <c r="D22" s="5">
        <v>65535</v>
      </c>
      <c r="E22" s="5" t="e">
        <v>#NUM!</v>
      </c>
      <c r="F22" s="5">
        <v>0.54945274891786022</v>
      </c>
      <c r="G22" s="5">
        <v>0.54945274891786022</v>
      </c>
      <c r="H22" s="5">
        <v>0.54945274891786022</v>
      </c>
      <c r="I22" s="5">
        <v>0.54945274891786022</v>
      </c>
    </row>
    <row r="23" spans="1:9" x14ac:dyDescent="0.25">
      <c r="A23" s="5" t="s">
        <v>74</v>
      </c>
      <c r="B23" s="5">
        <v>-5.8616414419046068</v>
      </c>
      <c r="C23" s="5">
        <v>0</v>
      </c>
      <c r="D23" s="5">
        <v>65535</v>
      </c>
      <c r="E23" s="5" t="e">
        <v>#NUM!</v>
      </c>
      <c r="F23" s="5">
        <v>-5.8616414419046068</v>
      </c>
      <c r="G23" s="5">
        <v>-5.8616414419046068</v>
      </c>
      <c r="H23" s="5">
        <v>-5.8616414419046068</v>
      </c>
      <c r="I23" s="5">
        <v>-5.8616414419046068</v>
      </c>
    </row>
    <row r="24" spans="1:9" ht="17.25" thickBot="1" x14ac:dyDescent="0.3">
      <c r="A24" s="6" t="s">
        <v>89</v>
      </c>
      <c r="B24" s="6">
        <v>0.34891471977286831</v>
      </c>
      <c r="C24" s="6">
        <v>0</v>
      </c>
      <c r="D24" s="6">
        <v>65535</v>
      </c>
      <c r="E24" s="6" t="e">
        <v>#NUM!</v>
      </c>
      <c r="F24" s="6">
        <v>0.34891471977286831</v>
      </c>
      <c r="G24" s="6">
        <v>0.34891471977286831</v>
      </c>
      <c r="H24" s="6">
        <v>0.34891471977286831</v>
      </c>
      <c r="I24" s="6">
        <v>0.34891471977286831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5"/>
  <sheetViews>
    <sheetView workbookViewId="0">
      <selection activeCell="N31" sqref="N31"/>
    </sheetView>
  </sheetViews>
  <sheetFormatPr defaultRowHeight="16.5" x14ac:dyDescent="0.25"/>
  <sheetData>
    <row r="1" spans="1:20" ht="17.25" thickBot="1" x14ac:dyDescent="0.3">
      <c r="A1" s="60" t="s">
        <v>5</v>
      </c>
      <c r="B1" s="39" t="s">
        <v>132</v>
      </c>
      <c r="C1" s="39" t="s">
        <v>133</v>
      </c>
      <c r="D1" s="39" t="s">
        <v>134</v>
      </c>
      <c r="E1" s="39" t="s">
        <v>135</v>
      </c>
      <c r="F1" s="39" t="s">
        <v>136</v>
      </c>
      <c r="G1" s="39" t="s">
        <v>179</v>
      </c>
      <c r="H1" s="40" t="s">
        <v>137</v>
      </c>
      <c r="I1" s="61" t="s">
        <v>154</v>
      </c>
      <c r="J1" t="s">
        <v>80</v>
      </c>
      <c r="K1" t="s">
        <v>81</v>
      </c>
      <c r="L1" t="s">
        <v>90</v>
      </c>
    </row>
    <row r="2" spans="1:20" x14ac:dyDescent="0.25">
      <c r="A2" s="62" t="s">
        <v>155</v>
      </c>
      <c r="B2" s="41">
        <v>-1</v>
      </c>
      <c r="C2" s="41">
        <v>-1</v>
      </c>
      <c r="D2" s="41">
        <v>-1</v>
      </c>
      <c r="E2" s="41">
        <f>B2*C2</f>
        <v>1</v>
      </c>
      <c r="F2" s="41">
        <f>B2*D2</f>
        <v>1</v>
      </c>
      <c r="G2" s="41">
        <f>C2*D2</f>
        <v>1</v>
      </c>
      <c r="H2" s="14">
        <f>B2*C2*D2</f>
        <v>-1</v>
      </c>
      <c r="I2" s="54">
        <v>61.43</v>
      </c>
      <c r="L2">
        <v>59.026666666666664</v>
      </c>
      <c r="N2" s="2">
        <v>-1</v>
      </c>
      <c r="O2" s="2">
        <v>-1</v>
      </c>
      <c r="P2" s="2">
        <v>-1</v>
      </c>
      <c r="Q2" s="18">
        <f>N2*O2</f>
        <v>1</v>
      </c>
      <c r="R2" s="18">
        <f>N2*P2</f>
        <v>1</v>
      </c>
      <c r="S2" s="18">
        <f>O2*P2</f>
        <v>1</v>
      </c>
      <c r="T2" s="18">
        <f>N2*O2*P2</f>
        <v>-1</v>
      </c>
    </row>
    <row r="3" spans="1:20" x14ac:dyDescent="0.25">
      <c r="A3" s="63" t="s">
        <v>156</v>
      </c>
      <c r="B3" s="41">
        <v>1</v>
      </c>
      <c r="C3" s="41">
        <v>-1</v>
      </c>
      <c r="D3" s="41">
        <v>-1</v>
      </c>
      <c r="E3" s="41">
        <f t="shared" ref="E3:E9" si="0">B3*C3</f>
        <v>-1</v>
      </c>
      <c r="F3" s="41">
        <f t="shared" ref="F3:F8" si="1">B3*D3</f>
        <v>-1</v>
      </c>
      <c r="G3" s="41">
        <f>C3*D3</f>
        <v>1</v>
      </c>
      <c r="H3" s="14">
        <f t="shared" ref="H3:H9" si="2">B3*C3*D3</f>
        <v>1</v>
      </c>
      <c r="I3" s="64">
        <v>75.62</v>
      </c>
      <c r="L3">
        <v>76.313333333333333</v>
      </c>
      <c r="N3" s="2">
        <v>1</v>
      </c>
      <c r="O3" s="2">
        <v>-1</v>
      </c>
      <c r="P3" s="2">
        <v>-1</v>
      </c>
      <c r="Q3" s="18">
        <f t="shared" ref="Q3:Q9" si="3">N3*O3</f>
        <v>-1</v>
      </c>
      <c r="R3" s="18">
        <f t="shared" ref="R3:R9" si="4">N3*P3</f>
        <v>-1</v>
      </c>
      <c r="S3" s="18">
        <f t="shared" ref="S3:S9" si="5">O3*P3</f>
        <v>1</v>
      </c>
      <c r="T3" s="18">
        <f t="shared" ref="T3:T9" si="6">N3*O3*P3</f>
        <v>1</v>
      </c>
    </row>
    <row r="4" spans="1:20" x14ac:dyDescent="0.25">
      <c r="A4" s="13" t="s">
        <v>157</v>
      </c>
      <c r="B4" s="41">
        <v>-1</v>
      </c>
      <c r="C4" s="41">
        <v>1</v>
      </c>
      <c r="D4" s="41">
        <v>-1</v>
      </c>
      <c r="E4" s="41">
        <f t="shared" si="0"/>
        <v>-1</v>
      </c>
      <c r="F4" s="41">
        <f t="shared" si="1"/>
        <v>1</v>
      </c>
      <c r="G4" s="41">
        <f>C4*D4</f>
        <v>-1</v>
      </c>
      <c r="H4" s="14">
        <f t="shared" si="2"/>
        <v>1</v>
      </c>
      <c r="I4" s="64">
        <v>27.51</v>
      </c>
      <c r="L4">
        <v>28.870000000000005</v>
      </c>
      <c r="N4" s="2">
        <v>-1</v>
      </c>
      <c r="O4" s="2">
        <v>1</v>
      </c>
      <c r="P4" s="2">
        <v>-1</v>
      </c>
      <c r="Q4" s="18">
        <f t="shared" si="3"/>
        <v>-1</v>
      </c>
      <c r="R4" s="18">
        <f t="shared" si="4"/>
        <v>1</v>
      </c>
      <c r="S4" s="18">
        <f t="shared" si="5"/>
        <v>-1</v>
      </c>
      <c r="T4" s="18">
        <f t="shared" si="6"/>
        <v>1</v>
      </c>
    </row>
    <row r="5" spans="1:20" x14ac:dyDescent="0.25">
      <c r="A5" s="63" t="s">
        <v>158</v>
      </c>
      <c r="B5" s="41">
        <v>1</v>
      </c>
      <c r="C5" s="41">
        <v>1</v>
      </c>
      <c r="D5" s="41">
        <v>-1</v>
      </c>
      <c r="E5" s="41">
        <f t="shared" si="0"/>
        <v>1</v>
      </c>
      <c r="F5" s="41">
        <f t="shared" si="1"/>
        <v>-1</v>
      </c>
      <c r="G5" s="41">
        <f t="shared" ref="G5:G8" si="7">C5*D5</f>
        <v>-1</v>
      </c>
      <c r="H5" s="14">
        <f t="shared" si="2"/>
        <v>-1</v>
      </c>
      <c r="I5" s="64">
        <v>51.37</v>
      </c>
      <c r="L5">
        <v>51.41</v>
      </c>
      <c r="N5" s="2">
        <v>1</v>
      </c>
      <c r="O5" s="2">
        <v>1</v>
      </c>
      <c r="P5" s="2">
        <v>-1</v>
      </c>
      <c r="Q5" s="18">
        <f t="shared" si="3"/>
        <v>1</v>
      </c>
      <c r="R5" s="18">
        <f t="shared" si="4"/>
        <v>-1</v>
      </c>
      <c r="S5" s="18">
        <f t="shared" si="5"/>
        <v>-1</v>
      </c>
      <c r="T5" s="18">
        <f t="shared" si="6"/>
        <v>-1</v>
      </c>
    </row>
    <row r="6" spans="1:20" x14ac:dyDescent="0.25">
      <c r="A6" s="63" t="s">
        <v>159</v>
      </c>
      <c r="B6" s="41">
        <v>-1</v>
      </c>
      <c r="C6" s="41">
        <v>-1</v>
      </c>
      <c r="D6" s="41">
        <v>1</v>
      </c>
      <c r="E6" s="41">
        <f t="shared" si="0"/>
        <v>1</v>
      </c>
      <c r="F6" s="41">
        <f t="shared" si="1"/>
        <v>-1</v>
      </c>
      <c r="G6" s="41">
        <f t="shared" si="7"/>
        <v>-1</v>
      </c>
      <c r="H6" s="14">
        <f t="shared" si="2"/>
        <v>1</v>
      </c>
      <c r="I6" s="64">
        <v>24.8</v>
      </c>
      <c r="L6">
        <v>20.3</v>
      </c>
      <c r="N6" s="2">
        <v>-1</v>
      </c>
      <c r="O6" s="2">
        <v>-1</v>
      </c>
      <c r="P6" s="2">
        <v>1</v>
      </c>
      <c r="Q6" s="18">
        <f t="shared" si="3"/>
        <v>1</v>
      </c>
      <c r="R6" s="18">
        <f t="shared" si="4"/>
        <v>-1</v>
      </c>
      <c r="S6" s="18">
        <f t="shared" si="5"/>
        <v>-1</v>
      </c>
      <c r="T6" s="18">
        <f t="shared" si="6"/>
        <v>1</v>
      </c>
    </row>
    <row r="7" spans="1:20" x14ac:dyDescent="0.25">
      <c r="A7" s="13" t="s">
        <v>160</v>
      </c>
      <c r="B7" s="41">
        <v>1</v>
      </c>
      <c r="C7" s="41">
        <v>-1</v>
      </c>
      <c r="D7" s="41">
        <v>1</v>
      </c>
      <c r="E7" s="41">
        <f t="shared" si="0"/>
        <v>-1</v>
      </c>
      <c r="F7" s="41">
        <f t="shared" si="1"/>
        <v>1</v>
      </c>
      <c r="G7" s="41">
        <f t="shared" si="7"/>
        <v>-1</v>
      </c>
      <c r="H7" s="14">
        <f t="shared" si="2"/>
        <v>-1</v>
      </c>
      <c r="I7" s="64">
        <v>43.58</v>
      </c>
      <c r="L7">
        <v>42.626666666666665</v>
      </c>
      <c r="N7" s="2">
        <v>1</v>
      </c>
      <c r="O7" s="2">
        <v>-1</v>
      </c>
      <c r="P7" s="2">
        <v>1</v>
      </c>
      <c r="Q7" s="18">
        <f t="shared" si="3"/>
        <v>-1</v>
      </c>
      <c r="R7" s="18">
        <f t="shared" si="4"/>
        <v>1</v>
      </c>
      <c r="S7" s="18">
        <f t="shared" si="5"/>
        <v>-1</v>
      </c>
      <c r="T7" s="18">
        <f t="shared" si="6"/>
        <v>-1</v>
      </c>
    </row>
    <row r="8" spans="1:20" x14ac:dyDescent="0.25">
      <c r="A8" s="63" t="s">
        <v>161</v>
      </c>
      <c r="B8" s="41">
        <v>-1</v>
      </c>
      <c r="C8" s="41">
        <v>1</v>
      </c>
      <c r="D8" s="41">
        <v>1</v>
      </c>
      <c r="E8" s="41">
        <f t="shared" si="0"/>
        <v>-1</v>
      </c>
      <c r="F8" s="41">
        <f t="shared" si="1"/>
        <v>-1</v>
      </c>
      <c r="G8" s="41">
        <f t="shared" si="7"/>
        <v>1</v>
      </c>
      <c r="H8" s="14">
        <f t="shared" si="2"/>
        <v>-1</v>
      </c>
      <c r="I8" s="64">
        <v>45.2</v>
      </c>
      <c r="L8">
        <v>48.34</v>
      </c>
      <c r="N8" s="2">
        <v>-1</v>
      </c>
      <c r="O8" s="2">
        <v>1</v>
      </c>
      <c r="P8" s="2">
        <v>1</v>
      </c>
      <c r="Q8" s="18">
        <f t="shared" si="3"/>
        <v>-1</v>
      </c>
      <c r="R8" s="18">
        <f t="shared" si="4"/>
        <v>-1</v>
      </c>
      <c r="S8" s="18">
        <f t="shared" si="5"/>
        <v>1</v>
      </c>
      <c r="T8" s="18">
        <f t="shared" si="6"/>
        <v>-1</v>
      </c>
    </row>
    <row r="9" spans="1:20" ht="17.25" thickBot="1" x14ac:dyDescent="0.3">
      <c r="A9" s="65" t="s">
        <v>162</v>
      </c>
      <c r="B9" s="41">
        <v>1</v>
      </c>
      <c r="C9" s="41">
        <v>1</v>
      </c>
      <c r="D9" s="41">
        <v>1</v>
      </c>
      <c r="E9" s="41">
        <f t="shared" si="0"/>
        <v>1</v>
      </c>
      <c r="F9" s="41">
        <f>B9*D9</f>
        <v>1</v>
      </c>
      <c r="G9" s="41">
        <f>C9*D9</f>
        <v>1</v>
      </c>
      <c r="H9" s="14">
        <f t="shared" si="2"/>
        <v>1</v>
      </c>
      <c r="I9" s="56">
        <v>70.510000000000005</v>
      </c>
      <c r="L9">
        <v>73.063333333333333</v>
      </c>
      <c r="N9" s="4">
        <v>1</v>
      </c>
      <c r="O9" s="4">
        <v>1</v>
      </c>
      <c r="P9" s="4">
        <v>1</v>
      </c>
      <c r="Q9" s="18">
        <f t="shared" si="3"/>
        <v>1</v>
      </c>
      <c r="R9" s="18">
        <f t="shared" si="4"/>
        <v>1</v>
      </c>
      <c r="S9" s="18">
        <f t="shared" si="5"/>
        <v>1</v>
      </c>
      <c r="T9" s="18">
        <f t="shared" si="6"/>
        <v>1</v>
      </c>
    </row>
    <row r="10" spans="1:20" x14ac:dyDescent="0.25">
      <c r="A10" s="62" t="s">
        <v>163</v>
      </c>
      <c r="B10" s="41">
        <v>-1</v>
      </c>
      <c r="C10" s="41">
        <v>-1</v>
      </c>
      <c r="D10" s="41">
        <v>-1</v>
      </c>
      <c r="E10" s="41">
        <f>B10*C10</f>
        <v>1</v>
      </c>
      <c r="F10" s="41">
        <f>B10*D10</f>
        <v>1</v>
      </c>
      <c r="G10" s="41">
        <f>C10*D10</f>
        <v>1</v>
      </c>
      <c r="H10" s="14">
        <f>B10*C10*D10</f>
        <v>-1</v>
      </c>
      <c r="I10" s="54">
        <v>58.58</v>
      </c>
    </row>
    <row r="11" spans="1:20" x14ac:dyDescent="0.25">
      <c r="A11" s="63" t="s">
        <v>164</v>
      </c>
      <c r="B11" s="41">
        <v>1</v>
      </c>
      <c r="C11" s="41">
        <v>-1</v>
      </c>
      <c r="D11" s="41">
        <v>-1</v>
      </c>
      <c r="E11" s="41">
        <f t="shared" ref="E11:E17" si="8">B11*C11</f>
        <v>-1</v>
      </c>
      <c r="F11" s="41">
        <f t="shared" ref="F11:F16" si="9">B11*D11</f>
        <v>-1</v>
      </c>
      <c r="G11" s="41">
        <f>C11*D11</f>
        <v>1</v>
      </c>
      <c r="H11" s="14">
        <f t="shared" ref="H11:H17" si="10">B11*C11*D11</f>
        <v>1</v>
      </c>
      <c r="I11" s="64">
        <v>77.569999999999993</v>
      </c>
    </row>
    <row r="12" spans="1:20" x14ac:dyDescent="0.25">
      <c r="A12" s="63" t="s">
        <v>165</v>
      </c>
      <c r="B12" s="41">
        <v>-1</v>
      </c>
      <c r="C12" s="41">
        <v>1</v>
      </c>
      <c r="D12" s="41">
        <v>-1</v>
      </c>
      <c r="E12" s="41">
        <f t="shared" si="8"/>
        <v>-1</v>
      </c>
      <c r="F12" s="41">
        <f t="shared" si="9"/>
        <v>1</v>
      </c>
      <c r="G12" s="41">
        <f>C12*D12</f>
        <v>-1</v>
      </c>
      <c r="H12" s="14">
        <f t="shared" si="10"/>
        <v>1</v>
      </c>
      <c r="I12" s="64">
        <v>34.03</v>
      </c>
    </row>
    <row r="13" spans="1:20" x14ac:dyDescent="0.25">
      <c r="A13" s="63" t="s">
        <v>166</v>
      </c>
      <c r="B13" s="41">
        <v>1</v>
      </c>
      <c r="C13" s="41">
        <v>1</v>
      </c>
      <c r="D13" s="41">
        <v>-1</v>
      </c>
      <c r="E13" s="41">
        <f t="shared" si="8"/>
        <v>1</v>
      </c>
      <c r="F13" s="41">
        <f t="shared" si="9"/>
        <v>-1</v>
      </c>
      <c r="G13" s="41">
        <f t="shared" ref="G13:G16" si="11">C13*D13</f>
        <v>-1</v>
      </c>
      <c r="H13" s="14">
        <f t="shared" si="10"/>
        <v>-1</v>
      </c>
      <c r="I13" s="64">
        <v>48.49</v>
      </c>
    </row>
    <row r="14" spans="1:20" x14ac:dyDescent="0.25">
      <c r="A14" s="63" t="s">
        <v>167</v>
      </c>
      <c r="B14" s="41">
        <v>-1</v>
      </c>
      <c r="C14" s="41">
        <v>-1</v>
      </c>
      <c r="D14" s="41">
        <v>1</v>
      </c>
      <c r="E14" s="41">
        <f t="shared" si="8"/>
        <v>1</v>
      </c>
      <c r="F14" s="41">
        <f t="shared" si="9"/>
        <v>-1</v>
      </c>
      <c r="G14" s="41">
        <f t="shared" si="11"/>
        <v>-1</v>
      </c>
      <c r="H14" s="14">
        <f t="shared" si="10"/>
        <v>1</v>
      </c>
      <c r="I14" s="64">
        <v>20.69</v>
      </c>
    </row>
    <row r="15" spans="1:20" x14ac:dyDescent="0.25">
      <c r="A15" s="63" t="s">
        <v>168</v>
      </c>
      <c r="B15" s="41">
        <v>1</v>
      </c>
      <c r="C15" s="41">
        <v>-1</v>
      </c>
      <c r="D15" s="41">
        <v>1</v>
      </c>
      <c r="E15" s="41">
        <f t="shared" si="8"/>
        <v>-1</v>
      </c>
      <c r="F15" s="41">
        <f t="shared" si="9"/>
        <v>1</v>
      </c>
      <c r="G15" s="41">
        <f t="shared" si="11"/>
        <v>-1</v>
      </c>
      <c r="H15" s="14">
        <f t="shared" si="10"/>
        <v>-1</v>
      </c>
      <c r="I15" s="64">
        <v>44.31</v>
      </c>
    </row>
    <row r="16" spans="1:20" x14ac:dyDescent="0.25">
      <c r="A16" s="63" t="s">
        <v>169</v>
      </c>
      <c r="B16" s="41">
        <v>-1</v>
      </c>
      <c r="C16" s="41">
        <v>1</v>
      </c>
      <c r="D16" s="41">
        <v>1</v>
      </c>
      <c r="E16" s="41">
        <f t="shared" si="8"/>
        <v>-1</v>
      </c>
      <c r="F16" s="41">
        <f t="shared" si="9"/>
        <v>-1</v>
      </c>
      <c r="G16" s="41">
        <f t="shared" si="11"/>
        <v>1</v>
      </c>
      <c r="H16" s="14">
        <f t="shared" si="10"/>
        <v>-1</v>
      </c>
      <c r="I16" s="64">
        <v>49.53</v>
      </c>
    </row>
    <row r="17" spans="1:9" ht="17.25" thickBot="1" x14ac:dyDescent="0.3">
      <c r="A17" s="65" t="s">
        <v>170</v>
      </c>
      <c r="B17" s="41">
        <v>1</v>
      </c>
      <c r="C17" s="41">
        <v>1</v>
      </c>
      <c r="D17" s="41">
        <v>1</v>
      </c>
      <c r="E17" s="41">
        <f t="shared" si="8"/>
        <v>1</v>
      </c>
      <c r="F17" s="41">
        <f>B17*D17</f>
        <v>1</v>
      </c>
      <c r="G17" s="41">
        <f>C17*D17</f>
        <v>1</v>
      </c>
      <c r="H17" s="14">
        <f t="shared" si="10"/>
        <v>1</v>
      </c>
      <c r="I17" s="56">
        <v>74</v>
      </c>
    </row>
    <row r="18" spans="1:9" x14ac:dyDescent="0.25">
      <c r="A18" s="66" t="s">
        <v>171</v>
      </c>
      <c r="B18" s="67">
        <v>-1</v>
      </c>
      <c r="C18" s="67">
        <v>-1</v>
      </c>
      <c r="D18" s="67">
        <v>-1</v>
      </c>
      <c r="E18" s="67">
        <f>B18*C18</f>
        <v>1</v>
      </c>
      <c r="F18" s="67">
        <f>B18*D18</f>
        <v>1</v>
      </c>
      <c r="G18" s="67">
        <f>C18*D18</f>
        <v>1</v>
      </c>
      <c r="H18" s="67">
        <f>B18*C18*D18</f>
        <v>-1</v>
      </c>
      <c r="I18" s="68">
        <v>57.07</v>
      </c>
    </row>
    <row r="19" spans="1:9" x14ac:dyDescent="0.25">
      <c r="A19" s="63" t="s">
        <v>172</v>
      </c>
      <c r="B19" s="41">
        <v>1</v>
      </c>
      <c r="C19" s="41">
        <v>-1</v>
      </c>
      <c r="D19" s="41">
        <v>-1</v>
      </c>
      <c r="E19" s="41">
        <f t="shared" ref="E19:E25" si="12">B19*C19</f>
        <v>-1</v>
      </c>
      <c r="F19" s="41">
        <f t="shared" ref="F19:F25" si="13">B19*D19</f>
        <v>-1</v>
      </c>
      <c r="G19" s="41">
        <f t="shared" ref="G19:G25" si="14">C19*D19</f>
        <v>1</v>
      </c>
      <c r="H19" s="41">
        <f t="shared" ref="H19:H25" si="15">B19*C19*D19</f>
        <v>1</v>
      </c>
      <c r="I19" s="64">
        <v>75.75</v>
      </c>
    </row>
    <row r="20" spans="1:9" x14ac:dyDescent="0.25">
      <c r="A20" s="63" t="s">
        <v>173</v>
      </c>
      <c r="B20" s="41">
        <v>-1</v>
      </c>
      <c r="C20" s="41">
        <v>1</v>
      </c>
      <c r="D20" s="41">
        <v>-1</v>
      </c>
      <c r="E20" s="41">
        <f t="shared" si="12"/>
        <v>-1</v>
      </c>
      <c r="F20" s="41">
        <f t="shared" si="13"/>
        <v>1</v>
      </c>
      <c r="G20" s="41">
        <f t="shared" si="14"/>
        <v>-1</v>
      </c>
      <c r="H20" s="41">
        <f t="shared" si="15"/>
        <v>1</v>
      </c>
      <c r="I20" s="64">
        <v>25.07</v>
      </c>
    </row>
    <row r="21" spans="1:9" x14ac:dyDescent="0.25">
      <c r="A21" s="63" t="s">
        <v>174</v>
      </c>
      <c r="B21" s="41">
        <v>1</v>
      </c>
      <c r="C21" s="41">
        <v>1</v>
      </c>
      <c r="D21" s="41">
        <v>-1</v>
      </c>
      <c r="E21" s="41">
        <f t="shared" si="12"/>
        <v>1</v>
      </c>
      <c r="F21" s="41">
        <f t="shared" si="13"/>
        <v>-1</v>
      </c>
      <c r="G21" s="41">
        <f t="shared" si="14"/>
        <v>-1</v>
      </c>
      <c r="H21" s="41">
        <f t="shared" si="15"/>
        <v>-1</v>
      </c>
      <c r="I21" s="64">
        <v>54.37</v>
      </c>
    </row>
    <row r="22" spans="1:9" x14ac:dyDescent="0.25">
      <c r="A22" s="63" t="s">
        <v>175</v>
      </c>
      <c r="B22" s="41">
        <v>-1</v>
      </c>
      <c r="C22" s="41">
        <v>-1</v>
      </c>
      <c r="D22" s="41">
        <v>1</v>
      </c>
      <c r="E22" s="41">
        <f t="shared" si="12"/>
        <v>1</v>
      </c>
      <c r="F22" s="41">
        <f t="shared" si="13"/>
        <v>-1</v>
      </c>
      <c r="G22" s="41">
        <f t="shared" si="14"/>
        <v>-1</v>
      </c>
      <c r="H22" s="41">
        <f t="shared" si="15"/>
        <v>1</v>
      </c>
      <c r="I22" s="64">
        <v>15.41</v>
      </c>
    </row>
    <row r="23" spans="1:9" x14ac:dyDescent="0.25">
      <c r="A23" s="63" t="s">
        <v>176</v>
      </c>
      <c r="B23" s="41">
        <v>1</v>
      </c>
      <c r="C23" s="41">
        <v>-1</v>
      </c>
      <c r="D23" s="41">
        <v>1</v>
      </c>
      <c r="E23" s="41">
        <f t="shared" si="12"/>
        <v>-1</v>
      </c>
      <c r="F23" s="41">
        <f t="shared" si="13"/>
        <v>1</v>
      </c>
      <c r="G23" s="41">
        <f t="shared" si="14"/>
        <v>-1</v>
      </c>
      <c r="H23" s="41">
        <f t="shared" si="15"/>
        <v>-1</v>
      </c>
      <c r="I23" s="64">
        <v>36.99</v>
      </c>
    </row>
    <row r="24" spans="1:9" x14ac:dyDescent="0.25">
      <c r="A24" s="63" t="s">
        <v>177</v>
      </c>
      <c r="B24" s="41">
        <v>-1</v>
      </c>
      <c r="C24" s="41">
        <v>1</v>
      </c>
      <c r="D24" s="41">
        <v>1</v>
      </c>
      <c r="E24" s="41">
        <f t="shared" si="12"/>
        <v>-1</v>
      </c>
      <c r="F24" s="41">
        <f t="shared" si="13"/>
        <v>-1</v>
      </c>
      <c r="G24" s="41">
        <f t="shared" si="14"/>
        <v>1</v>
      </c>
      <c r="H24" s="41">
        <f t="shared" si="15"/>
        <v>-1</v>
      </c>
      <c r="I24" s="64">
        <v>50.29</v>
      </c>
    </row>
    <row r="25" spans="1:9" ht="17.25" thickBot="1" x14ac:dyDescent="0.3">
      <c r="A25" s="65" t="s">
        <v>178</v>
      </c>
      <c r="B25" s="16">
        <v>1</v>
      </c>
      <c r="C25" s="16">
        <v>1</v>
      </c>
      <c r="D25" s="16">
        <v>1</v>
      </c>
      <c r="E25" s="16">
        <f t="shared" si="12"/>
        <v>1</v>
      </c>
      <c r="F25" s="16">
        <f t="shared" si="13"/>
        <v>1</v>
      </c>
      <c r="G25" s="16">
        <f t="shared" si="14"/>
        <v>1</v>
      </c>
      <c r="H25" s="16">
        <f t="shared" si="15"/>
        <v>1</v>
      </c>
      <c r="I25" s="56">
        <v>74.680000000000007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69"/>
  <sheetViews>
    <sheetView topLeftCell="A90" zoomScale="85" zoomScaleNormal="85" workbookViewId="0">
      <selection activeCell="C136" sqref="C136"/>
    </sheetView>
  </sheetViews>
  <sheetFormatPr defaultColWidth="9" defaultRowHeight="15.75" x14ac:dyDescent="0.25"/>
  <cols>
    <col min="1" max="1" width="6.125" style="18" customWidth="1"/>
    <col min="2" max="2" width="14.25" style="18" customWidth="1"/>
    <col min="3" max="3" width="13.375" style="18" customWidth="1"/>
    <col min="4" max="4" width="14.25" style="18" customWidth="1"/>
    <col min="5" max="7" width="10.375" style="18" customWidth="1"/>
    <col min="8" max="8" width="13.25" style="18" customWidth="1"/>
    <col min="9" max="9" width="13.375" style="18" customWidth="1"/>
    <col min="10" max="10" width="8.125" style="18" customWidth="1"/>
    <col min="11" max="11" width="9.875" style="18" customWidth="1"/>
    <col min="12" max="12" width="10.5" style="18" customWidth="1"/>
    <col min="13" max="13" width="26" style="18" customWidth="1"/>
    <col min="14" max="14" width="5.25" style="18" customWidth="1"/>
    <col min="15" max="16" width="4.5" style="18" customWidth="1"/>
    <col min="17" max="17" width="5" style="18" customWidth="1"/>
    <col min="18" max="18" width="6.375" style="18" customWidth="1"/>
    <col min="19" max="20" width="5.625" style="18" customWidth="1"/>
    <col min="21" max="23" width="7.5" style="18" customWidth="1"/>
    <col min="24" max="26" width="14.5" style="18" bestFit="1" customWidth="1"/>
    <col min="27" max="16384" width="9" style="18"/>
  </cols>
  <sheetData>
    <row r="1" spans="2:26" x14ac:dyDescent="0.25">
      <c r="B1" s="44" t="s">
        <v>5</v>
      </c>
      <c r="C1" s="45" t="s">
        <v>130</v>
      </c>
      <c r="D1" s="45" t="s">
        <v>131</v>
      </c>
      <c r="E1" s="45" t="s">
        <v>78</v>
      </c>
      <c r="F1" s="45" t="s">
        <v>79</v>
      </c>
      <c r="G1" s="45" t="s">
        <v>80</v>
      </c>
      <c r="H1" s="45" t="s">
        <v>81</v>
      </c>
      <c r="I1" s="48" t="s">
        <v>91</v>
      </c>
      <c r="J1" s="48" t="s">
        <v>129</v>
      </c>
      <c r="K1" s="18" t="s">
        <v>257</v>
      </c>
      <c r="L1" s="51" t="s">
        <v>122</v>
      </c>
      <c r="M1" s="97" t="s">
        <v>121</v>
      </c>
      <c r="N1" s="18" t="s">
        <v>265</v>
      </c>
      <c r="P1" s="89"/>
      <c r="Q1" s="90" t="s">
        <v>0</v>
      </c>
      <c r="R1" s="90" t="s">
        <v>6</v>
      </c>
      <c r="S1" s="90" t="s">
        <v>7</v>
      </c>
      <c r="T1" s="90" t="s">
        <v>134</v>
      </c>
      <c r="U1" s="90" t="s">
        <v>45</v>
      </c>
      <c r="V1" s="90" t="s">
        <v>72</v>
      </c>
      <c r="W1" s="90" t="s">
        <v>179</v>
      </c>
      <c r="X1" s="91" t="s">
        <v>137</v>
      </c>
    </row>
    <row r="2" spans="2:26" x14ac:dyDescent="0.25">
      <c r="B2" s="46">
        <v>1</v>
      </c>
      <c r="C2" s="2">
        <v>-1</v>
      </c>
      <c r="D2" s="2">
        <v>-1</v>
      </c>
      <c r="E2" s="2">
        <v>-1</v>
      </c>
      <c r="F2" s="2">
        <v>61.43</v>
      </c>
      <c r="G2" s="2">
        <v>58.58</v>
      </c>
      <c r="H2" s="2">
        <v>57.07</v>
      </c>
      <c r="I2" s="49">
        <f>AVERAGE(F2:H2)</f>
        <v>59.026666666666664</v>
      </c>
      <c r="J2" s="49">
        <f>_xlfn.VAR.S(F2:H2)</f>
        <v>4.9020333333333328</v>
      </c>
      <c r="K2" s="18">
        <f>SQRT(J2)</f>
        <v>2.2140535976650009</v>
      </c>
      <c r="L2" s="52">
        <f t="shared" ref="L2:L9" si="0">-10*LOG(((F2-100)^2+(G2-100)^2+(H2-100)^2)/3)</f>
        <v>-32.25847180659887</v>
      </c>
      <c r="M2" s="98">
        <f t="shared" ref="M2:M9" si="1">-10*LOG((1/F2^2+1/G2^2+1/H2^2)/3)</f>
        <v>35.408910608317413</v>
      </c>
      <c r="N2" s="18">
        <f t="shared" ref="N2:N9" si="2">10*LOG(I2^2/J2)</f>
        <v>28.517202570894259</v>
      </c>
      <c r="P2" s="93"/>
      <c r="Q2" s="92"/>
      <c r="R2" s="92">
        <v>-1</v>
      </c>
      <c r="S2" s="92">
        <v>-1</v>
      </c>
      <c r="T2" s="92">
        <v>-1</v>
      </c>
      <c r="U2" s="92">
        <f>R2*S2</f>
        <v>1</v>
      </c>
      <c r="V2" s="92">
        <f>R2*T2</f>
        <v>1</v>
      </c>
      <c r="W2" s="92">
        <f>S2*T2</f>
        <v>1</v>
      </c>
      <c r="X2" s="95">
        <f>R2*S2*T2</f>
        <v>-1</v>
      </c>
    </row>
    <row r="3" spans="2:26" x14ac:dyDescent="0.25">
      <c r="B3" s="46">
        <v>2</v>
      </c>
      <c r="C3" s="2">
        <v>1</v>
      </c>
      <c r="D3" s="2">
        <v>-1</v>
      </c>
      <c r="E3" s="2">
        <v>-1</v>
      </c>
      <c r="F3" s="2">
        <v>75.62</v>
      </c>
      <c r="G3" s="2">
        <v>77.569999999999993</v>
      </c>
      <c r="H3" s="2">
        <v>75.75</v>
      </c>
      <c r="I3" s="49">
        <f t="shared" ref="I3:I9" si="3">AVERAGE(F3:H3)</f>
        <v>76.313333333333333</v>
      </c>
      <c r="J3" s="49">
        <f t="shared" ref="J3:J8" si="4">_xlfn.VAR.S(F3:H3)</f>
        <v>1.1886333333333217</v>
      </c>
      <c r="K3" s="18">
        <f t="shared" ref="K3:K9" si="5">SQRT(J3)</f>
        <v>1.0902446208687855</v>
      </c>
      <c r="L3" s="52">
        <f t="shared" si="0"/>
        <v>-27.4962084898306</v>
      </c>
      <c r="M3" s="98">
        <f t="shared" si="1"/>
        <v>37.650254614759426</v>
      </c>
      <c r="N3" s="18">
        <f t="shared" si="2"/>
        <v>36.901529423353978</v>
      </c>
      <c r="P3" s="93"/>
      <c r="Q3" s="92"/>
      <c r="R3" s="92">
        <v>1</v>
      </c>
      <c r="S3" s="92">
        <v>-1</v>
      </c>
      <c r="T3" s="92">
        <v>-1</v>
      </c>
      <c r="U3" s="92">
        <f t="shared" ref="U3:U9" si="6">R3*S3</f>
        <v>-1</v>
      </c>
      <c r="V3" s="92">
        <f t="shared" ref="V3:V8" si="7">R3*T3</f>
        <v>-1</v>
      </c>
      <c r="W3" s="92">
        <f>S3*T3</f>
        <v>1</v>
      </c>
      <c r="X3" s="95">
        <f t="shared" ref="X3:X9" si="8">R3*S3*T3</f>
        <v>1</v>
      </c>
    </row>
    <row r="4" spans="2:26" x14ac:dyDescent="0.25">
      <c r="B4" s="46">
        <v>3</v>
      </c>
      <c r="C4" s="2">
        <v>-1</v>
      </c>
      <c r="D4" s="2">
        <v>1</v>
      </c>
      <c r="E4" s="2">
        <v>-1</v>
      </c>
      <c r="F4" s="2">
        <v>27.51</v>
      </c>
      <c r="G4" s="2">
        <v>34.03</v>
      </c>
      <c r="H4" s="2">
        <v>25.07</v>
      </c>
      <c r="I4" s="49">
        <f t="shared" si="3"/>
        <v>28.870000000000005</v>
      </c>
      <c r="J4" s="49">
        <f t="shared" si="4"/>
        <v>21.457599999999502</v>
      </c>
      <c r="K4" s="18">
        <f t="shared" si="5"/>
        <v>4.632234881782173</v>
      </c>
      <c r="L4" s="52">
        <f t="shared" si="0"/>
        <v>-37.053318005467176</v>
      </c>
      <c r="M4" s="98">
        <f t="shared" si="1"/>
        <v>29.000941294066639</v>
      </c>
      <c r="N4" s="18">
        <f t="shared" si="2"/>
        <v>15.893124225939889</v>
      </c>
      <c r="P4" s="93"/>
      <c r="Q4" s="92"/>
      <c r="R4" s="92">
        <v>-1</v>
      </c>
      <c r="S4" s="92">
        <v>1</v>
      </c>
      <c r="T4" s="92">
        <v>-1</v>
      </c>
      <c r="U4" s="92">
        <f t="shared" si="6"/>
        <v>-1</v>
      </c>
      <c r="V4" s="92">
        <f t="shared" si="7"/>
        <v>1</v>
      </c>
      <c r="W4" s="92">
        <f>S4*T4</f>
        <v>-1</v>
      </c>
      <c r="X4" s="95">
        <f t="shared" si="8"/>
        <v>1</v>
      </c>
    </row>
    <row r="5" spans="2:26" x14ac:dyDescent="0.25">
      <c r="B5" s="46">
        <v>4</v>
      </c>
      <c r="C5" s="2">
        <v>1</v>
      </c>
      <c r="D5" s="2">
        <v>1</v>
      </c>
      <c r="E5" s="2">
        <v>-1</v>
      </c>
      <c r="F5" s="2">
        <v>51.37</v>
      </c>
      <c r="G5" s="2">
        <v>48.49</v>
      </c>
      <c r="H5" s="2">
        <v>54.37</v>
      </c>
      <c r="I5" s="49">
        <f t="shared" si="3"/>
        <v>51.41</v>
      </c>
      <c r="J5" s="49">
        <f t="shared" si="4"/>
        <v>8.6447999999999858</v>
      </c>
      <c r="K5" s="18">
        <f t="shared" si="5"/>
        <v>2.9402040745499258</v>
      </c>
      <c r="L5" s="52">
        <f t="shared" si="0"/>
        <v>-33.741526243370735</v>
      </c>
      <c r="M5" s="98">
        <f t="shared" si="1"/>
        <v>34.192524115312551</v>
      </c>
      <c r="N5" s="18">
        <f t="shared" si="2"/>
        <v>24.853402575389477</v>
      </c>
      <c r="P5" s="93"/>
      <c r="Q5" s="92"/>
      <c r="R5" s="92">
        <v>1</v>
      </c>
      <c r="S5" s="92">
        <v>1</v>
      </c>
      <c r="T5" s="92">
        <v>-1</v>
      </c>
      <c r="U5" s="92">
        <f t="shared" si="6"/>
        <v>1</v>
      </c>
      <c r="V5" s="92">
        <f t="shared" si="7"/>
        <v>-1</v>
      </c>
      <c r="W5" s="92">
        <f t="shared" ref="W5:W8" si="9">S5*T5</f>
        <v>-1</v>
      </c>
      <c r="X5" s="95">
        <f t="shared" si="8"/>
        <v>-1</v>
      </c>
    </row>
    <row r="6" spans="2:26" x14ac:dyDescent="0.25">
      <c r="B6" s="46">
        <v>5</v>
      </c>
      <c r="C6" s="2">
        <v>-1</v>
      </c>
      <c r="D6" s="2">
        <v>-1</v>
      </c>
      <c r="E6" s="2">
        <v>1</v>
      </c>
      <c r="F6" s="2">
        <v>24.8</v>
      </c>
      <c r="G6" s="2">
        <v>20.69</v>
      </c>
      <c r="H6" s="2">
        <v>15.41</v>
      </c>
      <c r="I6" s="49">
        <f t="shared" si="3"/>
        <v>20.3</v>
      </c>
      <c r="J6" s="49">
        <f t="shared" si="4"/>
        <v>22.157100000000014</v>
      </c>
      <c r="K6" s="18">
        <f t="shared" si="5"/>
        <v>4.7071328853135235</v>
      </c>
      <c r="L6" s="52">
        <f t="shared" si="0"/>
        <v>-38.039253958242064</v>
      </c>
      <c r="M6" s="98">
        <f t="shared" si="1"/>
        <v>25.647378596124927</v>
      </c>
      <c r="N6" s="18">
        <f t="shared" si="2"/>
        <v>12.694791580559013</v>
      </c>
      <c r="P6" s="93"/>
      <c r="Q6" s="92"/>
      <c r="R6" s="92">
        <v>-1</v>
      </c>
      <c r="S6" s="92">
        <v>-1</v>
      </c>
      <c r="T6" s="92">
        <v>1</v>
      </c>
      <c r="U6" s="92">
        <f t="shared" si="6"/>
        <v>1</v>
      </c>
      <c r="V6" s="92">
        <f t="shared" si="7"/>
        <v>-1</v>
      </c>
      <c r="W6" s="92">
        <f t="shared" si="9"/>
        <v>-1</v>
      </c>
      <c r="X6" s="95">
        <f t="shared" si="8"/>
        <v>1</v>
      </c>
    </row>
    <row r="7" spans="2:26" x14ac:dyDescent="0.25">
      <c r="B7" s="46">
        <v>6</v>
      </c>
      <c r="C7" s="2">
        <v>1</v>
      </c>
      <c r="D7" s="2">
        <v>-1</v>
      </c>
      <c r="E7" s="2">
        <v>1</v>
      </c>
      <c r="F7" s="2">
        <v>43.58</v>
      </c>
      <c r="G7" s="2">
        <v>44.31</v>
      </c>
      <c r="H7" s="2">
        <v>36.99</v>
      </c>
      <c r="I7" s="49">
        <f t="shared" si="3"/>
        <v>41.626666666666665</v>
      </c>
      <c r="J7" s="49">
        <f t="shared" si="4"/>
        <v>16.257233333333328</v>
      </c>
      <c r="K7" s="18">
        <f t="shared" si="5"/>
        <v>4.0320259589111433</v>
      </c>
      <c r="L7" s="52">
        <f t="shared" si="0"/>
        <v>-35.338081676183947</v>
      </c>
      <c r="M7" s="98">
        <f t="shared" si="1"/>
        <v>32.299547823475152</v>
      </c>
      <c r="N7" s="18">
        <f t="shared" si="2"/>
        <v>20.27696631643877</v>
      </c>
      <c r="P7" s="93"/>
      <c r="Q7" s="92"/>
      <c r="R7" s="92">
        <v>1</v>
      </c>
      <c r="S7" s="92">
        <v>-1</v>
      </c>
      <c r="T7" s="92">
        <v>1</v>
      </c>
      <c r="U7" s="92">
        <f t="shared" si="6"/>
        <v>-1</v>
      </c>
      <c r="V7" s="92">
        <f t="shared" si="7"/>
        <v>1</v>
      </c>
      <c r="W7" s="92">
        <f t="shared" si="9"/>
        <v>-1</v>
      </c>
      <c r="X7" s="95">
        <f t="shared" si="8"/>
        <v>-1</v>
      </c>
    </row>
    <row r="8" spans="2:26" x14ac:dyDescent="0.25">
      <c r="B8" s="46">
        <v>7</v>
      </c>
      <c r="C8" s="2">
        <v>-1</v>
      </c>
      <c r="D8" s="2">
        <v>1</v>
      </c>
      <c r="E8" s="2">
        <v>1</v>
      </c>
      <c r="F8" s="2">
        <v>45.2</v>
      </c>
      <c r="G8" s="2">
        <v>49.53</v>
      </c>
      <c r="H8" s="2">
        <v>50.29</v>
      </c>
      <c r="I8" s="49">
        <f t="shared" si="3"/>
        <v>48.34</v>
      </c>
      <c r="J8" s="49">
        <f t="shared" si="4"/>
        <v>7.5390999999999906</v>
      </c>
      <c r="K8" s="18">
        <f t="shared" si="5"/>
        <v>2.7457421583244104</v>
      </c>
      <c r="L8" s="52">
        <f t="shared" si="0"/>
        <v>-34.271259411334526</v>
      </c>
      <c r="M8" s="98">
        <f t="shared" si="1"/>
        <v>33.656926814242361</v>
      </c>
      <c r="N8" s="18">
        <f t="shared" si="2"/>
        <v>24.912937882314552</v>
      </c>
      <c r="P8" s="93"/>
      <c r="Q8" s="92"/>
      <c r="R8" s="92">
        <v>-1</v>
      </c>
      <c r="S8" s="92">
        <v>1</v>
      </c>
      <c r="T8" s="92">
        <v>1</v>
      </c>
      <c r="U8" s="92">
        <f t="shared" si="6"/>
        <v>-1</v>
      </c>
      <c r="V8" s="92">
        <f t="shared" si="7"/>
        <v>-1</v>
      </c>
      <c r="W8" s="92">
        <f t="shared" si="9"/>
        <v>1</v>
      </c>
      <c r="X8" s="95">
        <f t="shared" si="8"/>
        <v>-1</v>
      </c>
    </row>
    <row r="9" spans="2:26" ht="16.5" thickBot="1" x14ac:dyDescent="0.3">
      <c r="B9" s="47">
        <v>8</v>
      </c>
      <c r="C9" s="4">
        <v>1</v>
      </c>
      <c r="D9" s="4">
        <v>1</v>
      </c>
      <c r="E9" s="4">
        <v>1</v>
      </c>
      <c r="F9" s="4">
        <v>70.510000000000005</v>
      </c>
      <c r="G9" s="4">
        <v>74</v>
      </c>
      <c r="H9" s="4">
        <v>74.680000000000007</v>
      </c>
      <c r="I9" s="50">
        <f t="shared" si="3"/>
        <v>73.063333333333333</v>
      </c>
      <c r="J9" s="50">
        <f>_xlfn.VAR.S(F9:H9)</f>
        <v>5.0052333333333312</v>
      </c>
      <c r="K9" s="18">
        <f t="shared" si="5"/>
        <v>2.2372378803634922</v>
      </c>
      <c r="L9" s="99">
        <f t="shared" si="0"/>
        <v>-28.626803630045615</v>
      </c>
      <c r="M9" s="100">
        <f t="shared" si="1"/>
        <v>37.265668219355973</v>
      </c>
      <c r="N9" s="18">
        <f t="shared" si="2"/>
        <v>30.279746357001226</v>
      </c>
      <c r="P9" s="93"/>
      <c r="Q9" s="92"/>
      <c r="R9" s="92">
        <v>1</v>
      </c>
      <c r="S9" s="92">
        <v>1</v>
      </c>
      <c r="T9" s="92">
        <v>1</v>
      </c>
      <c r="U9" s="92">
        <f t="shared" si="6"/>
        <v>1</v>
      </c>
      <c r="V9" s="92">
        <f>R9*T9</f>
        <v>1</v>
      </c>
      <c r="W9" s="92">
        <f>S9*T9</f>
        <v>1</v>
      </c>
      <c r="X9" s="95">
        <f t="shared" si="8"/>
        <v>1</v>
      </c>
    </row>
    <row r="10" spans="2:26" x14ac:dyDescent="0.25">
      <c r="I10" s="18" t="s">
        <v>82</v>
      </c>
      <c r="J10" s="18">
        <f>SUM(J2:J9)/8</f>
        <v>10.893966666666602</v>
      </c>
      <c r="P10" s="93" t="s">
        <v>138</v>
      </c>
      <c r="Q10" s="92">
        <v>49.868749999999999</v>
      </c>
      <c r="R10" s="92">
        <v>21.469166666666663</v>
      </c>
      <c r="S10" s="92">
        <v>1.1041666666666679</v>
      </c>
      <c r="T10" s="92">
        <v>-8.072499999999998</v>
      </c>
      <c r="U10" s="92">
        <v>2.1624999999999979</v>
      </c>
      <c r="V10" s="92">
        <v>28.634166666666701</v>
      </c>
      <c r="W10" s="92">
        <v>1.5558333333333323</v>
      </c>
      <c r="X10" s="95">
        <v>-0.46416666666666373</v>
      </c>
    </row>
    <row r="11" spans="2:26" ht="16.5" thickBot="1" x14ac:dyDescent="0.3">
      <c r="I11" s="18" t="s">
        <v>267</v>
      </c>
      <c r="J11" s="109">
        <f>SUM(J2:J9)</f>
        <v>87.151733333332814</v>
      </c>
      <c r="K11" s="18">
        <f>SUM(K2:K9)</f>
        <v>24.598876057778451</v>
      </c>
      <c r="P11" s="94" t="s">
        <v>139</v>
      </c>
      <c r="Q11" s="16">
        <v>49.868749999999999</v>
      </c>
      <c r="R11" s="16">
        <v>10.734583333333331</v>
      </c>
      <c r="S11" s="16">
        <v>0.55208333333333393</v>
      </c>
      <c r="T11" s="16">
        <v>-4.036249999999999</v>
      </c>
      <c r="U11" s="16">
        <v>1.0812499999999989</v>
      </c>
      <c r="V11" s="16">
        <v>14.317083333333334</v>
      </c>
      <c r="W11" s="16">
        <v>0.77791666666666615</v>
      </c>
      <c r="X11" s="96">
        <v>-0.23208333333333186</v>
      </c>
    </row>
    <row r="13" spans="2:26" x14ac:dyDescent="0.25">
      <c r="B13" s="18" t="s">
        <v>83</v>
      </c>
      <c r="C13" s="18">
        <f>J10/6</f>
        <v>1.8156611111111003</v>
      </c>
    </row>
    <row r="14" spans="2:26" ht="16.5" thickBot="1" x14ac:dyDescent="0.3">
      <c r="B14" s="18" t="s">
        <v>84</v>
      </c>
      <c r="C14" s="18">
        <f>SQRT(C13)</f>
        <v>1.3474646975379727</v>
      </c>
    </row>
    <row r="15" spans="2:26" x14ac:dyDescent="0.25">
      <c r="Q15" s="44" t="s">
        <v>5</v>
      </c>
      <c r="R15" s="45" t="s">
        <v>130</v>
      </c>
      <c r="S15" s="45" t="s">
        <v>131</v>
      </c>
      <c r="T15" s="45" t="s">
        <v>78</v>
      </c>
      <c r="U15" s="45" t="s">
        <v>79</v>
      </c>
      <c r="V15" s="45" t="s">
        <v>80</v>
      </c>
      <c r="W15" s="45" t="s">
        <v>81</v>
      </c>
      <c r="X15" s="45" t="s">
        <v>316</v>
      </c>
      <c r="Y15" s="45" t="s">
        <v>323</v>
      </c>
      <c r="Z15" s="121" t="s">
        <v>322</v>
      </c>
    </row>
    <row r="16" spans="2:26" x14ac:dyDescent="0.25">
      <c r="D16" s="18" t="s">
        <v>103</v>
      </c>
      <c r="E16" s="18" t="s">
        <v>104</v>
      </c>
      <c r="F16" s="18" t="s">
        <v>105</v>
      </c>
      <c r="G16" s="18" t="s">
        <v>189</v>
      </c>
      <c r="H16" s="18" t="s">
        <v>180</v>
      </c>
      <c r="I16" s="18" t="s">
        <v>181</v>
      </c>
      <c r="J16" s="18" t="s">
        <v>182</v>
      </c>
      <c r="Q16" s="46">
        <v>1</v>
      </c>
      <c r="R16" s="2">
        <v>-1</v>
      </c>
      <c r="S16" s="2">
        <v>-1</v>
      </c>
      <c r="T16" s="2">
        <v>-1</v>
      </c>
      <c r="U16" s="2">
        <v>61.43</v>
      </c>
      <c r="V16" s="2">
        <v>58.58</v>
      </c>
      <c r="W16" s="2">
        <v>57.07</v>
      </c>
      <c r="X16" s="2">
        <f>I2</f>
        <v>59.026666666666664</v>
      </c>
      <c r="Y16" s="2">
        <f>J2</f>
        <v>4.9020333333333328</v>
      </c>
      <c r="Z16" s="9">
        <f t="shared" ref="Z16:Z23" si="10">N2</f>
        <v>28.517202570894259</v>
      </c>
    </row>
    <row r="17" spans="2:26" x14ac:dyDescent="0.25">
      <c r="B17" s="18">
        <v>1</v>
      </c>
      <c r="D17" s="18">
        <f>C2*I2</f>
        <v>-59.026666666666664</v>
      </c>
      <c r="E17" s="18">
        <f t="shared" ref="E17:E24" si="11">D2*I2</f>
        <v>-59.026666666666664</v>
      </c>
      <c r="F17" s="18">
        <f t="shared" ref="F17:F24" si="12">E2*I2</f>
        <v>-59.026666666666664</v>
      </c>
      <c r="G17" s="18">
        <f t="shared" ref="G17:G24" si="13">C2*D2*I2</f>
        <v>59.026666666666664</v>
      </c>
      <c r="H17" s="18">
        <f>D2*E2*I2</f>
        <v>59.026666666666664</v>
      </c>
      <c r="I17" s="18">
        <f>C2*E2*I2</f>
        <v>59.026666666666664</v>
      </c>
      <c r="J17" s="18">
        <f t="shared" ref="J17:J24" si="14">C2*D2*E2*I2</f>
        <v>-59.026666666666664</v>
      </c>
      <c r="Q17" s="46">
        <v>2</v>
      </c>
      <c r="R17" s="2">
        <v>1</v>
      </c>
      <c r="S17" s="2">
        <v>-1</v>
      </c>
      <c r="T17" s="2">
        <v>-1</v>
      </c>
      <c r="U17" s="2">
        <v>75.62</v>
      </c>
      <c r="V17" s="2">
        <v>77.569999999999993</v>
      </c>
      <c r="W17" s="2">
        <v>75.75</v>
      </c>
      <c r="X17" s="2">
        <f t="shared" ref="X17:Y17" si="15">I3</f>
        <v>76.313333333333333</v>
      </c>
      <c r="Y17" s="2">
        <f t="shared" si="15"/>
        <v>1.1886333333333217</v>
      </c>
      <c r="Z17" s="9">
        <f t="shared" si="10"/>
        <v>36.901529423353978</v>
      </c>
    </row>
    <row r="18" spans="2:26" x14ac:dyDescent="0.25">
      <c r="B18" s="18">
        <v>2</v>
      </c>
      <c r="D18" s="18">
        <f t="shared" ref="D18:D24" si="16">C3*I3</f>
        <v>76.313333333333333</v>
      </c>
      <c r="E18" s="18">
        <f t="shared" si="11"/>
        <v>-76.313333333333333</v>
      </c>
      <c r="F18" s="18">
        <f t="shared" si="12"/>
        <v>-76.313333333333333</v>
      </c>
      <c r="G18" s="18">
        <f t="shared" si="13"/>
        <v>-76.313333333333333</v>
      </c>
      <c r="H18" s="18">
        <f t="shared" ref="H18:H24" si="17">D3*E3*I3</f>
        <v>76.313333333333333</v>
      </c>
      <c r="I18" s="18">
        <f t="shared" ref="I18:I24" si="18">C3*E3*I3</f>
        <v>-76.313333333333333</v>
      </c>
      <c r="J18" s="18">
        <f t="shared" si="14"/>
        <v>76.313333333333333</v>
      </c>
      <c r="Q18" s="46">
        <v>3</v>
      </c>
      <c r="R18" s="2">
        <v>-1</v>
      </c>
      <c r="S18" s="2">
        <v>1</v>
      </c>
      <c r="T18" s="2">
        <v>-1</v>
      </c>
      <c r="U18" s="2">
        <v>27.51</v>
      </c>
      <c r="V18" s="2">
        <v>34.03</v>
      </c>
      <c r="W18" s="2">
        <v>25.07</v>
      </c>
      <c r="X18" s="2">
        <f t="shared" ref="X18:Y18" si="19">I4</f>
        <v>28.870000000000005</v>
      </c>
      <c r="Y18" s="2">
        <f t="shared" si="19"/>
        <v>21.457599999999502</v>
      </c>
      <c r="Z18" s="9">
        <f t="shared" si="10"/>
        <v>15.893124225939889</v>
      </c>
    </row>
    <row r="19" spans="2:26" x14ac:dyDescent="0.25">
      <c r="B19" s="18">
        <v>3</v>
      </c>
      <c r="D19" s="18">
        <f t="shared" si="16"/>
        <v>-28.870000000000005</v>
      </c>
      <c r="E19" s="18">
        <f t="shared" si="11"/>
        <v>28.870000000000005</v>
      </c>
      <c r="F19" s="18">
        <f t="shared" si="12"/>
        <v>-28.870000000000005</v>
      </c>
      <c r="G19" s="18">
        <f t="shared" si="13"/>
        <v>-28.870000000000005</v>
      </c>
      <c r="H19" s="18">
        <f t="shared" si="17"/>
        <v>-28.870000000000005</v>
      </c>
      <c r="I19" s="18">
        <f t="shared" si="18"/>
        <v>28.870000000000005</v>
      </c>
      <c r="J19" s="18">
        <f t="shared" si="14"/>
        <v>28.870000000000005</v>
      </c>
      <c r="Q19" s="46">
        <v>4</v>
      </c>
      <c r="R19" s="2">
        <v>1</v>
      </c>
      <c r="S19" s="2">
        <v>1</v>
      </c>
      <c r="T19" s="2">
        <v>-1</v>
      </c>
      <c r="U19" s="2">
        <v>51.37</v>
      </c>
      <c r="V19" s="2">
        <v>48.49</v>
      </c>
      <c r="W19" s="2">
        <v>54.37</v>
      </c>
      <c r="X19" s="2">
        <f t="shared" ref="X19:Y19" si="20">I5</f>
        <v>51.41</v>
      </c>
      <c r="Y19" s="2">
        <f t="shared" si="20"/>
        <v>8.6447999999999858</v>
      </c>
      <c r="Z19" s="9">
        <f t="shared" si="10"/>
        <v>24.853402575389477</v>
      </c>
    </row>
    <row r="20" spans="2:26" x14ac:dyDescent="0.25">
      <c r="B20" s="18">
        <v>4</v>
      </c>
      <c r="D20" s="18">
        <f t="shared" si="16"/>
        <v>51.41</v>
      </c>
      <c r="E20" s="18">
        <f t="shared" si="11"/>
        <v>51.41</v>
      </c>
      <c r="F20" s="18">
        <f t="shared" si="12"/>
        <v>-51.41</v>
      </c>
      <c r="G20" s="18">
        <f t="shared" si="13"/>
        <v>51.41</v>
      </c>
      <c r="H20" s="18">
        <f t="shared" si="17"/>
        <v>-51.41</v>
      </c>
      <c r="I20" s="18">
        <f t="shared" si="18"/>
        <v>-51.41</v>
      </c>
      <c r="J20" s="18">
        <f t="shared" si="14"/>
        <v>-51.41</v>
      </c>
      <c r="Q20" s="46">
        <v>5</v>
      </c>
      <c r="R20" s="2">
        <v>-1</v>
      </c>
      <c r="S20" s="2">
        <v>-1</v>
      </c>
      <c r="T20" s="2">
        <v>1</v>
      </c>
      <c r="U20" s="2">
        <v>24.8</v>
      </c>
      <c r="V20" s="2">
        <v>20.69</v>
      </c>
      <c r="W20" s="2">
        <v>15.41</v>
      </c>
      <c r="X20" s="2">
        <f t="shared" ref="X20:Y20" si="21">I6</f>
        <v>20.3</v>
      </c>
      <c r="Y20" s="2">
        <f t="shared" si="21"/>
        <v>22.157100000000014</v>
      </c>
      <c r="Z20" s="9">
        <f t="shared" si="10"/>
        <v>12.694791580559013</v>
      </c>
    </row>
    <row r="21" spans="2:26" x14ac:dyDescent="0.25">
      <c r="B21" s="18">
        <v>5</v>
      </c>
      <c r="D21" s="18">
        <f t="shared" si="16"/>
        <v>-20.3</v>
      </c>
      <c r="E21" s="18">
        <f t="shared" si="11"/>
        <v>-20.3</v>
      </c>
      <c r="F21" s="18">
        <f t="shared" si="12"/>
        <v>20.3</v>
      </c>
      <c r="G21" s="18">
        <f t="shared" si="13"/>
        <v>20.3</v>
      </c>
      <c r="H21" s="18">
        <f t="shared" si="17"/>
        <v>-20.3</v>
      </c>
      <c r="I21" s="18">
        <f t="shared" si="18"/>
        <v>-20.3</v>
      </c>
      <c r="J21" s="18">
        <f t="shared" si="14"/>
        <v>20.3</v>
      </c>
      <c r="Q21" s="46">
        <v>6</v>
      </c>
      <c r="R21" s="2">
        <v>1</v>
      </c>
      <c r="S21" s="2">
        <v>-1</v>
      </c>
      <c r="T21" s="2">
        <v>1</v>
      </c>
      <c r="U21" s="2">
        <v>43.58</v>
      </c>
      <c r="V21" s="2">
        <v>44.31</v>
      </c>
      <c r="W21" s="2">
        <v>36.99</v>
      </c>
      <c r="X21" s="2">
        <f t="shared" ref="X21:Y21" si="22">I7</f>
        <v>41.626666666666665</v>
      </c>
      <c r="Y21" s="2">
        <f t="shared" si="22"/>
        <v>16.257233333333328</v>
      </c>
      <c r="Z21" s="9">
        <f t="shared" si="10"/>
        <v>20.27696631643877</v>
      </c>
    </row>
    <row r="22" spans="2:26" x14ac:dyDescent="0.25">
      <c r="B22" s="18">
        <v>6</v>
      </c>
      <c r="D22" s="18">
        <f t="shared" si="16"/>
        <v>41.626666666666665</v>
      </c>
      <c r="E22" s="18">
        <f t="shared" si="11"/>
        <v>-41.626666666666665</v>
      </c>
      <c r="F22" s="18">
        <f t="shared" si="12"/>
        <v>41.626666666666665</v>
      </c>
      <c r="G22" s="18">
        <f t="shared" si="13"/>
        <v>-41.626666666666665</v>
      </c>
      <c r="H22" s="18">
        <f t="shared" si="17"/>
        <v>-41.626666666666665</v>
      </c>
      <c r="I22" s="18">
        <f t="shared" si="18"/>
        <v>41.626666666666665</v>
      </c>
      <c r="J22" s="18">
        <f t="shared" si="14"/>
        <v>-41.626666666666665</v>
      </c>
      <c r="Q22" s="46">
        <v>7</v>
      </c>
      <c r="R22" s="2">
        <v>-1</v>
      </c>
      <c r="S22" s="2">
        <v>1</v>
      </c>
      <c r="T22" s="2">
        <v>1</v>
      </c>
      <c r="U22" s="2">
        <v>45.2</v>
      </c>
      <c r="V22" s="2">
        <v>49.53</v>
      </c>
      <c r="W22" s="2">
        <v>50.29</v>
      </c>
      <c r="X22" s="2">
        <f t="shared" ref="X22:Y22" si="23">I8</f>
        <v>48.34</v>
      </c>
      <c r="Y22" s="2">
        <f t="shared" si="23"/>
        <v>7.5390999999999906</v>
      </c>
      <c r="Z22" s="9">
        <f t="shared" si="10"/>
        <v>24.912937882314552</v>
      </c>
    </row>
    <row r="23" spans="2:26" ht="16.5" thickBot="1" x14ac:dyDescent="0.3">
      <c r="B23" s="18">
        <v>7</v>
      </c>
      <c r="D23" s="18">
        <f t="shared" si="16"/>
        <v>-48.34</v>
      </c>
      <c r="E23" s="18">
        <f t="shared" si="11"/>
        <v>48.34</v>
      </c>
      <c r="F23" s="18">
        <f t="shared" si="12"/>
        <v>48.34</v>
      </c>
      <c r="G23" s="18">
        <f t="shared" si="13"/>
        <v>-48.34</v>
      </c>
      <c r="H23" s="18">
        <f t="shared" si="17"/>
        <v>48.34</v>
      </c>
      <c r="I23" s="18">
        <f t="shared" si="18"/>
        <v>-48.34</v>
      </c>
      <c r="J23" s="18">
        <f t="shared" si="14"/>
        <v>-48.34</v>
      </c>
      <c r="Q23" s="47">
        <v>8</v>
      </c>
      <c r="R23" s="4">
        <v>1</v>
      </c>
      <c r="S23" s="4">
        <v>1</v>
      </c>
      <c r="T23" s="4">
        <v>1</v>
      </c>
      <c r="U23" s="4">
        <v>70.510000000000005</v>
      </c>
      <c r="V23" s="4">
        <v>74</v>
      </c>
      <c r="W23" s="4">
        <v>74.680000000000007</v>
      </c>
      <c r="X23" s="4">
        <f t="shared" ref="X23:Y23" si="24">I9</f>
        <v>73.063333333333333</v>
      </c>
      <c r="Y23" s="4">
        <f t="shared" si="24"/>
        <v>5.0052333333333312</v>
      </c>
      <c r="Z23" s="122">
        <f t="shared" si="10"/>
        <v>30.279746357001226</v>
      </c>
    </row>
    <row r="24" spans="2:26" ht="16.5" thickBot="1" x14ac:dyDescent="0.3">
      <c r="B24" s="18">
        <v>8</v>
      </c>
      <c r="D24" s="18">
        <f t="shared" si="16"/>
        <v>73.063333333333333</v>
      </c>
      <c r="E24" s="18">
        <f t="shared" si="11"/>
        <v>73.063333333333333</v>
      </c>
      <c r="F24" s="18">
        <f t="shared" si="12"/>
        <v>73.063333333333333</v>
      </c>
      <c r="G24" s="18">
        <f t="shared" si="13"/>
        <v>73.063333333333333</v>
      </c>
      <c r="H24" s="18">
        <f t="shared" si="17"/>
        <v>73.063333333333333</v>
      </c>
      <c r="I24" s="18">
        <f t="shared" si="18"/>
        <v>73.063333333333333</v>
      </c>
      <c r="J24" s="18">
        <f t="shared" si="14"/>
        <v>73.063333333333333</v>
      </c>
      <c r="X24" s="4"/>
      <c r="Y24" s="4"/>
      <c r="Z24" s="2"/>
    </row>
    <row r="25" spans="2:26" x14ac:dyDescent="0.25">
      <c r="B25" s="18" t="s">
        <v>118</v>
      </c>
      <c r="C25" s="18">
        <f>AVERAGE(F2:H9)</f>
        <v>49.868749999999999</v>
      </c>
      <c r="D25" s="18">
        <f>SUM(D17:D24)/4</f>
        <v>21.469166666666663</v>
      </c>
      <c r="E25" s="18">
        <f t="shared" ref="E25:J25" si="25">SUM(E17:E24)/4</f>
        <v>1.1041666666666679</v>
      </c>
      <c r="F25" s="18">
        <f t="shared" si="25"/>
        <v>-8.072499999999998</v>
      </c>
      <c r="G25" s="18">
        <f t="shared" si="25"/>
        <v>2.1624999999999979</v>
      </c>
      <c r="H25" s="18">
        <f t="shared" si="25"/>
        <v>28.634166666666669</v>
      </c>
      <c r="I25" s="18">
        <f t="shared" si="25"/>
        <v>1.5558333333333323</v>
      </c>
      <c r="J25" s="18">
        <f t="shared" si="25"/>
        <v>-0.46416666666666373</v>
      </c>
      <c r="Z25" s="2"/>
    </row>
    <row r="26" spans="2:26" x14ac:dyDescent="0.25">
      <c r="B26" s="18" t="s">
        <v>119</v>
      </c>
      <c r="C26" s="18">
        <f>C25</f>
        <v>49.868749999999999</v>
      </c>
      <c r="D26" s="18">
        <f>D25/2</f>
        <v>10.734583333333331</v>
      </c>
      <c r="E26" s="18">
        <f t="shared" ref="E26:J26" si="26">E25/2</f>
        <v>0.55208333333333393</v>
      </c>
      <c r="F26" s="18">
        <f t="shared" si="26"/>
        <v>-4.036249999999999</v>
      </c>
      <c r="G26" s="18">
        <f t="shared" si="26"/>
        <v>1.0812499999999989</v>
      </c>
      <c r="H26" s="18">
        <f t="shared" si="26"/>
        <v>14.317083333333334</v>
      </c>
      <c r="I26" s="18">
        <f t="shared" si="26"/>
        <v>0.77791666666666615</v>
      </c>
      <c r="J26" s="18">
        <f t="shared" si="26"/>
        <v>-0.23208333333333186</v>
      </c>
      <c r="Z26" s="2"/>
    </row>
    <row r="27" spans="2:26" x14ac:dyDescent="0.25">
      <c r="Z27" s="2"/>
    </row>
    <row r="28" spans="2:26" ht="16.5" thickBot="1" x14ac:dyDescent="0.3">
      <c r="Z28" s="4"/>
    </row>
    <row r="29" spans="2:26" x14ac:dyDescent="0.25">
      <c r="C29" s="18">
        <f>_xlfn.T.INV(0.025,16)</f>
        <v>-2.119905299221255</v>
      </c>
      <c r="D29" s="43"/>
      <c r="E29" s="18">
        <f>C14*C29</f>
        <v>-2.8564975528243139</v>
      </c>
    </row>
    <row r="30" spans="2:26" x14ac:dyDescent="0.25">
      <c r="C30" s="18">
        <f>_xlfn.T.INV(0.975,16)</f>
        <v>2.119905299221255</v>
      </c>
      <c r="E30" s="18">
        <f>C14*C30</f>
        <v>2.8564975528243139</v>
      </c>
    </row>
    <row r="32" spans="2:26" ht="16.5" thickBot="1" x14ac:dyDescent="0.3">
      <c r="B32" s="18" t="s">
        <v>86</v>
      </c>
    </row>
    <row r="33" spans="2:22" x14ac:dyDescent="0.25">
      <c r="B33" s="57"/>
      <c r="C33" s="58" t="s">
        <v>126</v>
      </c>
      <c r="D33" s="58" t="s">
        <v>123</v>
      </c>
      <c r="E33" s="58" t="s">
        <v>124</v>
      </c>
      <c r="F33" s="58" t="s">
        <v>125</v>
      </c>
      <c r="G33" s="58" t="s">
        <v>185</v>
      </c>
      <c r="H33" s="58" t="s">
        <v>183</v>
      </c>
      <c r="I33" s="58" t="s">
        <v>184</v>
      </c>
      <c r="J33" s="59" t="s">
        <v>186</v>
      </c>
      <c r="V33" s="45"/>
    </row>
    <row r="34" spans="2:22" x14ac:dyDescent="0.25">
      <c r="B34" s="13" t="s">
        <v>87</v>
      </c>
      <c r="C34" s="92">
        <f>C26+E30</f>
        <v>52.725247552824314</v>
      </c>
      <c r="D34" s="92">
        <f>(D25+$E$30)/2</f>
        <v>12.162832109745489</v>
      </c>
      <c r="E34" s="92">
        <f t="shared" ref="E34:J34" si="27">(E25+$E$30)/2</f>
        <v>1.9803321097454909</v>
      </c>
      <c r="F34" s="92">
        <f t="shared" si="27"/>
        <v>-2.6080012235878423</v>
      </c>
      <c r="G34" s="92">
        <f t="shared" si="27"/>
        <v>2.5094987764121557</v>
      </c>
      <c r="H34" s="92">
        <f t="shared" si="27"/>
        <v>15.745332109745492</v>
      </c>
      <c r="I34" s="92">
        <f t="shared" si="27"/>
        <v>2.2061654430788229</v>
      </c>
      <c r="J34" s="92">
        <f t="shared" si="27"/>
        <v>1.1961654430788251</v>
      </c>
      <c r="V34" s="2"/>
    </row>
    <row r="35" spans="2:22" x14ac:dyDescent="0.25">
      <c r="B35" s="13" t="s">
        <v>88</v>
      </c>
      <c r="C35" s="92">
        <f>C26+E29</f>
        <v>47.012252447175683</v>
      </c>
      <c r="D35" s="92">
        <f>(D25+$E$29)/2</f>
        <v>9.3063345569211737</v>
      </c>
      <c r="E35" s="92">
        <f t="shared" ref="E35:J35" si="28">(E25+$E$29)/2</f>
        <v>-0.87616544307882305</v>
      </c>
      <c r="F35" s="92">
        <f t="shared" si="28"/>
        <v>-5.4644987764121558</v>
      </c>
      <c r="G35" s="92">
        <f t="shared" si="28"/>
        <v>-0.34699877641215804</v>
      </c>
      <c r="H35" s="92">
        <f t="shared" si="28"/>
        <v>12.888834556921177</v>
      </c>
      <c r="I35" s="92">
        <f t="shared" si="28"/>
        <v>-0.65033210974549083</v>
      </c>
      <c r="J35" s="92">
        <f t="shared" si="28"/>
        <v>-1.6603321097454888</v>
      </c>
      <c r="V35" s="2"/>
    </row>
    <row r="36" spans="2:22" x14ac:dyDescent="0.25">
      <c r="B36" s="13" t="s">
        <v>85</v>
      </c>
      <c r="C36" s="92">
        <f t="shared" ref="C36:J36" si="29">C25/$C$14</f>
        <v>37.00931838223142</v>
      </c>
      <c r="D36" s="92">
        <f>D25/$C$14</f>
        <v>15.933008639034599</v>
      </c>
      <c r="E36" s="92">
        <f t="shared" si="29"/>
        <v>0.81944014465399495</v>
      </c>
      <c r="F36" s="92">
        <f t="shared" si="29"/>
        <v>-5.990880514160934</v>
      </c>
      <c r="G36" s="92">
        <f t="shared" si="29"/>
        <v>1.6048657927374432</v>
      </c>
      <c r="H36" s="92">
        <f t="shared" si="29"/>
        <v>21.250402121098787</v>
      </c>
      <c r="I36" s="92">
        <f t="shared" si="29"/>
        <v>1.1546375472218913</v>
      </c>
      <c r="J36" s="95">
        <f t="shared" si="29"/>
        <v>-0.34447408345077118</v>
      </c>
      <c r="V36" s="2"/>
    </row>
    <row r="37" spans="2:22" x14ac:dyDescent="0.25">
      <c r="B37" s="13" t="s">
        <v>127</v>
      </c>
      <c r="C37" s="92">
        <f t="shared" ref="C37" si="30">1-_xlfn.T.DIST(C36,16,1)</f>
        <v>0</v>
      </c>
      <c r="D37" s="92">
        <f>(1-_xlfn.T.DIST(D36,16,1))/2</f>
        <v>7.7027273448493361E-12</v>
      </c>
      <c r="E37" s="92">
        <f>(1-_xlfn.T.DIST(E36,16,1))/2</f>
        <v>0.10614351185200177</v>
      </c>
      <c r="F37" s="92">
        <f t="shared" ref="F37:J37" si="31">(1-_xlfn.T.DIST(F36,16,1))/2</f>
        <v>0.4999952889379633</v>
      </c>
      <c r="G37" s="92">
        <f t="shared" si="31"/>
        <v>3.2019342741492651E-2</v>
      </c>
      <c r="H37" s="92">
        <f t="shared" si="31"/>
        <v>9.3702823278363212E-14</v>
      </c>
      <c r="I37" s="92">
        <f t="shared" si="31"/>
        <v>6.6298324451952606E-2</v>
      </c>
      <c r="J37" s="92">
        <f t="shared" si="31"/>
        <v>0.31625603321797269</v>
      </c>
      <c r="V37" s="2"/>
    </row>
    <row r="38" spans="2:22" x14ac:dyDescent="0.25">
      <c r="B38" s="13" t="s">
        <v>141</v>
      </c>
      <c r="C38" s="92" t="s">
        <v>142</v>
      </c>
      <c r="D38" s="92" t="s">
        <v>143</v>
      </c>
      <c r="E38" s="92" t="s">
        <v>144</v>
      </c>
      <c r="F38" s="92" t="s">
        <v>143</v>
      </c>
      <c r="G38" s="92" t="s">
        <v>144</v>
      </c>
      <c r="H38" s="92" t="s">
        <v>142</v>
      </c>
      <c r="I38" s="92" t="s">
        <v>144</v>
      </c>
      <c r="J38" s="95" t="s">
        <v>144</v>
      </c>
      <c r="V38" s="2"/>
    </row>
    <row r="39" spans="2:22" ht="16.5" thickBot="1" x14ac:dyDescent="0.3">
      <c r="B39" s="15" t="s">
        <v>147</v>
      </c>
      <c r="C39" s="55" t="s">
        <v>148</v>
      </c>
      <c r="D39" s="55" t="s">
        <v>148</v>
      </c>
      <c r="E39" s="55" t="s">
        <v>150</v>
      </c>
      <c r="F39" s="55" t="s">
        <v>153</v>
      </c>
      <c r="G39" s="55" t="s">
        <v>150</v>
      </c>
      <c r="H39" s="55" t="s">
        <v>148</v>
      </c>
      <c r="I39" s="55" t="s">
        <v>150</v>
      </c>
      <c r="J39" s="56" t="s">
        <v>150</v>
      </c>
      <c r="V39" s="2"/>
    </row>
    <row r="40" spans="2:22" x14ac:dyDescent="0.25">
      <c r="V40" s="2"/>
    </row>
    <row r="41" spans="2:22" ht="16.5" thickBot="1" x14ac:dyDescent="0.3">
      <c r="V41" s="4"/>
    </row>
    <row r="44" spans="2:22" ht="16.5" thickBot="1" x14ac:dyDescent="0.3"/>
    <row r="45" spans="2:22" x14ac:dyDescent="0.25">
      <c r="B45" s="10"/>
      <c r="C45" s="11" t="s">
        <v>6</v>
      </c>
      <c r="D45" s="11" t="s">
        <v>7</v>
      </c>
      <c r="E45" s="11" t="s">
        <v>8</v>
      </c>
      <c r="F45" s="11" t="s">
        <v>45</v>
      </c>
      <c r="G45" s="11" t="s">
        <v>72</v>
      </c>
      <c r="H45" s="11" t="s">
        <v>179</v>
      </c>
      <c r="I45" s="12" t="s">
        <v>137</v>
      </c>
      <c r="K45" s="10"/>
      <c r="L45" s="11" t="s">
        <v>6</v>
      </c>
      <c r="M45" s="11" t="s">
        <v>7</v>
      </c>
      <c r="N45" s="11" t="s">
        <v>8</v>
      </c>
      <c r="O45" s="11" t="s">
        <v>45</v>
      </c>
      <c r="P45" s="11" t="s">
        <v>72</v>
      </c>
      <c r="Q45" s="11" t="s">
        <v>179</v>
      </c>
      <c r="R45" s="12" t="s">
        <v>137</v>
      </c>
    </row>
    <row r="46" spans="2:22" x14ac:dyDescent="0.25">
      <c r="B46" s="93">
        <v>1</v>
      </c>
      <c r="C46" s="92">
        <f t="shared" ref="C46:C53" si="32">C2*L2</f>
        <v>32.25847180659887</v>
      </c>
      <c r="D46" s="92">
        <f t="shared" ref="D46:D53" si="33">D2*L2</f>
        <v>32.25847180659887</v>
      </c>
      <c r="E46" s="92">
        <f t="shared" ref="E46:E53" si="34">E2*L2</f>
        <v>32.25847180659887</v>
      </c>
      <c r="F46" s="92">
        <f t="shared" ref="F46:F53" si="35">C2*D2*L2</f>
        <v>-32.25847180659887</v>
      </c>
      <c r="G46" s="92">
        <f t="shared" ref="G46:G53" si="36">C2*E2*L2</f>
        <v>-32.25847180659887</v>
      </c>
      <c r="H46" s="92">
        <f t="shared" ref="H46:H53" si="37">D2*E2*L2</f>
        <v>-32.25847180659887</v>
      </c>
      <c r="I46" s="95">
        <f t="shared" ref="I46:I53" si="38">C2*D2*E2*L2</f>
        <v>32.25847180659887</v>
      </c>
      <c r="K46" s="93">
        <v>1</v>
      </c>
      <c r="L46" s="101">
        <f t="shared" ref="L46:L53" si="39">C2*M2</f>
        <v>-35.408910608317413</v>
      </c>
      <c r="M46" s="101">
        <f t="shared" ref="M46:M53" si="40">D2*M2</f>
        <v>-35.408910608317413</v>
      </c>
      <c r="N46" s="101">
        <f t="shared" ref="N46:N53" si="41">E2*M2</f>
        <v>-35.408910608317413</v>
      </c>
      <c r="O46" s="101">
        <f t="shared" ref="O46:O53" si="42">C2*D2*M2</f>
        <v>35.408910608317413</v>
      </c>
      <c r="P46" s="101">
        <f t="shared" ref="P46:P53" si="43">C2*E2*M2</f>
        <v>35.408910608317413</v>
      </c>
      <c r="Q46" s="101">
        <f t="shared" ref="Q46:Q53" si="44">D2*E2*M2</f>
        <v>35.408910608317413</v>
      </c>
      <c r="R46" s="102">
        <f t="shared" ref="R46:R53" si="45">C2*D2*E2*M2</f>
        <v>-35.408910608317413</v>
      </c>
    </row>
    <row r="47" spans="2:22" x14ac:dyDescent="0.25">
      <c r="B47" s="93">
        <v>2</v>
      </c>
      <c r="C47" s="92">
        <f t="shared" si="32"/>
        <v>-27.4962084898306</v>
      </c>
      <c r="D47" s="92">
        <f t="shared" si="33"/>
        <v>27.4962084898306</v>
      </c>
      <c r="E47" s="92">
        <f t="shared" si="34"/>
        <v>27.4962084898306</v>
      </c>
      <c r="F47" s="92">
        <f t="shared" si="35"/>
        <v>27.4962084898306</v>
      </c>
      <c r="G47" s="92">
        <f t="shared" si="36"/>
        <v>27.4962084898306</v>
      </c>
      <c r="H47" s="92">
        <f t="shared" si="37"/>
        <v>-27.4962084898306</v>
      </c>
      <c r="I47" s="95">
        <f t="shared" si="38"/>
        <v>-27.4962084898306</v>
      </c>
      <c r="K47" s="93">
        <v>2</v>
      </c>
      <c r="L47" s="101">
        <f t="shared" si="39"/>
        <v>37.650254614759426</v>
      </c>
      <c r="M47" s="101">
        <f t="shared" si="40"/>
        <v>-37.650254614759426</v>
      </c>
      <c r="N47" s="101">
        <f t="shared" si="41"/>
        <v>-37.650254614759426</v>
      </c>
      <c r="O47" s="101">
        <f t="shared" si="42"/>
        <v>-37.650254614759426</v>
      </c>
      <c r="P47" s="101">
        <f t="shared" si="43"/>
        <v>-37.650254614759426</v>
      </c>
      <c r="Q47" s="101">
        <f t="shared" si="44"/>
        <v>37.650254614759426</v>
      </c>
      <c r="R47" s="102">
        <f t="shared" si="45"/>
        <v>37.650254614759426</v>
      </c>
    </row>
    <row r="48" spans="2:22" x14ac:dyDescent="0.25">
      <c r="B48" s="93">
        <v>3</v>
      </c>
      <c r="C48" s="92">
        <f t="shared" si="32"/>
        <v>37.053318005467176</v>
      </c>
      <c r="D48" s="92">
        <f t="shared" si="33"/>
        <v>-37.053318005467176</v>
      </c>
      <c r="E48" s="92">
        <f t="shared" si="34"/>
        <v>37.053318005467176</v>
      </c>
      <c r="F48" s="92">
        <f t="shared" si="35"/>
        <v>37.053318005467176</v>
      </c>
      <c r="G48" s="92">
        <f t="shared" si="36"/>
        <v>-37.053318005467176</v>
      </c>
      <c r="H48" s="92">
        <f t="shared" si="37"/>
        <v>37.053318005467176</v>
      </c>
      <c r="I48" s="95">
        <f t="shared" si="38"/>
        <v>-37.053318005467176</v>
      </c>
      <c r="K48" s="93">
        <v>3</v>
      </c>
      <c r="L48" s="101">
        <f t="shared" si="39"/>
        <v>-29.000941294066639</v>
      </c>
      <c r="M48" s="101">
        <f t="shared" si="40"/>
        <v>29.000941294066639</v>
      </c>
      <c r="N48" s="101">
        <f t="shared" si="41"/>
        <v>-29.000941294066639</v>
      </c>
      <c r="O48" s="101">
        <f t="shared" si="42"/>
        <v>-29.000941294066639</v>
      </c>
      <c r="P48" s="101">
        <f t="shared" si="43"/>
        <v>29.000941294066639</v>
      </c>
      <c r="Q48" s="101">
        <f t="shared" si="44"/>
        <v>-29.000941294066639</v>
      </c>
      <c r="R48" s="102">
        <f t="shared" si="45"/>
        <v>29.000941294066639</v>
      </c>
    </row>
    <row r="49" spans="2:18" x14ac:dyDescent="0.25">
      <c r="B49" s="93">
        <v>4</v>
      </c>
      <c r="C49" s="92">
        <f t="shared" si="32"/>
        <v>-33.741526243370735</v>
      </c>
      <c r="D49" s="92">
        <f t="shared" si="33"/>
        <v>-33.741526243370735</v>
      </c>
      <c r="E49" s="92">
        <f t="shared" si="34"/>
        <v>33.741526243370735</v>
      </c>
      <c r="F49" s="92">
        <f t="shared" si="35"/>
        <v>-33.741526243370735</v>
      </c>
      <c r="G49" s="92">
        <f t="shared" si="36"/>
        <v>33.741526243370735</v>
      </c>
      <c r="H49" s="92">
        <f t="shared" si="37"/>
        <v>33.741526243370735</v>
      </c>
      <c r="I49" s="95">
        <f t="shared" si="38"/>
        <v>33.741526243370735</v>
      </c>
      <c r="K49" s="93">
        <v>4</v>
      </c>
      <c r="L49" s="101">
        <f t="shared" si="39"/>
        <v>34.192524115312551</v>
      </c>
      <c r="M49" s="101">
        <f t="shared" si="40"/>
        <v>34.192524115312551</v>
      </c>
      <c r="N49" s="101">
        <f t="shared" si="41"/>
        <v>-34.192524115312551</v>
      </c>
      <c r="O49" s="101">
        <f t="shared" si="42"/>
        <v>34.192524115312551</v>
      </c>
      <c r="P49" s="101">
        <f t="shared" si="43"/>
        <v>-34.192524115312551</v>
      </c>
      <c r="Q49" s="101">
        <f t="shared" si="44"/>
        <v>-34.192524115312551</v>
      </c>
      <c r="R49" s="102">
        <f t="shared" si="45"/>
        <v>-34.192524115312551</v>
      </c>
    </row>
    <row r="50" spans="2:18" x14ac:dyDescent="0.25">
      <c r="B50" s="93">
        <v>5</v>
      </c>
      <c r="C50" s="92">
        <f t="shared" si="32"/>
        <v>38.039253958242064</v>
      </c>
      <c r="D50" s="92">
        <f t="shared" si="33"/>
        <v>38.039253958242064</v>
      </c>
      <c r="E50" s="92">
        <f t="shared" si="34"/>
        <v>-38.039253958242064</v>
      </c>
      <c r="F50" s="92">
        <f t="shared" si="35"/>
        <v>-38.039253958242064</v>
      </c>
      <c r="G50" s="92">
        <f t="shared" si="36"/>
        <v>38.039253958242064</v>
      </c>
      <c r="H50" s="92">
        <f t="shared" si="37"/>
        <v>38.039253958242064</v>
      </c>
      <c r="I50" s="95">
        <f t="shared" si="38"/>
        <v>-38.039253958242064</v>
      </c>
      <c r="K50" s="93">
        <v>5</v>
      </c>
      <c r="L50" s="101">
        <f t="shared" si="39"/>
        <v>-25.647378596124927</v>
      </c>
      <c r="M50" s="101">
        <f t="shared" si="40"/>
        <v>-25.647378596124927</v>
      </c>
      <c r="N50" s="101">
        <f t="shared" si="41"/>
        <v>25.647378596124927</v>
      </c>
      <c r="O50" s="101">
        <f t="shared" si="42"/>
        <v>25.647378596124927</v>
      </c>
      <c r="P50" s="101">
        <f t="shared" si="43"/>
        <v>-25.647378596124927</v>
      </c>
      <c r="Q50" s="101">
        <f t="shared" si="44"/>
        <v>-25.647378596124927</v>
      </c>
      <c r="R50" s="102">
        <f t="shared" si="45"/>
        <v>25.647378596124927</v>
      </c>
    </row>
    <row r="51" spans="2:18" x14ac:dyDescent="0.25">
      <c r="B51" s="93">
        <v>6</v>
      </c>
      <c r="C51" s="92">
        <f t="shared" si="32"/>
        <v>-35.338081676183947</v>
      </c>
      <c r="D51" s="92">
        <f t="shared" si="33"/>
        <v>35.338081676183947</v>
      </c>
      <c r="E51" s="92">
        <f t="shared" si="34"/>
        <v>-35.338081676183947</v>
      </c>
      <c r="F51" s="92">
        <f t="shared" si="35"/>
        <v>35.338081676183947</v>
      </c>
      <c r="G51" s="92">
        <f t="shared" si="36"/>
        <v>-35.338081676183947</v>
      </c>
      <c r="H51" s="92">
        <f t="shared" si="37"/>
        <v>35.338081676183947</v>
      </c>
      <c r="I51" s="95">
        <f t="shared" si="38"/>
        <v>35.338081676183947</v>
      </c>
      <c r="K51" s="93">
        <v>6</v>
      </c>
      <c r="L51" s="101">
        <f t="shared" si="39"/>
        <v>32.299547823475152</v>
      </c>
      <c r="M51" s="101">
        <f t="shared" si="40"/>
        <v>-32.299547823475152</v>
      </c>
      <c r="N51" s="101">
        <f t="shared" si="41"/>
        <v>32.299547823475152</v>
      </c>
      <c r="O51" s="101">
        <f t="shared" si="42"/>
        <v>-32.299547823475152</v>
      </c>
      <c r="P51" s="101">
        <f t="shared" si="43"/>
        <v>32.299547823475152</v>
      </c>
      <c r="Q51" s="101">
        <f t="shared" si="44"/>
        <v>-32.299547823475152</v>
      </c>
      <c r="R51" s="102">
        <f t="shared" si="45"/>
        <v>-32.299547823475152</v>
      </c>
    </row>
    <row r="52" spans="2:18" x14ac:dyDescent="0.25">
      <c r="B52" s="93">
        <v>7</v>
      </c>
      <c r="C52" s="92">
        <f t="shared" si="32"/>
        <v>34.271259411334526</v>
      </c>
      <c r="D52" s="92">
        <f t="shared" si="33"/>
        <v>-34.271259411334526</v>
      </c>
      <c r="E52" s="92">
        <f t="shared" si="34"/>
        <v>-34.271259411334526</v>
      </c>
      <c r="F52" s="92">
        <f t="shared" si="35"/>
        <v>34.271259411334526</v>
      </c>
      <c r="G52" s="92">
        <f t="shared" si="36"/>
        <v>34.271259411334526</v>
      </c>
      <c r="H52" s="92">
        <f t="shared" si="37"/>
        <v>-34.271259411334526</v>
      </c>
      <c r="I52" s="95">
        <f t="shared" si="38"/>
        <v>34.271259411334526</v>
      </c>
      <c r="K52" s="93">
        <v>7</v>
      </c>
      <c r="L52" s="101">
        <f t="shared" si="39"/>
        <v>-33.656926814242361</v>
      </c>
      <c r="M52" s="101">
        <f t="shared" si="40"/>
        <v>33.656926814242361</v>
      </c>
      <c r="N52" s="101">
        <f t="shared" si="41"/>
        <v>33.656926814242361</v>
      </c>
      <c r="O52" s="101">
        <f t="shared" si="42"/>
        <v>-33.656926814242361</v>
      </c>
      <c r="P52" s="101">
        <f t="shared" si="43"/>
        <v>-33.656926814242361</v>
      </c>
      <c r="Q52" s="101">
        <f t="shared" si="44"/>
        <v>33.656926814242361</v>
      </c>
      <c r="R52" s="102">
        <f t="shared" si="45"/>
        <v>-33.656926814242361</v>
      </c>
    </row>
    <row r="53" spans="2:18" ht="16.5" thickBot="1" x14ac:dyDescent="0.3">
      <c r="B53" s="69">
        <v>8</v>
      </c>
      <c r="C53" s="70">
        <f t="shared" si="32"/>
        <v>-28.626803630045615</v>
      </c>
      <c r="D53" s="70">
        <f t="shared" si="33"/>
        <v>-28.626803630045615</v>
      </c>
      <c r="E53" s="70">
        <f t="shared" si="34"/>
        <v>-28.626803630045615</v>
      </c>
      <c r="F53" s="92">
        <f t="shared" si="35"/>
        <v>-28.626803630045615</v>
      </c>
      <c r="G53" s="70">
        <f t="shared" si="36"/>
        <v>-28.626803630045615</v>
      </c>
      <c r="H53" s="70">
        <f t="shared" si="37"/>
        <v>-28.626803630045615</v>
      </c>
      <c r="I53" s="71">
        <f t="shared" si="38"/>
        <v>-28.626803630045615</v>
      </c>
      <c r="K53" s="69">
        <v>8</v>
      </c>
      <c r="L53" s="101">
        <f t="shared" si="39"/>
        <v>37.265668219355973</v>
      </c>
      <c r="M53" s="101">
        <f t="shared" si="40"/>
        <v>37.265668219355973</v>
      </c>
      <c r="N53" s="101">
        <f t="shared" si="41"/>
        <v>37.265668219355973</v>
      </c>
      <c r="O53" s="101">
        <f t="shared" si="42"/>
        <v>37.265668219355973</v>
      </c>
      <c r="P53" s="101">
        <f t="shared" si="43"/>
        <v>37.265668219355973</v>
      </c>
      <c r="Q53" s="101">
        <f t="shared" si="44"/>
        <v>37.265668219355973</v>
      </c>
      <c r="R53" s="102">
        <f t="shared" si="45"/>
        <v>37.265668219355973</v>
      </c>
    </row>
    <row r="54" spans="2:18" x14ac:dyDescent="0.25">
      <c r="B54" s="144" t="s">
        <v>138</v>
      </c>
      <c r="C54" s="72" t="s">
        <v>196</v>
      </c>
      <c r="D54" s="72" t="s">
        <v>1</v>
      </c>
      <c r="E54" s="72" t="s">
        <v>200</v>
      </c>
      <c r="F54" s="72" t="s">
        <v>2</v>
      </c>
      <c r="G54" s="72" t="s">
        <v>203</v>
      </c>
      <c r="H54" s="72" t="s">
        <v>204</v>
      </c>
      <c r="I54" s="73" t="s">
        <v>206</v>
      </c>
      <c r="K54" s="144" t="s">
        <v>138</v>
      </c>
      <c r="L54" s="103" t="s">
        <v>196</v>
      </c>
      <c r="M54" s="103" t="s">
        <v>1</v>
      </c>
      <c r="N54" s="103" t="s">
        <v>200</v>
      </c>
      <c r="O54" s="103" t="s">
        <v>2</v>
      </c>
      <c r="P54" s="103" t="s">
        <v>203</v>
      </c>
      <c r="Q54" s="103" t="s">
        <v>204</v>
      </c>
      <c r="R54" s="104" t="s">
        <v>206</v>
      </c>
    </row>
    <row r="55" spans="2:18" ht="16.5" thickBot="1" x14ac:dyDescent="0.3">
      <c r="B55" s="164"/>
      <c r="C55" s="55">
        <f>SUM(C46:C53)/4</f>
        <v>4.1049207855529346</v>
      </c>
      <c r="D55" s="55">
        <f t="shared" ref="D55:I55" si="46">SUM(D46:D53)/4</f>
        <v>-0.14022283984064288</v>
      </c>
      <c r="E55" s="55">
        <f t="shared" si="46"/>
        <v>-1.431468532634689</v>
      </c>
      <c r="F55" s="55">
        <f t="shared" si="46"/>
        <v>0.37320298613974145</v>
      </c>
      <c r="G55" s="55">
        <f>SUM(G46:G53)/4</f>
        <v>6.7893246120579676E-2</v>
      </c>
      <c r="H55" s="55">
        <f>SUM(H46:H53)/4</f>
        <v>5.3798591363635779</v>
      </c>
      <c r="I55" s="56">
        <f t="shared" si="46"/>
        <v>1.0984387634756558</v>
      </c>
      <c r="K55" s="164"/>
      <c r="L55" s="105">
        <f>SUM(L46:L53)/4</f>
        <v>4.4234593650379406</v>
      </c>
      <c r="M55" s="105">
        <f t="shared" ref="M55:O55" si="47">SUM(M46:M53)/4</f>
        <v>0.77749220007515341</v>
      </c>
      <c r="N55" s="105">
        <f t="shared" si="47"/>
        <v>-1.8457772948144058</v>
      </c>
      <c r="O55" s="105">
        <f t="shared" si="47"/>
        <v>-2.3297251858178214E-2</v>
      </c>
      <c r="P55" s="105">
        <f>SUM(P46:P53)/4</f>
        <v>0.70699595119397785</v>
      </c>
      <c r="Q55" s="105">
        <f>SUM(Q46:Q53)/4</f>
        <v>5.7103421069239761</v>
      </c>
      <c r="R55" s="106">
        <f t="shared" ref="R55" si="48">SUM(R46:R53)/4</f>
        <v>-1.498416659260128</v>
      </c>
    </row>
    <row r="56" spans="2:18" x14ac:dyDescent="0.25">
      <c r="B56" s="18" t="s">
        <v>209</v>
      </c>
      <c r="M56" s="18" t="s">
        <v>91</v>
      </c>
      <c r="O56" s="18" t="s">
        <v>229</v>
      </c>
      <c r="Q56" s="18" t="s">
        <v>230</v>
      </c>
    </row>
    <row r="57" spans="2:18" x14ac:dyDescent="0.25">
      <c r="M57" s="18" t="s">
        <v>4</v>
      </c>
      <c r="N57" s="18">
        <v>1</v>
      </c>
      <c r="O57" s="18" t="s">
        <v>4</v>
      </c>
      <c r="P57" s="18">
        <v>1</v>
      </c>
      <c r="Q57" s="18" t="s">
        <v>231</v>
      </c>
      <c r="R57" s="18">
        <v>1</v>
      </c>
    </row>
    <row r="58" spans="2:18" x14ac:dyDescent="0.25">
      <c r="M58" s="18" t="s">
        <v>3</v>
      </c>
      <c r="N58" s="18">
        <v>-1</v>
      </c>
      <c r="O58" s="18" t="s">
        <v>3</v>
      </c>
      <c r="P58" s="18">
        <v>-1</v>
      </c>
      <c r="Q58" s="18" t="s">
        <v>3</v>
      </c>
      <c r="R58" s="18">
        <v>-1</v>
      </c>
    </row>
    <row r="59" spans="2:18" x14ac:dyDescent="0.25">
      <c r="M59" s="18" t="s">
        <v>214</v>
      </c>
      <c r="N59" s="18">
        <v>-1</v>
      </c>
      <c r="O59" s="18" t="s">
        <v>214</v>
      </c>
      <c r="P59" s="18">
        <v>-1</v>
      </c>
      <c r="Q59" s="18" t="s">
        <v>214</v>
      </c>
      <c r="R59" s="18">
        <v>-1</v>
      </c>
    </row>
    <row r="60" spans="2:18" x14ac:dyDescent="0.25">
      <c r="M60" s="18" t="s">
        <v>120</v>
      </c>
      <c r="N60" s="18">
        <f>C26+N57*D26+F26*N59+H26*N58*N59</f>
        <v>78.956666666666663</v>
      </c>
      <c r="O60" s="18" t="s">
        <v>120</v>
      </c>
      <c r="P60" s="18">
        <f>(C78+D78*P57+E78*P58+F78*P59+G78*P57*P58+H78*P57*P59+I78*P58*P59+J78*P57*P58*P59)</f>
        <v>-27.4962084898306</v>
      </c>
      <c r="Q60" s="18" t="s">
        <v>120</v>
      </c>
      <c r="R60" s="18">
        <f>M78+N78*R57+O78*R58+P78*R59+Q78*R57*R58+R78*R57*R59+S78*R58*R59+T78*R57*R58*R59</f>
        <v>37.650254614759426</v>
      </c>
    </row>
    <row r="61" spans="2:18" ht="16.5" thickBot="1" x14ac:dyDescent="0.3"/>
    <row r="62" spans="2:18" ht="16.5" thickBot="1" x14ac:dyDescent="0.3">
      <c r="B62" s="89"/>
      <c r="C62" s="90" t="s">
        <v>0</v>
      </c>
      <c r="D62" s="90" t="s">
        <v>6</v>
      </c>
      <c r="E62" s="90" t="s">
        <v>7</v>
      </c>
      <c r="F62" s="90" t="s">
        <v>134</v>
      </c>
      <c r="G62" s="90" t="s">
        <v>45</v>
      </c>
      <c r="H62" s="90" t="s">
        <v>72</v>
      </c>
      <c r="I62" s="90" t="s">
        <v>179</v>
      </c>
      <c r="J62" s="91" t="s">
        <v>137</v>
      </c>
      <c r="K62" s="18" t="s">
        <v>121</v>
      </c>
    </row>
    <row r="63" spans="2:18" x14ac:dyDescent="0.25">
      <c r="B63" s="93"/>
      <c r="C63" s="92"/>
      <c r="D63" s="92">
        <v>-1</v>
      </c>
      <c r="E63" s="92">
        <v>-1</v>
      </c>
      <c r="F63" s="92">
        <v>-1</v>
      </c>
      <c r="G63" s="92">
        <f>D63*E63</f>
        <v>1</v>
      </c>
      <c r="H63" s="92">
        <f>D63*F63</f>
        <v>1</v>
      </c>
      <c r="I63" s="92">
        <f>E63*F63</f>
        <v>1</v>
      </c>
      <c r="J63" s="95">
        <f>D63*E63*F63</f>
        <v>-1</v>
      </c>
      <c r="K63" s="18">
        <v>28.517202570894259</v>
      </c>
      <c r="M63" s="144" t="s">
        <v>222</v>
      </c>
      <c r="N63" s="90" t="s">
        <v>6</v>
      </c>
      <c r="O63" s="90" t="s">
        <v>7</v>
      </c>
      <c r="P63" s="90" t="s">
        <v>8</v>
      </c>
      <c r="Q63" s="91" t="s">
        <v>226</v>
      </c>
    </row>
    <row r="64" spans="2:18" x14ac:dyDescent="0.25">
      <c r="B64" s="93"/>
      <c r="C64" s="92"/>
      <c r="D64" s="92">
        <v>1</v>
      </c>
      <c r="E64" s="92">
        <v>-1</v>
      </c>
      <c r="F64" s="92">
        <v>-1</v>
      </c>
      <c r="G64" s="92">
        <f t="shared" ref="G64:G70" si="49">D64*E64</f>
        <v>-1</v>
      </c>
      <c r="H64" s="92">
        <f t="shared" ref="H64:H69" si="50">D64*F64</f>
        <v>-1</v>
      </c>
      <c r="I64" s="92">
        <f>E64*F64</f>
        <v>1</v>
      </c>
      <c r="J64" s="95">
        <f t="shared" ref="J64:J70" si="51">D64*E64*F64</f>
        <v>1</v>
      </c>
      <c r="K64" s="18">
        <v>36.901529423353978</v>
      </c>
      <c r="M64" s="145"/>
      <c r="N64" s="92">
        <v>1</v>
      </c>
      <c r="O64" s="92">
        <v>-1</v>
      </c>
      <c r="P64" s="92">
        <v>-1</v>
      </c>
      <c r="Q64" s="165">
        <f>N60</f>
        <v>78.956666666666663</v>
      </c>
    </row>
    <row r="65" spans="2:20" x14ac:dyDescent="0.25">
      <c r="B65" s="93"/>
      <c r="C65" s="92"/>
      <c r="D65" s="92">
        <v>-1</v>
      </c>
      <c r="E65" s="92">
        <v>1</v>
      </c>
      <c r="F65" s="92">
        <v>-1</v>
      </c>
      <c r="G65" s="92">
        <f t="shared" si="49"/>
        <v>-1</v>
      </c>
      <c r="H65" s="92">
        <f t="shared" si="50"/>
        <v>1</v>
      </c>
      <c r="I65" s="92">
        <f>E65*F65</f>
        <v>-1</v>
      </c>
      <c r="J65" s="95">
        <f t="shared" si="51"/>
        <v>1</v>
      </c>
      <c r="K65" s="18">
        <v>15.893124225939889</v>
      </c>
      <c r="M65" s="145"/>
      <c r="N65" s="92">
        <v>120</v>
      </c>
      <c r="O65" s="92">
        <v>50</v>
      </c>
      <c r="P65" s="92">
        <v>5</v>
      </c>
      <c r="Q65" s="165"/>
    </row>
    <row r="66" spans="2:20" x14ac:dyDescent="0.25">
      <c r="B66" s="93"/>
      <c r="C66" s="92"/>
      <c r="D66" s="92">
        <v>1</v>
      </c>
      <c r="E66" s="92">
        <v>1</v>
      </c>
      <c r="F66" s="92">
        <v>-1</v>
      </c>
      <c r="G66" s="92">
        <f t="shared" si="49"/>
        <v>1</v>
      </c>
      <c r="H66" s="92">
        <f t="shared" si="50"/>
        <v>-1</v>
      </c>
      <c r="I66" s="92">
        <f t="shared" ref="I66:I69" si="52">E66*F66</f>
        <v>-1</v>
      </c>
      <c r="J66" s="95">
        <f t="shared" si="51"/>
        <v>-1</v>
      </c>
      <c r="K66" s="18">
        <v>24.853402575389477</v>
      </c>
      <c r="M66" s="145" t="s">
        <v>236</v>
      </c>
      <c r="N66" s="92" t="s">
        <v>6</v>
      </c>
      <c r="O66" s="92" t="s">
        <v>7</v>
      </c>
      <c r="P66" s="92" t="s">
        <v>8</v>
      </c>
      <c r="Q66" s="95" t="s">
        <v>226</v>
      </c>
    </row>
    <row r="67" spans="2:20" x14ac:dyDescent="0.25">
      <c r="B67" s="93"/>
      <c r="C67" s="92"/>
      <c r="D67" s="92">
        <v>-1</v>
      </c>
      <c r="E67" s="92">
        <v>-1</v>
      </c>
      <c r="F67" s="92">
        <v>1</v>
      </c>
      <c r="G67" s="92">
        <f t="shared" si="49"/>
        <v>1</v>
      </c>
      <c r="H67" s="92">
        <f t="shared" si="50"/>
        <v>-1</v>
      </c>
      <c r="I67" s="92">
        <f t="shared" si="52"/>
        <v>-1</v>
      </c>
      <c r="J67" s="95">
        <f t="shared" si="51"/>
        <v>1</v>
      </c>
      <c r="K67" s="18">
        <v>12.694791580559013</v>
      </c>
      <c r="M67" s="145"/>
      <c r="N67" s="92">
        <v>1</v>
      </c>
      <c r="O67" s="92">
        <v>-1</v>
      </c>
      <c r="P67" s="92">
        <v>-1</v>
      </c>
      <c r="Q67" s="165">
        <f>P60</f>
        <v>-27.4962084898306</v>
      </c>
    </row>
    <row r="68" spans="2:20" ht="16.5" thickBot="1" x14ac:dyDescent="0.3">
      <c r="B68" s="93"/>
      <c r="C68" s="92"/>
      <c r="D68" s="92">
        <v>1</v>
      </c>
      <c r="E68" s="92">
        <v>-1</v>
      </c>
      <c r="F68" s="92">
        <v>1</v>
      </c>
      <c r="G68" s="92">
        <f t="shared" si="49"/>
        <v>-1</v>
      </c>
      <c r="H68" s="92">
        <f t="shared" si="50"/>
        <v>1</v>
      </c>
      <c r="I68" s="92">
        <f t="shared" si="52"/>
        <v>-1</v>
      </c>
      <c r="J68" s="95">
        <f t="shared" si="51"/>
        <v>-1</v>
      </c>
      <c r="K68" s="18">
        <v>20.27696631643877</v>
      </c>
      <c r="M68" s="164"/>
      <c r="N68" s="16">
        <v>120</v>
      </c>
      <c r="O68" s="16">
        <v>50</v>
      </c>
      <c r="P68" s="16">
        <v>5</v>
      </c>
      <c r="Q68" s="166"/>
    </row>
    <row r="69" spans="2:20" x14ac:dyDescent="0.25">
      <c r="B69" s="93"/>
      <c r="C69" s="92"/>
      <c r="D69" s="92">
        <v>-1</v>
      </c>
      <c r="E69" s="92">
        <v>1</v>
      </c>
      <c r="F69" s="92">
        <v>1</v>
      </c>
      <c r="G69" s="92">
        <f t="shared" si="49"/>
        <v>-1</v>
      </c>
      <c r="H69" s="92">
        <f t="shared" si="50"/>
        <v>-1</v>
      </c>
      <c r="I69" s="92">
        <f t="shared" si="52"/>
        <v>1</v>
      </c>
      <c r="J69" s="95">
        <f t="shared" si="51"/>
        <v>-1</v>
      </c>
      <c r="K69" s="18">
        <v>24.912937882314552</v>
      </c>
      <c r="M69" s="145" t="s">
        <v>235</v>
      </c>
      <c r="N69" s="92" t="s">
        <v>6</v>
      </c>
      <c r="O69" s="92" t="s">
        <v>7</v>
      </c>
      <c r="P69" s="92" t="s">
        <v>8</v>
      </c>
      <c r="Q69" s="95" t="s">
        <v>226</v>
      </c>
    </row>
    <row r="70" spans="2:20" x14ac:dyDescent="0.25">
      <c r="B70" s="93"/>
      <c r="C70" s="92"/>
      <c r="D70" s="92">
        <v>1</v>
      </c>
      <c r="E70" s="92">
        <v>1</v>
      </c>
      <c r="F70" s="92">
        <v>1</v>
      </c>
      <c r="G70" s="92">
        <f t="shared" si="49"/>
        <v>1</v>
      </c>
      <c r="H70" s="92">
        <f>D70*F70</f>
        <v>1</v>
      </c>
      <c r="I70" s="92">
        <f>E70*F70</f>
        <v>1</v>
      </c>
      <c r="J70" s="95">
        <f t="shared" si="51"/>
        <v>1</v>
      </c>
      <c r="K70" s="18">
        <v>30.279746357001226</v>
      </c>
      <c r="M70" s="145"/>
      <c r="N70" s="92">
        <v>1</v>
      </c>
      <c r="O70" s="92">
        <v>-1</v>
      </c>
      <c r="P70" s="92">
        <v>-1</v>
      </c>
      <c r="Q70" s="165">
        <f>R60</f>
        <v>37.650254614759426</v>
      </c>
    </row>
    <row r="71" spans="2:20" ht="16.5" thickBot="1" x14ac:dyDescent="0.3">
      <c r="B71" s="93" t="s">
        <v>138</v>
      </c>
      <c r="C71" s="92">
        <v>49.868749999999999</v>
      </c>
      <c r="D71" s="92">
        <v>21.469166666666663</v>
      </c>
      <c r="E71" s="92">
        <v>1.1041666666666679</v>
      </c>
      <c r="F71" s="92">
        <v>-8.072499999999998</v>
      </c>
      <c r="G71" s="92">
        <v>2.1624999999999979</v>
      </c>
      <c r="H71" s="92">
        <v>28.634166666666701</v>
      </c>
      <c r="I71" s="92">
        <v>1.5558333333333323</v>
      </c>
      <c r="J71" s="95">
        <v>-0.46416666666666373</v>
      </c>
      <c r="M71" s="164"/>
      <c r="N71" s="16">
        <v>120</v>
      </c>
      <c r="O71" s="16">
        <v>50</v>
      </c>
      <c r="P71" s="16">
        <v>5</v>
      </c>
      <c r="Q71" s="166"/>
    </row>
    <row r="72" spans="2:20" ht="16.5" thickBot="1" x14ac:dyDescent="0.3">
      <c r="B72" s="94" t="s">
        <v>139</v>
      </c>
      <c r="C72" s="16">
        <v>49.868749999999999</v>
      </c>
      <c r="D72" s="16">
        <v>10.734583333333331</v>
      </c>
      <c r="E72" s="16">
        <v>0.55208333333333393</v>
      </c>
      <c r="F72" s="16">
        <v>-4.036249999999999</v>
      </c>
      <c r="G72" s="16">
        <v>1.0812499999999989</v>
      </c>
      <c r="H72" s="16">
        <v>14.317083333333334</v>
      </c>
      <c r="I72" s="16">
        <v>0.77791666666666615</v>
      </c>
      <c r="J72" s="96">
        <v>-0.23208333333333186</v>
      </c>
    </row>
    <row r="75" spans="2:20" ht="16.5" thickBot="1" x14ac:dyDescent="0.3"/>
    <row r="76" spans="2:20" x14ac:dyDescent="0.25">
      <c r="B76" s="74" t="s">
        <v>138</v>
      </c>
      <c r="C76" s="75">
        <v>0</v>
      </c>
      <c r="D76" s="75" t="s">
        <v>195</v>
      </c>
      <c r="E76" s="75" t="s">
        <v>197</v>
      </c>
      <c r="F76" s="75" t="s">
        <v>199</v>
      </c>
      <c r="G76" s="75" t="s">
        <v>2</v>
      </c>
      <c r="H76" s="75" t="s">
        <v>201</v>
      </c>
      <c r="I76" s="75" t="s">
        <v>202</v>
      </c>
      <c r="J76" s="76" t="s">
        <v>205</v>
      </c>
      <c r="L76" s="74" t="s">
        <v>138</v>
      </c>
      <c r="M76" s="75">
        <v>0</v>
      </c>
      <c r="N76" s="75" t="s">
        <v>195</v>
      </c>
      <c r="O76" s="75" t="s">
        <v>197</v>
      </c>
      <c r="P76" s="75" t="s">
        <v>199</v>
      </c>
      <c r="Q76" s="75" t="s">
        <v>2</v>
      </c>
      <c r="R76" s="75" t="s">
        <v>201</v>
      </c>
      <c r="S76" s="75" t="s">
        <v>202</v>
      </c>
      <c r="T76" s="76" t="s">
        <v>205</v>
      </c>
    </row>
    <row r="77" spans="2:20" ht="16.5" thickBot="1" x14ac:dyDescent="0.3">
      <c r="B77" s="77"/>
      <c r="C77" s="78"/>
      <c r="D77" s="78">
        <f>C55</f>
        <v>4.1049207855529346</v>
      </c>
      <c r="E77" s="78">
        <f t="shared" ref="E77:J77" si="53">D55</f>
        <v>-0.14022283984064288</v>
      </c>
      <c r="F77" s="78">
        <f t="shared" si="53"/>
        <v>-1.431468532634689</v>
      </c>
      <c r="G77" s="78">
        <f t="shared" si="53"/>
        <v>0.37320298613974145</v>
      </c>
      <c r="H77" s="78">
        <f t="shared" si="53"/>
        <v>6.7893246120579676E-2</v>
      </c>
      <c r="I77" s="78">
        <f t="shared" si="53"/>
        <v>5.3798591363635779</v>
      </c>
      <c r="J77" s="78">
        <f t="shared" si="53"/>
        <v>1.0984387634756558</v>
      </c>
      <c r="L77" s="77"/>
      <c r="M77" s="78"/>
      <c r="N77" s="78">
        <f>L55</f>
        <v>4.4234593650379406</v>
      </c>
      <c r="O77" s="78">
        <f t="shared" ref="O77:T77" si="54">M55</f>
        <v>0.77749220007515341</v>
      </c>
      <c r="P77" s="78">
        <f t="shared" si="54"/>
        <v>-1.8457772948144058</v>
      </c>
      <c r="Q77" s="78">
        <f t="shared" si="54"/>
        <v>-2.3297251858178214E-2</v>
      </c>
      <c r="R77" s="78">
        <f t="shared" si="54"/>
        <v>0.70699595119397785</v>
      </c>
      <c r="S77" s="78">
        <f t="shared" si="54"/>
        <v>5.7103421069239761</v>
      </c>
      <c r="T77" s="78">
        <f t="shared" si="54"/>
        <v>-1.498416659260128</v>
      </c>
    </row>
    <row r="78" spans="2:20" ht="16.5" thickBot="1" x14ac:dyDescent="0.3">
      <c r="B78" s="79" t="s">
        <v>208</v>
      </c>
      <c r="C78" s="80">
        <f>AVERAGE(L2:L9)</f>
        <v>-33.353115402634195</v>
      </c>
      <c r="D78" s="80">
        <f>D77/2</f>
        <v>2.0524603927764673</v>
      </c>
      <c r="E78" s="80">
        <f t="shared" ref="E78:G78" si="55">E77/2</f>
        <v>-7.0111419920321438E-2</v>
      </c>
      <c r="F78" s="80">
        <f t="shared" si="55"/>
        <v>-0.71573426631734449</v>
      </c>
      <c r="G78" s="80">
        <f t="shared" si="55"/>
        <v>0.18660149306987073</v>
      </c>
      <c r="H78" s="80">
        <f>H77/2</f>
        <v>3.3946623060289838E-2</v>
      </c>
      <c r="I78" s="80">
        <f>I77/2</f>
        <v>2.689929568181789</v>
      </c>
      <c r="J78" s="81">
        <f>J77/2</f>
        <v>0.54921938173782792</v>
      </c>
      <c r="L78" s="79" t="s">
        <v>208</v>
      </c>
      <c r="M78" s="80">
        <f>AVERAGE(M2:M9)</f>
        <v>33.140269010706803</v>
      </c>
      <c r="N78" s="80">
        <f>N77/2</f>
        <v>2.2117296825189703</v>
      </c>
      <c r="O78" s="80">
        <f t="shared" ref="O78:Q78" si="56">O77/2</f>
        <v>0.3887461000375767</v>
      </c>
      <c r="P78" s="80">
        <f t="shared" si="56"/>
        <v>-0.92288864740720289</v>
      </c>
      <c r="Q78" s="80">
        <f t="shared" si="56"/>
        <v>-1.1648625929089107E-2</v>
      </c>
      <c r="R78" s="80">
        <f>R77/2</f>
        <v>0.35349797559698892</v>
      </c>
      <c r="S78" s="80">
        <f>S77/2</f>
        <v>2.8551710534619881</v>
      </c>
      <c r="T78" s="81">
        <f>T77/2</f>
        <v>-0.74920832963006401</v>
      </c>
    </row>
    <row r="81" spans="1:10" ht="16.5" thickBot="1" x14ac:dyDescent="0.3"/>
    <row r="82" spans="1:10" x14ac:dyDescent="0.25">
      <c r="A82" s="18" t="s">
        <v>258</v>
      </c>
      <c r="B82" s="44" t="s">
        <v>320</v>
      </c>
      <c r="C82" s="45" t="s">
        <v>130</v>
      </c>
      <c r="D82" s="45" t="s">
        <v>131</v>
      </c>
      <c r="E82" s="45" t="s">
        <v>78</v>
      </c>
      <c r="F82" s="45" t="s">
        <v>253</v>
      </c>
      <c r="G82" s="45" t="s">
        <v>316</v>
      </c>
      <c r="H82" s="45" t="s">
        <v>317</v>
      </c>
      <c r="I82" s="45" t="s">
        <v>318</v>
      </c>
      <c r="J82" s="121" t="s">
        <v>319</v>
      </c>
    </row>
    <row r="83" spans="1:10" x14ac:dyDescent="0.25">
      <c r="A83" s="18">
        <v>1</v>
      </c>
      <c r="B83" s="46">
        <v>1</v>
      </c>
      <c r="C83" s="2">
        <v>-1</v>
      </c>
      <c r="D83" s="2">
        <v>-1</v>
      </c>
      <c r="E83" s="2">
        <v>-1</v>
      </c>
      <c r="F83" s="2">
        <v>61.43</v>
      </c>
      <c r="G83" s="2">
        <f>F140</f>
        <v>59.026666666666664</v>
      </c>
      <c r="H83" s="2">
        <f t="shared" ref="H83:H106" si="57">$C$26+C83*$D$26+$F$26*E83+D83*E83*$H$26</f>
        <v>57.487500000000004</v>
      </c>
      <c r="I83" s="119">
        <f t="shared" ref="I83:I106" si="58">H83-F83</f>
        <v>-3.9424999999999955</v>
      </c>
      <c r="J83" s="37">
        <f>F83-G83</f>
        <v>2.403333333333336</v>
      </c>
    </row>
    <row r="84" spans="1:10" x14ac:dyDescent="0.25">
      <c r="A84" s="18">
        <v>2</v>
      </c>
      <c r="B84" s="46">
        <v>2</v>
      </c>
      <c r="C84" s="2">
        <v>1</v>
      </c>
      <c r="D84" s="2">
        <v>-1</v>
      </c>
      <c r="E84" s="2">
        <v>-1</v>
      </c>
      <c r="F84" s="2">
        <v>75.62</v>
      </c>
      <c r="G84" s="2">
        <f t="shared" ref="G84:G90" si="59">F141</f>
        <v>76.313333333333333</v>
      </c>
      <c r="H84" s="2">
        <f t="shared" si="57"/>
        <v>78.956666666666663</v>
      </c>
      <c r="I84" s="119">
        <f t="shared" si="58"/>
        <v>3.3366666666666589</v>
      </c>
      <c r="J84" s="37">
        <f t="shared" ref="J84:J106" si="60">F84-G84</f>
        <v>-0.69333333333332803</v>
      </c>
    </row>
    <row r="85" spans="1:10" x14ac:dyDescent="0.25">
      <c r="A85" s="18">
        <v>3</v>
      </c>
      <c r="B85" s="46">
        <v>3</v>
      </c>
      <c r="C85" s="2">
        <v>-1</v>
      </c>
      <c r="D85" s="2">
        <v>1</v>
      </c>
      <c r="E85" s="2">
        <v>-1</v>
      </c>
      <c r="F85" s="2">
        <v>27.51</v>
      </c>
      <c r="G85" s="2">
        <f t="shared" si="59"/>
        <v>28.870000000000005</v>
      </c>
      <c r="H85" s="2">
        <f t="shared" si="57"/>
        <v>28.853333333333332</v>
      </c>
      <c r="I85" s="119">
        <f t="shared" si="58"/>
        <v>1.3433333333333302</v>
      </c>
      <c r="J85" s="37">
        <f t="shared" si="60"/>
        <v>-1.360000000000003</v>
      </c>
    </row>
    <row r="86" spans="1:10" x14ac:dyDescent="0.25">
      <c r="A86" s="18">
        <v>4</v>
      </c>
      <c r="B86" s="46">
        <v>4</v>
      </c>
      <c r="C86" s="2">
        <v>1</v>
      </c>
      <c r="D86" s="2">
        <v>1</v>
      </c>
      <c r="E86" s="2">
        <v>-1</v>
      </c>
      <c r="F86" s="2">
        <v>51.37</v>
      </c>
      <c r="G86" s="2">
        <f t="shared" si="59"/>
        <v>51.41</v>
      </c>
      <c r="H86" s="2">
        <f t="shared" si="57"/>
        <v>50.322499999999998</v>
      </c>
      <c r="I86" s="119">
        <f t="shared" si="58"/>
        <v>-1.0474999999999994</v>
      </c>
      <c r="J86" s="37">
        <f t="shared" si="60"/>
        <v>-3.9999999999999147E-2</v>
      </c>
    </row>
    <row r="87" spans="1:10" x14ac:dyDescent="0.25">
      <c r="A87" s="18">
        <v>5</v>
      </c>
      <c r="B87" s="46">
        <v>5</v>
      </c>
      <c r="C87" s="2">
        <v>-1</v>
      </c>
      <c r="D87" s="2">
        <v>-1</v>
      </c>
      <c r="E87" s="2">
        <v>1</v>
      </c>
      <c r="F87" s="2">
        <v>24.8</v>
      </c>
      <c r="G87" s="2">
        <f t="shared" si="59"/>
        <v>20.3</v>
      </c>
      <c r="H87" s="2">
        <f t="shared" si="57"/>
        <v>20.780833333333327</v>
      </c>
      <c r="I87" s="119">
        <f t="shared" si="58"/>
        <v>-4.0191666666666741</v>
      </c>
      <c r="J87" s="37">
        <f t="shared" si="60"/>
        <v>4.5</v>
      </c>
    </row>
    <row r="88" spans="1:10" x14ac:dyDescent="0.25">
      <c r="A88" s="18">
        <v>6</v>
      </c>
      <c r="B88" s="46">
        <v>6</v>
      </c>
      <c r="C88" s="2">
        <v>1</v>
      </c>
      <c r="D88" s="2">
        <v>-1</v>
      </c>
      <c r="E88" s="2">
        <v>1</v>
      </c>
      <c r="F88" s="2">
        <v>43.58</v>
      </c>
      <c r="G88" s="2">
        <f t="shared" si="59"/>
        <v>41.626666666666665</v>
      </c>
      <c r="H88" s="2">
        <f t="shared" si="57"/>
        <v>42.249999999999993</v>
      </c>
      <c r="I88" s="119">
        <f t="shared" si="58"/>
        <v>-1.3300000000000054</v>
      </c>
      <c r="J88" s="37">
        <f t="shared" si="60"/>
        <v>1.9533333333333331</v>
      </c>
    </row>
    <row r="89" spans="1:10" x14ac:dyDescent="0.25">
      <c r="A89" s="18">
        <v>7</v>
      </c>
      <c r="B89" s="46">
        <v>7</v>
      </c>
      <c r="C89" s="2">
        <v>-1</v>
      </c>
      <c r="D89" s="2">
        <v>1</v>
      </c>
      <c r="E89" s="2">
        <v>1</v>
      </c>
      <c r="F89" s="2">
        <v>45.2</v>
      </c>
      <c r="G89" s="2">
        <f t="shared" si="59"/>
        <v>48.34</v>
      </c>
      <c r="H89" s="2">
        <f t="shared" si="57"/>
        <v>49.414999999999999</v>
      </c>
      <c r="I89" s="119">
        <f t="shared" si="58"/>
        <v>4.2149999999999963</v>
      </c>
      <c r="J89" s="37">
        <f t="shared" si="60"/>
        <v>-3.1400000000000006</v>
      </c>
    </row>
    <row r="90" spans="1:10" ht="16.5" thickBot="1" x14ac:dyDescent="0.3">
      <c r="A90" s="18">
        <v>8</v>
      </c>
      <c r="B90" s="47">
        <v>8</v>
      </c>
      <c r="C90" s="4">
        <v>1</v>
      </c>
      <c r="D90" s="4">
        <v>1</v>
      </c>
      <c r="E90" s="4">
        <v>1</v>
      </c>
      <c r="F90" s="4">
        <v>70.510000000000005</v>
      </c>
      <c r="G90" s="4">
        <f t="shared" si="59"/>
        <v>73.063333333333333</v>
      </c>
      <c r="H90" s="4">
        <f t="shared" si="57"/>
        <v>70.884166666666658</v>
      </c>
      <c r="I90" s="120">
        <f t="shared" si="58"/>
        <v>0.37416666666665321</v>
      </c>
      <c r="J90" s="22">
        <f t="shared" si="60"/>
        <v>-2.5533333333333275</v>
      </c>
    </row>
    <row r="91" spans="1:10" x14ac:dyDescent="0.25">
      <c r="A91" s="18">
        <v>9</v>
      </c>
      <c r="B91" s="46">
        <v>1</v>
      </c>
      <c r="C91" s="2">
        <v>-1</v>
      </c>
      <c r="D91" s="2">
        <v>-1</v>
      </c>
      <c r="E91" s="2">
        <v>-1</v>
      </c>
      <c r="F91" s="2">
        <v>58.58</v>
      </c>
      <c r="G91" s="2">
        <f>F140</f>
        <v>59.026666666666664</v>
      </c>
      <c r="H91" s="2">
        <f t="shared" si="57"/>
        <v>57.487500000000004</v>
      </c>
      <c r="I91" s="119">
        <f t="shared" si="58"/>
        <v>-1.092499999999994</v>
      </c>
      <c r="J91" s="37">
        <f t="shared" si="60"/>
        <v>-0.44666666666666544</v>
      </c>
    </row>
    <row r="92" spans="1:10" x14ac:dyDescent="0.25">
      <c r="A92" s="18">
        <v>10</v>
      </c>
      <c r="B92" s="46">
        <v>2</v>
      </c>
      <c r="C92" s="2">
        <v>1</v>
      </c>
      <c r="D92" s="2">
        <v>-1</v>
      </c>
      <c r="E92" s="2">
        <v>-1</v>
      </c>
      <c r="F92" s="2">
        <v>77.569999999999993</v>
      </c>
      <c r="G92" s="2">
        <f t="shared" ref="G92:G98" si="61">F141</f>
        <v>76.313333333333333</v>
      </c>
      <c r="H92" s="2">
        <f t="shared" si="57"/>
        <v>78.956666666666663</v>
      </c>
      <c r="I92" s="119">
        <f t="shared" si="58"/>
        <v>1.3866666666666703</v>
      </c>
      <c r="J92" s="37">
        <f t="shared" si="60"/>
        <v>1.2566666666666606</v>
      </c>
    </row>
    <row r="93" spans="1:10" x14ac:dyDescent="0.25">
      <c r="A93" s="18">
        <v>11</v>
      </c>
      <c r="B93" s="46">
        <v>3</v>
      </c>
      <c r="C93" s="2">
        <v>-1</v>
      </c>
      <c r="D93" s="2">
        <v>1</v>
      </c>
      <c r="E93" s="2">
        <v>-1</v>
      </c>
      <c r="F93" s="2">
        <v>34.03</v>
      </c>
      <c r="G93" s="2">
        <f t="shared" si="61"/>
        <v>28.870000000000005</v>
      </c>
      <c r="H93" s="2">
        <f t="shared" si="57"/>
        <v>28.853333333333332</v>
      </c>
      <c r="I93" s="119">
        <f t="shared" si="58"/>
        <v>-5.1766666666666694</v>
      </c>
      <c r="J93" s="37">
        <f t="shared" si="60"/>
        <v>5.1599999999999966</v>
      </c>
    </row>
    <row r="94" spans="1:10" x14ac:dyDescent="0.25">
      <c r="A94" s="18">
        <v>12</v>
      </c>
      <c r="B94" s="46">
        <v>4</v>
      </c>
      <c r="C94" s="2">
        <v>1</v>
      </c>
      <c r="D94" s="2">
        <v>1</v>
      </c>
      <c r="E94" s="2">
        <v>-1</v>
      </c>
      <c r="F94" s="2">
        <v>48.49</v>
      </c>
      <c r="G94" s="2">
        <f t="shared" si="61"/>
        <v>51.41</v>
      </c>
      <c r="H94" s="2">
        <f t="shared" si="57"/>
        <v>50.322499999999998</v>
      </c>
      <c r="I94" s="119">
        <f t="shared" si="58"/>
        <v>1.832499999999996</v>
      </c>
      <c r="J94" s="37">
        <f t="shared" si="60"/>
        <v>-2.9199999999999946</v>
      </c>
    </row>
    <row r="95" spans="1:10" x14ac:dyDescent="0.25">
      <c r="A95" s="18">
        <v>13</v>
      </c>
      <c r="B95" s="46">
        <v>5</v>
      </c>
      <c r="C95" s="2">
        <v>-1</v>
      </c>
      <c r="D95" s="2">
        <v>-1</v>
      </c>
      <c r="E95" s="2">
        <v>1</v>
      </c>
      <c r="F95" s="2">
        <v>20.69</v>
      </c>
      <c r="G95" s="2">
        <f t="shared" si="61"/>
        <v>20.3</v>
      </c>
      <c r="H95" s="2">
        <f t="shared" si="57"/>
        <v>20.780833333333327</v>
      </c>
      <c r="I95" s="119">
        <f t="shared" si="58"/>
        <v>9.0833333333325328E-2</v>
      </c>
      <c r="J95" s="37">
        <f t="shared" si="60"/>
        <v>0.39000000000000057</v>
      </c>
    </row>
    <row r="96" spans="1:10" x14ac:dyDescent="0.25">
      <c r="A96" s="18">
        <v>14</v>
      </c>
      <c r="B96" s="46">
        <v>6</v>
      </c>
      <c r="C96" s="2">
        <v>1</v>
      </c>
      <c r="D96" s="2">
        <v>-1</v>
      </c>
      <c r="E96" s="2">
        <v>1</v>
      </c>
      <c r="F96" s="2">
        <v>44.31</v>
      </c>
      <c r="G96" s="2">
        <f t="shared" si="61"/>
        <v>41.626666666666665</v>
      </c>
      <c r="H96" s="2">
        <f t="shared" si="57"/>
        <v>42.249999999999993</v>
      </c>
      <c r="I96" s="119">
        <f t="shared" si="58"/>
        <v>-2.0600000000000094</v>
      </c>
      <c r="J96" s="37">
        <f t="shared" si="60"/>
        <v>2.6833333333333371</v>
      </c>
    </row>
    <row r="97" spans="1:10" x14ac:dyDescent="0.25">
      <c r="A97" s="18">
        <v>15</v>
      </c>
      <c r="B97" s="46">
        <v>7</v>
      </c>
      <c r="C97" s="2">
        <v>-1</v>
      </c>
      <c r="D97" s="2">
        <v>1</v>
      </c>
      <c r="E97" s="2">
        <v>1</v>
      </c>
      <c r="F97" s="2">
        <v>49.53</v>
      </c>
      <c r="G97" s="2">
        <f t="shared" si="61"/>
        <v>48.34</v>
      </c>
      <c r="H97" s="2">
        <f t="shared" si="57"/>
        <v>49.414999999999999</v>
      </c>
      <c r="I97" s="119">
        <f t="shared" si="58"/>
        <v>-0.11500000000000199</v>
      </c>
      <c r="J97" s="37">
        <f t="shared" si="60"/>
        <v>1.1899999999999977</v>
      </c>
    </row>
    <row r="98" spans="1:10" ht="16.5" thickBot="1" x14ac:dyDescent="0.3">
      <c r="A98" s="18">
        <v>16</v>
      </c>
      <c r="B98" s="47">
        <v>8</v>
      </c>
      <c r="C98" s="4">
        <v>1</v>
      </c>
      <c r="D98" s="4">
        <v>1</v>
      </c>
      <c r="E98" s="4">
        <v>1</v>
      </c>
      <c r="F98" s="4">
        <v>74</v>
      </c>
      <c r="G98" s="4">
        <f t="shared" si="61"/>
        <v>73.063333333333333</v>
      </c>
      <c r="H98" s="4">
        <f t="shared" si="57"/>
        <v>70.884166666666658</v>
      </c>
      <c r="I98" s="120">
        <f t="shared" si="58"/>
        <v>-3.1158333333333417</v>
      </c>
      <c r="J98" s="22">
        <f t="shared" si="60"/>
        <v>0.93666666666666742</v>
      </c>
    </row>
    <row r="99" spans="1:10" x14ac:dyDescent="0.25">
      <c r="A99" s="18">
        <v>17</v>
      </c>
      <c r="B99" s="46">
        <v>1</v>
      </c>
      <c r="C99" s="2">
        <v>-1</v>
      </c>
      <c r="D99" s="2">
        <v>-1</v>
      </c>
      <c r="E99" s="2">
        <v>-1</v>
      </c>
      <c r="F99" s="2">
        <v>57.07</v>
      </c>
      <c r="G99" s="2">
        <f>F140</f>
        <v>59.026666666666664</v>
      </c>
      <c r="H99" s="2">
        <f t="shared" si="57"/>
        <v>57.487500000000004</v>
      </c>
      <c r="I99" s="119">
        <f t="shared" si="58"/>
        <v>0.41750000000000398</v>
      </c>
      <c r="J99" s="37">
        <f t="shared" si="60"/>
        <v>-1.9566666666666634</v>
      </c>
    </row>
    <row r="100" spans="1:10" x14ac:dyDescent="0.25">
      <c r="A100" s="18">
        <v>18</v>
      </c>
      <c r="B100" s="46">
        <v>2</v>
      </c>
      <c r="C100" s="2">
        <v>1</v>
      </c>
      <c r="D100" s="2">
        <v>-1</v>
      </c>
      <c r="E100" s="2">
        <v>-1</v>
      </c>
      <c r="F100" s="2">
        <v>75.75</v>
      </c>
      <c r="G100" s="2">
        <f t="shared" ref="G100:G106" si="62">F141</f>
        <v>76.313333333333333</v>
      </c>
      <c r="H100" s="2">
        <f t="shared" si="57"/>
        <v>78.956666666666663</v>
      </c>
      <c r="I100" s="119">
        <f t="shared" si="58"/>
        <v>3.2066666666666634</v>
      </c>
      <c r="J100" s="37">
        <f t="shared" si="60"/>
        <v>-0.56333333333333258</v>
      </c>
    </row>
    <row r="101" spans="1:10" x14ac:dyDescent="0.25">
      <c r="A101" s="18">
        <v>19</v>
      </c>
      <c r="B101" s="46">
        <v>3</v>
      </c>
      <c r="C101" s="2">
        <v>-1</v>
      </c>
      <c r="D101" s="2">
        <v>1</v>
      </c>
      <c r="E101" s="2">
        <v>-1</v>
      </c>
      <c r="F101" s="2">
        <v>25.07</v>
      </c>
      <c r="G101" s="2">
        <f t="shared" si="62"/>
        <v>28.870000000000005</v>
      </c>
      <c r="H101" s="2">
        <f t="shared" si="57"/>
        <v>28.853333333333332</v>
      </c>
      <c r="I101" s="119">
        <f t="shared" si="58"/>
        <v>3.7833333333333314</v>
      </c>
      <c r="J101" s="37">
        <f t="shared" si="60"/>
        <v>-3.8000000000000043</v>
      </c>
    </row>
    <row r="102" spans="1:10" x14ac:dyDescent="0.25">
      <c r="A102" s="18">
        <v>20</v>
      </c>
      <c r="B102" s="46">
        <v>4</v>
      </c>
      <c r="C102" s="2">
        <v>1</v>
      </c>
      <c r="D102" s="2">
        <v>1</v>
      </c>
      <c r="E102" s="2">
        <v>-1</v>
      </c>
      <c r="F102" s="2">
        <v>54.37</v>
      </c>
      <c r="G102" s="2">
        <f t="shared" si="62"/>
        <v>51.41</v>
      </c>
      <c r="H102" s="2">
        <f t="shared" si="57"/>
        <v>50.322499999999998</v>
      </c>
      <c r="I102" s="119">
        <f t="shared" si="58"/>
        <v>-4.0474999999999994</v>
      </c>
      <c r="J102" s="37">
        <f t="shared" si="60"/>
        <v>2.9600000000000009</v>
      </c>
    </row>
    <row r="103" spans="1:10" x14ac:dyDescent="0.25">
      <c r="A103" s="18">
        <v>21</v>
      </c>
      <c r="B103" s="46">
        <v>5</v>
      </c>
      <c r="C103" s="2">
        <v>-1</v>
      </c>
      <c r="D103" s="2">
        <v>-1</v>
      </c>
      <c r="E103" s="2">
        <v>1</v>
      </c>
      <c r="F103" s="2">
        <v>15.41</v>
      </c>
      <c r="G103" s="2">
        <f t="shared" si="62"/>
        <v>20.3</v>
      </c>
      <c r="H103" s="2">
        <f t="shared" si="57"/>
        <v>20.780833333333327</v>
      </c>
      <c r="I103" s="119">
        <f t="shared" si="58"/>
        <v>5.3708333333333265</v>
      </c>
      <c r="J103" s="37">
        <f t="shared" si="60"/>
        <v>-4.8900000000000006</v>
      </c>
    </row>
    <row r="104" spans="1:10" x14ac:dyDescent="0.25">
      <c r="A104" s="18">
        <v>22</v>
      </c>
      <c r="B104" s="46">
        <v>6</v>
      </c>
      <c r="C104" s="2">
        <v>1</v>
      </c>
      <c r="D104" s="2">
        <v>-1</v>
      </c>
      <c r="E104" s="2">
        <v>1</v>
      </c>
      <c r="F104" s="2">
        <v>36.99</v>
      </c>
      <c r="G104" s="2">
        <f t="shared" si="62"/>
        <v>41.626666666666665</v>
      </c>
      <c r="H104" s="2">
        <f t="shared" si="57"/>
        <v>42.249999999999993</v>
      </c>
      <c r="I104" s="119">
        <f t="shared" si="58"/>
        <v>5.2599999999999909</v>
      </c>
      <c r="J104" s="37">
        <f t="shared" si="60"/>
        <v>-4.6366666666666632</v>
      </c>
    </row>
    <row r="105" spans="1:10" x14ac:dyDescent="0.25">
      <c r="A105" s="18">
        <v>23</v>
      </c>
      <c r="B105" s="46">
        <v>7</v>
      </c>
      <c r="C105" s="2">
        <v>-1</v>
      </c>
      <c r="D105" s="2">
        <v>1</v>
      </c>
      <c r="E105" s="2">
        <v>1</v>
      </c>
      <c r="F105" s="2">
        <v>50.29</v>
      </c>
      <c r="G105" s="2">
        <f t="shared" si="62"/>
        <v>48.34</v>
      </c>
      <c r="H105" s="2">
        <f t="shared" si="57"/>
        <v>49.414999999999999</v>
      </c>
      <c r="I105" s="119">
        <f t="shared" si="58"/>
        <v>-0.875</v>
      </c>
      <c r="J105" s="37">
        <f t="shared" si="60"/>
        <v>1.9499999999999957</v>
      </c>
    </row>
    <row r="106" spans="1:10" ht="16.5" thickBot="1" x14ac:dyDescent="0.3">
      <c r="A106" s="18">
        <v>24</v>
      </c>
      <c r="B106" s="47">
        <v>8</v>
      </c>
      <c r="C106" s="4">
        <v>1</v>
      </c>
      <c r="D106" s="4">
        <v>1</v>
      </c>
      <c r="E106" s="4">
        <v>1</v>
      </c>
      <c r="F106" s="4">
        <v>74.680000000000007</v>
      </c>
      <c r="G106" s="4">
        <f t="shared" si="62"/>
        <v>73.063333333333333</v>
      </c>
      <c r="H106" s="4">
        <f t="shared" si="57"/>
        <v>70.884166666666658</v>
      </c>
      <c r="I106" s="120">
        <f t="shared" si="58"/>
        <v>-3.7958333333333485</v>
      </c>
      <c r="J106" s="22">
        <f t="shared" si="60"/>
        <v>1.6166666666666742</v>
      </c>
    </row>
    <row r="109" spans="1:10" ht="16.5" x14ac:dyDescent="0.25">
      <c r="B109" s="18" t="s">
        <v>254</v>
      </c>
      <c r="E109" s="108" t="s">
        <v>255</v>
      </c>
    </row>
    <row r="110" spans="1:10" ht="16.5" x14ac:dyDescent="0.25">
      <c r="B110" s="18" t="s">
        <v>258</v>
      </c>
      <c r="C110" s="18" t="s">
        <v>261</v>
      </c>
      <c r="D110" s="18" t="s">
        <v>259</v>
      </c>
      <c r="E110" s="108" t="s">
        <v>260</v>
      </c>
      <c r="F110" s="18">
        <v>45</v>
      </c>
    </row>
    <row r="111" spans="1:10" x14ac:dyDescent="0.25">
      <c r="B111" s="18">
        <v>1</v>
      </c>
      <c r="C111" s="18">
        <v>-5.1766666666666694</v>
      </c>
      <c r="D111" s="18">
        <f>(B111-0.5)/24</f>
        <v>2.0833333333333332E-2</v>
      </c>
      <c r="E111" s="18">
        <f>_xlfn.NORM.INV(D111,$C$135,$C$136)</f>
        <v>-6.3776205949555118</v>
      </c>
      <c r="F111" s="18">
        <f>E111</f>
        <v>-6.3776205949555118</v>
      </c>
    </row>
    <row r="112" spans="1:10" x14ac:dyDescent="0.25">
      <c r="B112" s="18">
        <v>2</v>
      </c>
      <c r="C112" s="18">
        <v>-4.0474999999999994</v>
      </c>
      <c r="D112" s="18">
        <f t="shared" ref="D112:D134" si="63">(B112-0.5)/24</f>
        <v>6.25E-2</v>
      </c>
      <c r="E112" s="18">
        <f t="shared" ref="E112:E134" si="64">_xlfn.NORM.INV(D112,$C$135,$C$136)</f>
        <v>-4.8035520548914059</v>
      </c>
      <c r="F112" s="18">
        <f t="shared" ref="F112:F134" si="65">E112</f>
        <v>-4.8035520548914059</v>
      </c>
    </row>
    <row r="113" spans="2:10" x14ac:dyDescent="0.25">
      <c r="B113" s="18">
        <v>3</v>
      </c>
      <c r="C113" s="18">
        <v>-4.0191666666666741</v>
      </c>
      <c r="D113" s="18">
        <f t="shared" si="63"/>
        <v>0.10416666666666667</v>
      </c>
      <c r="E113" s="18">
        <f t="shared" si="64"/>
        <v>-3.9394847909951278</v>
      </c>
      <c r="F113" s="18">
        <f t="shared" si="65"/>
        <v>-3.9394847909951278</v>
      </c>
    </row>
    <row r="114" spans="2:10" x14ac:dyDescent="0.25">
      <c r="B114" s="18">
        <v>4</v>
      </c>
      <c r="C114" s="18">
        <v>-3.9424999999999955</v>
      </c>
      <c r="D114" s="18">
        <f t="shared" si="63"/>
        <v>0.14583333333333334</v>
      </c>
      <c r="E114" s="18">
        <f t="shared" si="64"/>
        <v>-3.3017048961195696</v>
      </c>
      <c r="F114" s="18">
        <f t="shared" si="65"/>
        <v>-3.3017048961195696</v>
      </c>
      <c r="J114" s="18" t="s">
        <v>262</v>
      </c>
    </row>
    <row r="115" spans="2:10" x14ac:dyDescent="0.25">
      <c r="B115" s="18">
        <v>5</v>
      </c>
      <c r="C115" s="18">
        <v>-3.7958333333333485</v>
      </c>
      <c r="D115" s="18">
        <f t="shared" si="63"/>
        <v>0.1875</v>
      </c>
      <c r="E115" s="18">
        <f t="shared" si="64"/>
        <v>-2.7777834618357535</v>
      </c>
      <c r="F115" s="18">
        <f t="shared" si="65"/>
        <v>-2.7777834618357535</v>
      </c>
    </row>
    <row r="116" spans="2:10" x14ac:dyDescent="0.25">
      <c r="B116" s="18">
        <v>6</v>
      </c>
      <c r="C116" s="18">
        <v>-3.1158333333333417</v>
      </c>
      <c r="D116" s="18">
        <f t="shared" si="63"/>
        <v>0.22916666666666666</v>
      </c>
      <c r="E116" s="18">
        <f t="shared" si="64"/>
        <v>-2.3220376041503523</v>
      </c>
      <c r="F116" s="18">
        <f t="shared" si="65"/>
        <v>-2.3220376041503523</v>
      </c>
    </row>
    <row r="117" spans="2:10" x14ac:dyDescent="0.25">
      <c r="B117" s="18">
        <v>7</v>
      </c>
      <c r="C117" s="18">
        <v>-2.0600000000000094</v>
      </c>
      <c r="D117" s="18">
        <f t="shared" si="63"/>
        <v>0.27083333333333331</v>
      </c>
      <c r="E117" s="18">
        <f t="shared" si="64"/>
        <v>-1.9109201944016372</v>
      </c>
      <c r="F117" s="18">
        <f t="shared" si="65"/>
        <v>-1.9109201944016372</v>
      </c>
    </row>
    <row r="118" spans="2:10" x14ac:dyDescent="0.25">
      <c r="B118" s="18">
        <v>8</v>
      </c>
      <c r="C118" s="18">
        <v>-1.3300000000000054</v>
      </c>
      <c r="D118" s="18">
        <f t="shared" si="63"/>
        <v>0.3125</v>
      </c>
      <c r="E118" s="18">
        <f t="shared" si="64"/>
        <v>-1.5304292368910317</v>
      </c>
      <c r="F118" s="18">
        <f t="shared" si="65"/>
        <v>-1.5304292368910317</v>
      </c>
    </row>
    <row r="119" spans="2:10" x14ac:dyDescent="0.25">
      <c r="B119" s="18">
        <v>9</v>
      </c>
      <c r="C119" s="18">
        <v>-1.092499999999994</v>
      </c>
      <c r="D119" s="18">
        <f t="shared" si="63"/>
        <v>0.35416666666666669</v>
      </c>
      <c r="E119" s="18">
        <f t="shared" si="64"/>
        <v>-1.1713465300988564</v>
      </c>
      <c r="F119" s="18">
        <f t="shared" si="65"/>
        <v>-1.1713465300988564</v>
      </c>
    </row>
    <row r="120" spans="2:10" x14ac:dyDescent="0.25">
      <c r="B120" s="18">
        <v>10</v>
      </c>
      <c r="C120" s="18">
        <v>-1.0474999999999994</v>
      </c>
      <c r="D120" s="18">
        <f t="shared" si="63"/>
        <v>0.39583333333333331</v>
      </c>
      <c r="E120" s="18">
        <f t="shared" si="64"/>
        <v>-0.82708217290774955</v>
      </c>
      <c r="F120" s="18">
        <f t="shared" si="65"/>
        <v>-0.82708217290774955</v>
      </c>
    </row>
    <row r="121" spans="2:10" x14ac:dyDescent="0.25">
      <c r="B121" s="18">
        <v>11</v>
      </c>
      <c r="C121" s="18">
        <v>-0.875</v>
      </c>
      <c r="D121" s="18">
        <f t="shared" si="63"/>
        <v>0.4375</v>
      </c>
      <c r="E121" s="18">
        <f t="shared" si="64"/>
        <v>-0.49256237725078916</v>
      </c>
      <c r="F121" s="18">
        <f t="shared" si="65"/>
        <v>-0.49256237725078916</v>
      </c>
    </row>
    <row r="122" spans="2:10" x14ac:dyDescent="0.25">
      <c r="B122" s="18">
        <v>12</v>
      </c>
      <c r="C122" s="18">
        <v>-0.11500000000000199</v>
      </c>
      <c r="D122" s="18">
        <f t="shared" si="63"/>
        <v>0.47916666666666669</v>
      </c>
      <c r="E122" s="18">
        <f t="shared" si="64"/>
        <v>-0.16358717343097795</v>
      </c>
      <c r="F122" s="18">
        <f t="shared" si="65"/>
        <v>-0.16358717343097795</v>
      </c>
    </row>
    <row r="123" spans="2:10" x14ac:dyDescent="0.25">
      <c r="B123" s="18">
        <v>13</v>
      </c>
      <c r="C123" s="18">
        <v>9.0833333333325328E-2</v>
      </c>
      <c r="D123" s="18">
        <f t="shared" si="63"/>
        <v>0.52083333333333337</v>
      </c>
      <c r="E123" s="18">
        <f t="shared" si="64"/>
        <v>0.16358717343097065</v>
      </c>
      <c r="F123" s="18">
        <f t="shared" si="65"/>
        <v>0.16358717343097065</v>
      </c>
    </row>
    <row r="124" spans="2:10" x14ac:dyDescent="0.25">
      <c r="B124" s="18">
        <v>14</v>
      </c>
      <c r="C124" s="18">
        <v>0.37416666666665321</v>
      </c>
      <c r="D124" s="18">
        <f t="shared" si="63"/>
        <v>0.5625</v>
      </c>
      <c r="E124" s="18">
        <f t="shared" si="64"/>
        <v>0.4925623772507815</v>
      </c>
      <c r="F124" s="18">
        <f t="shared" si="65"/>
        <v>0.4925623772507815</v>
      </c>
    </row>
    <row r="125" spans="2:10" x14ac:dyDescent="0.25">
      <c r="B125" s="18">
        <v>15</v>
      </c>
      <c r="C125" s="18">
        <v>0.41750000000000398</v>
      </c>
      <c r="D125" s="18">
        <f t="shared" si="63"/>
        <v>0.60416666666666663</v>
      </c>
      <c r="E125" s="18">
        <f t="shared" si="64"/>
        <v>0.82708217290774144</v>
      </c>
      <c r="F125" s="18">
        <f t="shared" si="65"/>
        <v>0.82708217290774144</v>
      </c>
    </row>
    <row r="126" spans="2:10" x14ac:dyDescent="0.25">
      <c r="B126" s="18">
        <v>16</v>
      </c>
      <c r="C126" s="18">
        <v>1.3433333333333302</v>
      </c>
      <c r="D126" s="18">
        <f t="shared" si="63"/>
        <v>0.64583333333333337</v>
      </c>
      <c r="E126" s="18">
        <f t="shared" si="64"/>
        <v>1.1713465300988488</v>
      </c>
      <c r="F126" s="18">
        <f t="shared" si="65"/>
        <v>1.1713465300988488</v>
      </c>
    </row>
    <row r="127" spans="2:10" x14ac:dyDescent="0.25">
      <c r="B127" s="18">
        <v>17</v>
      </c>
      <c r="C127" s="18">
        <v>1.3866666666666703</v>
      </c>
      <c r="D127" s="18">
        <f t="shared" si="63"/>
        <v>0.6875</v>
      </c>
      <c r="E127" s="18">
        <f t="shared" si="64"/>
        <v>1.5304292368910242</v>
      </c>
      <c r="F127" s="18">
        <f t="shared" si="65"/>
        <v>1.5304292368910242</v>
      </c>
    </row>
    <row r="128" spans="2:10" x14ac:dyDescent="0.25">
      <c r="B128" s="18">
        <v>18</v>
      </c>
      <c r="C128" s="18">
        <v>1.832499999999996</v>
      </c>
      <c r="D128" s="18">
        <f t="shared" si="63"/>
        <v>0.72916666666666663</v>
      </c>
      <c r="E128" s="18">
        <f t="shared" si="64"/>
        <v>1.9109201944016285</v>
      </c>
      <c r="F128" s="18">
        <f t="shared" si="65"/>
        <v>1.9109201944016285</v>
      </c>
    </row>
    <row r="129" spans="2:8" x14ac:dyDescent="0.25">
      <c r="B129" s="18">
        <v>19</v>
      </c>
      <c r="C129" s="18">
        <v>3.2066666666666634</v>
      </c>
      <c r="D129" s="18">
        <f t="shared" si="63"/>
        <v>0.77083333333333337</v>
      </c>
      <c r="E129" s="18">
        <f t="shared" si="64"/>
        <v>2.3220376041503443</v>
      </c>
      <c r="F129" s="18">
        <f t="shared" si="65"/>
        <v>2.3220376041503443</v>
      </c>
    </row>
    <row r="130" spans="2:8" x14ac:dyDescent="0.25">
      <c r="B130" s="18">
        <v>20</v>
      </c>
      <c r="C130" s="18">
        <v>3.3366666666666589</v>
      </c>
      <c r="D130" s="18">
        <f t="shared" si="63"/>
        <v>0.8125</v>
      </c>
      <c r="E130" s="18">
        <f t="shared" si="64"/>
        <v>2.7777834618357455</v>
      </c>
      <c r="F130" s="18">
        <f t="shared" si="65"/>
        <v>2.7777834618357455</v>
      </c>
    </row>
    <row r="131" spans="2:8" x14ac:dyDescent="0.25">
      <c r="B131" s="18">
        <v>21</v>
      </c>
      <c r="C131" s="18">
        <v>3.7833333333333314</v>
      </c>
      <c r="D131" s="18">
        <f t="shared" si="63"/>
        <v>0.85416666666666663</v>
      </c>
      <c r="E131" s="18">
        <f t="shared" si="64"/>
        <v>3.3017048961195616</v>
      </c>
      <c r="F131" s="18">
        <f t="shared" si="65"/>
        <v>3.3017048961195616</v>
      </c>
    </row>
    <row r="132" spans="2:8" x14ac:dyDescent="0.25">
      <c r="B132" s="18">
        <v>22</v>
      </c>
      <c r="C132" s="18">
        <v>4.2149999999999963</v>
      </c>
      <c r="D132" s="18">
        <f t="shared" si="63"/>
        <v>0.89583333333333337</v>
      </c>
      <c r="E132" s="18">
        <f t="shared" si="64"/>
        <v>3.9394847909951185</v>
      </c>
      <c r="F132" s="18">
        <f t="shared" si="65"/>
        <v>3.9394847909951185</v>
      </c>
    </row>
    <row r="133" spans="2:8" x14ac:dyDescent="0.25">
      <c r="B133" s="18">
        <v>23</v>
      </c>
      <c r="C133" s="18">
        <v>5.2599999999999909</v>
      </c>
      <c r="D133" s="18">
        <f t="shared" si="63"/>
        <v>0.9375</v>
      </c>
      <c r="E133" s="18">
        <f t="shared" si="64"/>
        <v>4.8035520548914015</v>
      </c>
      <c r="F133" s="18">
        <f t="shared" si="65"/>
        <v>4.8035520548914015</v>
      </c>
    </row>
    <row r="134" spans="2:8" x14ac:dyDescent="0.25">
      <c r="B134" s="18">
        <v>24</v>
      </c>
      <c r="C134" s="18">
        <v>5.3708333333333265</v>
      </c>
      <c r="D134" s="18">
        <f t="shared" si="63"/>
        <v>0.97916666666666663</v>
      </c>
      <c r="E134" s="18">
        <f t="shared" si="64"/>
        <v>6.3776205949555003</v>
      </c>
      <c r="F134" s="18">
        <f t="shared" si="65"/>
        <v>6.3776205949555003</v>
      </c>
    </row>
    <row r="135" spans="2:8" x14ac:dyDescent="0.25">
      <c r="B135" s="18" t="s">
        <v>256</v>
      </c>
      <c r="C135" s="18">
        <f>AVERAGE(C111:C134)</f>
        <v>-3.8487731520338757E-15</v>
      </c>
    </row>
    <row r="136" spans="2:8" x14ac:dyDescent="0.25">
      <c r="B136" s="18" t="s">
        <v>257</v>
      </c>
      <c r="C136" s="18">
        <f>_xlfn.STDEV.S(C111:C134)</f>
        <v>3.13114381563717</v>
      </c>
    </row>
    <row r="138" spans="2:8" ht="16.5" thickBot="1" x14ac:dyDescent="0.3"/>
    <row r="139" spans="2:8" x14ac:dyDescent="0.25">
      <c r="B139" s="44" t="s">
        <v>5</v>
      </c>
      <c r="C139" s="45" t="s">
        <v>130</v>
      </c>
      <c r="D139" s="45" t="s">
        <v>131</v>
      </c>
      <c r="E139" s="45" t="s">
        <v>78</v>
      </c>
      <c r="F139" s="18" t="s">
        <v>256</v>
      </c>
      <c r="G139" s="18" t="s">
        <v>263</v>
      </c>
      <c r="H139" s="18" t="s">
        <v>264</v>
      </c>
    </row>
    <row r="140" spans="2:8" x14ac:dyDescent="0.25">
      <c r="B140" s="46">
        <v>1</v>
      </c>
      <c r="C140" s="2">
        <v>-1</v>
      </c>
      <c r="D140" s="2">
        <v>-1</v>
      </c>
      <c r="E140" s="2">
        <v>-1</v>
      </c>
      <c r="F140" s="18">
        <f>AVERAGE(F83,F91,F99)</f>
        <v>59.026666666666664</v>
      </c>
      <c r="G140" s="18">
        <f t="shared" ref="G140:G147" si="66">H83</f>
        <v>57.487500000000004</v>
      </c>
    </row>
    <row r="141" spans="2:8" x14ac:dyDescent="0.25">
      <c r="B141" s="46">
        <v>2</v>
      </c>
      <c r="C141" s="2">
        <v>1</v>
      </c>
      <c r="D141" s="2">
        <v>-1</v>
      </c>
      <c r="E141" s="2">
        <v>-1</v>
      </c>
      <c r="F141" s="18">
        <f t="shared" ref="F141:F147" si="67">AVERAGE(F84,F92,F100)</f>
        <v>76.313333333333333</v>
      </c>
      <c r="G141" s="18">
        <f t="shared" si="66"/>
        <v>78.956666666666663</v>
      </c>
    </row>
    <row r="142" spans="2:8" x14ac:dyDescent="0.25">
      <c r="B142" s="46">
        <v>3</v>
      </c>
      <c r="C142" s="2">
        <v>-1</v>
      </c>
      <c r="D142" s="2">
        <v>1</v>
      </c>
      <c r="E142" s="2">
        <v>-1</v>
      </c>
      <c r="F142" s="18">
        <f t="shared" si="67"/>
        <v>28.870000000000005</v>
      </c>
      <c r="G142" s="18">
        <f t="shared" si="66"/>
        <v>28.853333333333332</v>
      </c>
    </row>
    <row r="143" spans="2:8" x14ac:dyDescent="0.25">
      <c r="B143" s="46">
        <v>4</v>
      </c>
      <c r="C143" s="2">
        <v>1</v>
      </c>
      <c r="D143" s="2">
        <v>1</v>
      </c>
      <c r="E143" s="2">
        <v>-1</v>
      </c>
      <c r="F143" s="18">
        <f t="shared" si="67"/>
        <v>51.41</v>
      </c>
      <c r="G143" s="18">
        <f t="shared" si="66"/>
        <v>50.322499999999998</v>
      </c>
    </row>
    <row r="144" spans="2:8" x14ac:dyDescent="0.25">
      <c r="B144" s="46">
        <v>5</v>
      </c>
      <c r="C144" s="2">
        <v>-1</v>
      </c>
      <c r="D144" s="2">
        <v>-1</v>
      </c>
      <c r="E144" s="2">
        <v>1</v>
      </c>
      <c r="F144" s="18">
        <f t="shared" si="67"/>
        <v>20.3</v>
      </c>
      <c r="G144" s="18">
        <f t="shared" si="66"/>
        <v>20.780833333333327</v>
      </c>
    </row>
    <row r="145" spans="1:7" x14ac:dyDescent="0.25">
      <c r="B145" s="46">
        <v>6</v>
      </c>
      <c r="C145" s="2">
        <v>1</v>
      </c>
      <c r="D145" s="2">
        <v>-1</v>
      </c>
      <c r="E145" s="2">
        <v>1</v>
      </c>
      <c r="F145" s="18">
        <f t="shared" si="67"/>
        <v>41.626666666666665</v>
      </c>
      <c r="G145" s="18">
        <f t="shared" si="66"/>
        <v>42.249999999999993</v>
      </c>
    </row>
    <row r="146" spans="1:7" x14ac:dyDescent="0.25">
      <c r="B146" s="46">
        <v>7</v>
      </c>
      <c r="C146" s="2">
        <v>-1</v>
      </c>
      <c r="D146" s="2">
        <v>1</v>
      </c>
      <c r="E146" s="2">
        <v>1</v>
      </c>
      <c r="F146" s="18">
        <f t="shared" si="67"/>
        <v>48.34</v>
      </c>
      <c r="G146" s="18">
        <f t="shared" si="66"/>
        <v>49.414999999999999</v>
      </c>
    </row>
    <row r="147" spans="1:7" ht="16.5" thickBot="1" x14ac:dyDescent="0.3">
      <c r="B147" s="47">
        <v>8</v>
      </c>
      <c r="C147" s="4">
        <v>1</v>
      </c>
      <c r="D147" s="4">
        <v>1</v>
      </c>
      <c r="E147" s="4">
        <v>1</v>
      </c>
      <c r="F147" s="18">
        <f t="shared" si="67"/>
        <v>73.063333333333333</v>
      </c>
      <c r="G147" s="18">
        <f t="shared" si="66"/>
        <v>70.884166666666658</v>
      </c>
    </row>
    <row r="150" spans="1:7" x14ac:dyDescent="0.25">
      <c r="A150" s="18" t="s">
        <v>266</v>
      </c>
    </row>
    <row r="151" spans="1:7" x14ac:dyDescent="0.25">
      <c r="A151" s="18" t="s">
        <v>267</v>
      </c>
    </row>
    <row r="152" spans="1:7" x14ac:dyDescent="0.25">
      <c r="A152" s="18">
        <f>2*J11/(24-8)</f>
        <v>10.893966666666602</v>
      </c>
    </row>
    <row r="153" spans="1:7" x14ac:dyDescent="0.25">
      <c r="A153" s="18" t="s">
        <v>268</v>
      </c>
    </row>
    <row r="154" spans="1:7" x14ac:dyDescent="0.25">
      <c r="A154" s="18">
        <f>(24-8)*LN(A152)-(2*LN(J2)+2*LN(J3)+2*LN(J4)+2*LN(J5)+2*LN(J6)+2*LN(J7)+2*LN(J8)+2*LN(J9))</f>
        <v>5.2057980668508534</v>
      </c>
    </row>
    <row r="155" spans="1:7" x14ac:dyDescent="0.25">
      <c r="A155" s="18" t="s">
        <v>269</v>
      </c>
    </row>
    <row r="156" spans="1:7" x14ac:dyDescent="0.25">
      <c r="A156" s="18">
        <f>1+1/(3*(8-1))*(8*1/2-1/16)</f>
        <v>1.1875</v>
      </c>
    </row>
    <row r="158" spans="1:7" x14ac:dyDescent="0.25">
      <c r="A158" s="18" t="s">
        <v>270</v>
      </c>
    </row>
    <row r="159" spans="1:7" x14ac:dyDescent="0.25">
      <c r="A159" s="18">
        <f>A154/A156</f>
        <v>4.3838299510322978</v>
      </c>
    </row>
    <row r="160" spans="1:7" x14ac:dyDescent="0.25">
      <c r="A160" s="18" t="s">
        <v>271</v>
      </c>
    </row>
    <row r="161" spans="1:9" x14ac:dyDescent="0.25">
      <c r="A161" s="18">
        <f>_xlfn.CHISQ.INV(1-0.1,7)</f>
        <v>12.017036623780532</v>
      </c>
    </row>
    <row r="165" spans="1:9" ht="16.5" thickBot="1" x14ac:dyDescent="0.3"/>
    <row r="166" spans="1:9" ht="16.5" thickBot="1" x14ac:dyDescent="0.3">
      <c r="A166" s="170" t="s">
        <v>272</v>
      </c>
      <c r="B166" s="171"/>
      <c r="C166" s="171"/>
      <c r="D166" s="171"/>
      <c r="E166" s="171"/>
      <c r="F166" s="171"/>
      <c r="G166" s="171"/>
      <c r="H166" s="171"/>
      <c r="I166" s="172"/>
    </row>
    <row r="167" spans="1:9" x14ac:dyDescent="0.25">
      <c r="A167" s="111"/>
      <c r="B167" s="113" t="s">
        <v>0</v>
      </c>
      <c r="C167" s="113" t="s">
        <v>6</v>
      </c>
      <c r="D167" s="113" t="s">
        <v>7</v>
      </c>
      <c r="E167" s="113" t="s">
        <v>134</v>
      </c>
      <c r="F167" s="113" t="s">
        <v>45</v>
      </c>
      <c r="G167" s="113" t="s">
        <v>72</v>
      </c>
      <c r="H167" s="113" t="s">
        <v>179</v>
      </c>
      <c r="I167" s="115" t="s">
        <v>137</v>
      </c>
    </row>
    <row r="168" spans="1:9" x14ac:dyDescent="0.25">
      <c r="A168" s="112"/>
      <c r="B168" s="114"/>
      <c r="C168" s="114">
        <v>-1</v>
      </c>
      <c r="D168" s="114">
        <v>-1</v>
      </c>
      <c r="E168" s="114">
        <v>-1</v>
      </c>
      <c r="F168" s="114">
        <f>C168*D168</f>
        <v>1</v>
      </c>
      <c r="G168" s="114">
        <f>C168*E168</f>
        <v>1</v>
      </c>
      <c r="H168" s="114">
        <f>D168*E168</f>
        <v>1</v>
      </c>
      <c r="I168" s="117">
        <f>C168*D168*E168</f>
        <v>-1</v>
      </c>
    </row>
    <row r="169" spans="1:9" x14ac:dyDescent="0.25">
      <c r="A169" s="112"/>
      <c r="B169" s="114"/>
      <c r="C169" s="114">
        <v>1</v>
      </c>
      <c r="D169" s="114">
        <v>-1</v>
      </c>
      <c r="E169" s="114">
        <v>-1</v>
      </c>
      <c r="F169" s="114">
        <f t="shared" ref="F169:F175" si="68">C169*D169</f>
        <v>-1</v>
      </c>
      <c r="G169" s="114">
        <f t="shared" ref="G169:G174" si="69">C169*E169</f>
        <v>-1</v>
      </c>
      <c r="H169" s="114">
        <f>D169*E169</f>
        <v>1</v>
      </c>
      <c r="I169" s="117">
        <f t="shared" ref="I169:I175" si="70">C169*D169*E169</f>
        <v>1</v>
      </c>
    </row>
    <row r="170" spans="1:9" x14ac:dyDescent="0.25">
      <c r="A170" s="112"/>
      <c r="B170" s="114"/>
      <c r="C170" s="114">
        <v>-1</v>
      </c>
      <c r="D170" s="114">
        <v>1</v>
      </c>
      <c r="E170" s="114">
        <v>-1</v>
      </c>
      <c r="F170" s="114">
        <f t="shared" si="68"/>
        <v>-1</v>
      </c>
      <c r="G170" s="114">
        <f t="shared" si="69"/>
        <v>1</v>
      </c>
      <c r="H170" s="114">
        <f>D170*E170</f>
        <v>-1</v>
      </c>
      <c r="I170" s="117">
        <f t="shared" si="70"/>
        <v>1</v>
      </c>
    </row>
    <row r="171" spans="1:9" x14ac:dyDescent="0.25">
      <c r="A171" s="112"/>
      <c r="B171" s="114"/>
      <c r="C171" s="114">
        <v>1</v>
      </c>
      <c r="D171" s="114">
        <v>1</v>
      </c>
      <c r="E171" s="114">
        <v>-1</v>
      </c>
      <c r="F171" s="114">
        <f t="shared" si="68"/>
        <v>1</v>
      </c>
      <c r="G171" s="114">
        <f t="shared" si="69"/>
        <v>-1</v>
      </c>
      <c r="H171" s="114">
        <f t="shared" ref="H171:H174" si="71">D171*E171</f>
        <v>-1</v>
      </c>
      <c r="I171" s="117">
        <f t="shared" si="70"/>
        <v>-1</v>
      </c>
    </row>
    <row r="172" spans="1:9" x14ac:dyDescent="0.25">
      <c r="A172" s="112"/>
      <c r="B172" s="114"/>
      <c r="C172" s="114">
        <v>-1</v>
      </c>
      <c r="D172" s="114">
        <v>-1</v>
      </c>
      <c r="E172" s="114">
        <v>1</v>
      </c>
      <c r="F172" s="114">
        <f t="shared" si="68"/>
        <v>1</v>
      </c>
      <c r="G172" s="114">
        <f t="shared" si="69"/>
        <v>-1</v>
      </c>
      <c r="H172" s="114">
        <f t="shared" si="71"/>
        <v>-1</v>
      </c>
      <c r="I172" s="117">
        <f t="shared" si="70"/>
        <v>1</v>
      </c>
    </row>
    <row r="173" spans="1:9" x14ac:dyDescent="0.25">
      <c r="A173" s="112"/>
      <c r="B173" s="114"/>
      <c r="C173" s="114">
        <v>1</v>
      </c>
      <c r="D173" s="114">
        <v>-1</v>
      </c>
      <c r="E173" s="114">
        <v>1</v>
      </c>
      <c r="F173" s="114">
        <f t="shared" si="68"/>
        <v>-1</v>
      </c>
      <c r="G173" s="114">
        <f t="shared" si="69"/>
        <v>1</v>
      </c>
      <c r="H173" s="114">
        <f t="shared" si="71"/>
        <v>-1</v>
      </c>
      <c r="I173" s="117">
        <f t="shared" si="70"/>
        <v>-1</v>
      </c>
    </row>
    <row r="174" spans="1:9" x14ac:dyDescent="0.25">
      <c r="A174" s="112"/>
      <c r="B174" s="114"/>
      <c r="C174" s="114">
        <v>-1</v>
      </c>
      <c r="D174" s="114">
        <v>1</v>
      </c>
      <c r="E174" s="114">
        <v>1</v>
      </c>
      <c r="F174" s="114">
        <f t="shared" si="68"/>
        <v>-1</v>
      </c>
      <c r="G174" s="114">
        <f t="shared" si="69"/>
        <v>-1</v>
      </c>
      <c r="H174" s="114">
        <f t="shared" si="71"/>
        <v>1</v>
      </c>
      <c r="I174" s="117">
        <f t="shared" si="70"/>
        <v>-1</v>
      </c>
    </row>
    <row r="175" spans="1:9" x14ac:dyDescent="0.25">
      <c r="A175" s="112"/>
      <c r="B175" s="114"/>
      <c r="C175" s="114">
        <v>1</v>
      </c>
      <c r="D175" s="114">
        <v>1</v>
      </c>
      <c r="E175" s="114">
        <v>1</v>
      </c>
      <c r="F175" s="114">
        <f t="shared" si="68"/>
        <v>1</v>
      </c>
      <c r="G175" s="114">
        <f>C175*E175</f>
        <v>1</v>
      </c>
      <c r="H175" s="114">
        <f>D175*E175</f>
        <v>1</v>
      </c>
      <c r="I175" s="117">
        <f t="shared" si="70"/>
        <v>1</v>
      </c>
    </row>
    <row r="176" spans="1:9" x14ac:dyDescent="0.25">
      <c r="A176" s="112" t="s">
        <v>138</v>
      </c>
      <c r="B176" s="114"/>
      <c r="C176" s="114">
        <f>SUMPRODUCT(C168:C175,$N$2:$N$9)/4</f>
        <v>7.5733971031189347</v>
      </c>
      <c r="D176" s="114">
        <f t="shared" ref="D176:I176" si="72">SUMPRODUCT(D168:D175,$N$2:$N$9)/4</f>
        <v>-0.61281971265021884</v>
      </c>
      <c r="E176" s="114">
        <f t="shared" si="72"/>
        <v>-4.5002041648160089</v>
      </c>
      <c r="F176" s="114">
        <f t="shared" si="72"/>
        <v>-0.40985369105080327</v>
      </c>
      <c r="G176" s="114">
        <f t="shared" si="72"/>
        <v>-1.0989054978357187</v>
      </c>
      <c r="H176" s="114">
        <f t="shared" si="72"/>
        <v>11.723282883809215</v>
      </c>
      <c r="I176" s="117">
        <f t="shared" si="72"/>
        <v>-0.69782943954573806</v>
      </c>
    </row>
    <row r="177" spans="1:9" ht="16.5" thickBot="1" x14ac:dyDescent="0.3">
      <c r="A177" s="116" t="s">
        <v>139</v>
      </c>
      <c r="B177" s="16">
        <f>AVERAGE(N2:N9)</f>
        <v>24.291212616486391</v>
      </c>
      <c r="C177" s="16">
        <f>C176/2</f>
        <v>3.7866985515594673</v>
      </c>
      <c r="D177" s="16">
        <f t="shared" ref="D177:I177" si="73">D176/2</f>
        <v>-0.30640985632510942</v>
      </c>
      <c r="E177" s="16">
        <f t="shared" si="73"/>
        <v>-2.2501020824080045</v>
      </c>
      <c r="F177" s="16">
        <f t="shared" si="73"/>
        <v>-0.20492684552540164</v>
      </c>
      <c r="G177" s="16">
        <f t="shared" si="73"/>
        <v>-0.54945274891785933</v>
      </c>
      <c r="H177" s="16">
        <f t="shared" si="73"/>
        <v>5.8616414419046077</v>
      </c>
      <c r="I177" s="118">
        <f t="shared" si="73"/>
        <v>-0.34891471977286903</v>
      </c>
    </row>
    <row r="179" spans="1:9" x14ac:dyDescent="0.25">
      <c r="A179" s="18" t="s">
        <v>273</v>
      </c>
    </row>
    <row r="180" spans="1:9" x14ac:dyDescent="0.25">
      <c r="A180" s="18">
        <f>((F176)^2+I176^2)/2</f>
        <v>0.32747298738234309</v>
      </c>
    </row>
    <row r="181" spans="1:9" x14ac:dyDescent="0.25">
      <c r="A181" s="18" t="s">
        <v>274</v>
      </c>
    </row>
    <row r="182" spans="1:9" x14ac:dyDescent="0.25">
      <c r="A182" s="18">
        <f>SQRT(A180)</f>
        <v>0.57225255559267107</v>
      </c>
    </row>
    <row r="183" spans="1:9" x14ac:dyDescent="0.25">
      <c r="A183" s="18" t="s">
        <v>275</v>
      </c>
    </row>
    <row r="184" spans="1:9" ht="16.5" thickBot="1" x14ac:dyDescent="0.3">
      <c r="A184" s="18">
        <f>_xlfn.T.INV(0.995,2)</f>
        <v>9.9248432009182892</v>
      </c>
    </row>
    <row r="185" spans="1:9" ht="16.5" thickBot="1" x14ac:dyDescent="0.3">
      <c r="A185" s="167" t="s">
        <v>276</v>
      </c>
      <c r="B185" s="168"/>
      <c r="C185" s="168"/>
      <c r="D185" s="168"/>
      <c r="E185" s="168"/>
      <c r="F185" s="168"/>
      <c r="G185" s="168"/>
      <c r="H185" s="169"/>
    </row>
    <row r="186" spans="1:9" ht="16.5" thickBot="1" x14ac:dyDescent="0.3">
      <c r="A186" s="124"/>
      <c r="B186" s="125" t="s">
        <v>277</v>
      </c>
      <c r="C186" s="126" t="s">
        <v>278</v>
      </c>
      <c r="D186" s="126" t="s">
        <v>279</v>
      </c>
      <c r="E186" s="126" t="s">
        <v>280</v>
      </c>
      <c r="F186" s="126" t="s">
        <v>281</v>
      </c>
      <c r="G186" s="126" t="s">
        <v>282</v>
      </c>
      <c r="H186" s="127" t="s">
        <v>283</v>
      </c>
    </row>
    <row r="187" spans="1:9" x14ac:dyDescent="0.25">
      <c r="A187" s="128" t="s">
        <v>284</v>
      </c>
      <c r="B187" s="129">
        <f t="shared" ref="B187:H187" si="74">C176+$A$184*$A$182</f>
        <v>13.252913988700971</v>
      </c>
      <c r="C187" s="130">
        <f t="shared" si="74"/>
        <v>5.0666971729318178</v>
      </c>
      <c r="D187" s="130">
        <f t="shared" si="74"/>
        <v>1.1793127207660277</v>
      </c>
      <c r="E187" s="130">
        <f t="shared" si="74"/>
        <v>5.2696631945312333</v>
      </c>
      <c r="F187" s="130">
        <f t="shared" si="74"/>
        <v>4.5806113877463179</v>
      </c>
      <c r="G187" s="130">
        <f t="shared" si="74"/>
        <v>17.402799769391251</v>
      </c>
      <c r="H187" s="131">
        <f t="shared" si="74"/>
        <v>4.9816874460362985</v>
      </c>
    </row>
    <row r="188" spans="1:9" x14ac:dyDescent="0.25">
      <c r="A188" s="128" t="s">
        <v>285</v>
      </c>
      <c r="B188" s="132">
        <f t="shared" ref="B188:H188" si="75">C176-$A$184*$A$182</f>
        <v>1.8938802175368981</v>
      </c>
      <c r="C188" s="101">
        <f t="shared" si="75"/>
        <v>-6.2923365982322554</v>
      </c>
      <c r="D188" s="101">
        <f t="shared" si="75"/>
        <v>-10.179721050398046</v>
      </c>
      <c r="E188" s="101">
        <f t="shared" si="75"/>
        <v>-6.0893705766328399</v>
      </c>
      <c r="F188" s="101">
        <f t="shared" si="75"/>
        <v>-6.7784223834177553</v>
      </c>
      <c r="G188" s="101">
        <f t="shared" si="75"/>
        <v>6.0437659982271787</v>
      </c>
      <c r="H188" s="102">
        <f t="shared" si="75"/>
        <v>-6.3773463251277747</v>
      </c>
    </row>
    <row r="189" spans="1:9" x14ac:dyDescent="0.25">
      <c r="A189" s="128" t="s">
        <v>287</v>
      </c>
      <c r="B189" s="132">
        <f>(C176)/$A$182</f>
        <v>13.234361348155643</v>
      </c>
      <c r="C189" s="101">
        <f>(D176-0)/$A$182</f>
        <v>-1.0708903029983556</v>
      </c>
      <c r="D189" s="101">
        <f t="shared" ref="D189:H189" si="76">(E176-0)/$A$182</f>
        <v>-7.8640175929930676</v>
      </c>
      <c r="E189" s="101">
        <f t="shared" si="76"/>
        <v>-0.71621120263294513</v>
      </c>
      <c r="F189" s="101">
        <f t="shared" si="76"/>
        <v>-1.9203155793644349</v>
      </c>
      <c r="G189" s="101">
        <f t="shared" si="76"/>
        <v>20.486204507496929</v>
      </c>
      <c r="H189" s="102">
        <f t="shared" si="76"/>
        <v>-1.2194431160259467</v>
      </c>
    </row>
    <row r="190" spans="1:9" x14ac:dyDescent="0.25">
      <c r="A190" s="128" t="s">
        <v>286</v>
      </c>
      <c r="B190" s="132">
        <f>(1-_xlfn.T.DIST(B189,2,1))*2</f>
        <v>5.6610107180212754E-3</v>
      </c>
      <c r="C190" s="101">
        <f>(_xlfn.T.DIST(C189,2,1))*2</f>
        <v>0.39631553725531732</v>
      </c>
      <c r="D190" s="101">
        <f>(_xlfn.T.DIST(D189,2,1))*2</f>
        <v>1.5788112349527872E-2</v>
      </c>
      <c r="E190" s="101">
        <f>(_xlfn.T.DIST(E189,2,1))*2</f>
        <v>0.54819768422268966</v>
      </c>
      <c r="F190" s="101">
        <f>(_xlfn.T.DIST(F189,2,1))*2</f>
        <v>0.1947928413720561</v>
      </c>
      <c r="G190" s="101">
        <f t="shared" ref="G190" si="77">(1-_xlfn.T.DIST(G189,2,1))*2</f>
        <v>2.3742593390554401E-3</v>
      </c>
      <c r="H190" s="102">
        <f>(_xlfn.T.DIST(H189,2,1))*2</f>
        <v>0.3469702188738214</v>
      </c>
    </row>
    <row r="191" spans="1:9" ht="16.5" thickBot="1" x14ac:dyDescent="0.3">
      <c r="A191" s="133" t="s">
        <v>288</v>
      </c>
      <c r="B191" s="123" t="s">
        <v>289</v>
      </c>
      <c r="C191" s="27" t="s">
        <v>290</v>
      </c>
      <c r="D191" s="27" t="s">
        <v>321</v>
      </c>
      <c r="E191" s="27" t="s">
        <v>290</v>
      </c>
      <c r="F191" s="27" t="s">
        <v>290</v>
      </c>
      <c r="G191" s="105" t="s">
        <v>289</v>
      </c>
      <c r="H191" s="28" t="s">
        <v>290</v>
      </c>
    </row>
    <row r="193" spans="1:6" ht="16.5" thickBot="1" x14ac:dyDescent="0.3">
      <c r="A193" s="18" t="s">
        <v>291</v>
      </c>
    </row>
    <row r="194" spans="1:6" x14ac:dyDescent="0.25">
      <c r="A194" s="134" t="s">
        <v>293</v>
      </c>
      <c r="B194" s="135" t="s">
        <v>292</v>
      </c>
      <c r="C194" s="135" t="s">
        <v>294</v>
      </c>
      <c r="D194" s="136" t="s">
        <v>295</v>
      </c>
      <c r="E194" s="18" t="s">
        <v>292</v>
      </c>
    </row>
    <row r="195" spans="1:6" x14ac:dyDescent="0.25">
      <c r="A195" s="1">
        <v>1</v>
      </c>
      <c r="B195" s="2">
        <v>-4.5002041648160089</v>
      </c>
      <c r="C195" s="2">
        <f>(A195-0.5)/7</f>
        <v>7.1428571428571425E-2</v>
      </c>
      <c r="D195" s="9">
        <f>_xlfn.NORM.INV(C195,0,$A$182)</f>
        <v>-0.83848378240503219</v>
      </c>
      <c r="E195" s="18">
        <f>B195</f>
        <v>-4.5002041648160089</v>
      </c>
      <c r="F195" s="18">
        <f>D195</f>
        <v>-0.83848378240503219</v>
      </c>
    </row>
    <row r="196" spans="1:6" x14ac:dyDescent="0.25">
      <c r="A196" s="1">
        <v>2</v>
      </c>
      <c r="B196" s="2">
        <v>-1.0989054978357187</v>
      </c>
      <c r="C196" s="2">
        <f t="shared" ref="C196:C201" si="78">(A196-0.5)/7</f>
        <v>0.21428571428571427</v>
      </c>
      <c r="D196" s="9">
        <f t="shared" ref="D196:D201" si="79">_xlfn.NORM.INV(C196,0,$A$182)</f>
        <v>-0.45301721638697023</v>
      </c>
      <c r="E196" s="18">
        <f t="shared" ref="E196:E201" si="80">B196</f>
        <v>-1.0989054978357187</v>
      </c>
      <c r="F196" s="18">
        <f t="shared" ref="F196:F201" si="81">D196</f>
        <v>-0.45301721638697023</v>
      </c>
    </row>
    <row r="197" spans="1:6" x14ac:dyDescent="0.25">
      <c r="A197" s="1">
        <v>3</v>
      </c>
      <c r="B197" s="2">
        <v>-0.69782943954573806</v>
      </c>
      <c r="C197" s="2">
        <f t="shared" si="78"/>
        <v>0.35714285714285715</v>
      </c>
      <c r="D197" s="9">
        <f>_xlfn.NORM.INV(C197,0,$A$182)</f>
        <v>-0.20950529829784828</v>
      </c>
      <c r="E197" s="18">
        <f t="shared" si="80"/>
        <v>-0.69782943954573806</v>
      </c>
      <c r="F197" s="18">
        <f t="shared" si="81"/>
        <v>-0.20950529829784828</v>
      </c>
    </row>
    <row r="198" spans="1:6" x14ac:dyDescent="0.25">
      <c r="A198" s="1">
        <v>4</v>
      </c>
      <c r="B198" s="2">
        <v>-0.61281971265021884</v>
      </c>
      <c r="C198" s="2">
        <f t="shared" si="78"/>
        <v>0.5</v>
      </c>
      <c r="D198" s="9">
        <f t="shared" si="79"/>
        <v>0</v>
      </c>
      <c r="E198" s="18">
        <f t="shared" si="80"/>
        <v>-0.61281971265021884</v>
      </c>
      <c r="F198" s="18">
        <f t="shared" si="81"/>
        <v>0</v>
      </c>
    </row>
    <row r="199" spans="1:6" x14ac:dyDescent="0.25">
      <c r="A199" s="1">
        <v>5</v>
      </c>
      <c r="B199" s="2">
        <v>-0.40985369105080327</v>
      </c>
      <c r="C199" s="2">
        <f t="shared" si="78"/>
        <v>0.6428571428571429</v>
      </c>
      <c r="D199" s="9">
        <f t="shared" si="79"/>
        <v>0.20950529829784834</v>
      </c>
      <c r="E199" s="18">
        <f t="shared" si="80"/>
        <v>-0.40985369105080327</v>
      </c>
      <c r="F199" s="18">
        <f t="shared" si="81"/>
        <v>0.20950529829784834</v>
      </c>
    </row>
    <row r="200" spans="1:6" x14ac:dyDescent="0.25">
      <c r="A200" s="1">
        <v>6</v>
      </c>
      <c r="B200" s="2">
        <v>7.5733971031189347</v>
      </c>
      <c r="C200" s="2">
        <f t="shared" si="78"/>
        <v>0.7857142857142857</v>
      </c>
      <c r="D200" s="9">
        <f t="shared" si="79"/>
        <v>0.45301721638697023</v>
      </c>
      <c r="E200" s="18">
        <f t="shared" si="80"/>
        <v>7.5733971031189347</v>
      </c>
      <c r="F200" s="18">
        <f t="shared" si="81"/>
        <v>0.45301721638697023</v>
      </c>
    </row>
    <row r="201" spans="1:6" ht="16.5" thickBot="1" x14ac:dyDescent="0.3">
      <c r="A201" s="3">
        <v>7</v>
      </c>
      <c r="B201" s="4">
        <v>11.723282883809215</v>
      </c>
      <c r="C201" s="4">
        <f t="shared" si="78"/>
        <v>0.9285714285714286</v>
      </c>
      <c r="D201" s="122">
        <f t="shared" si="79"/>
        <v>0.83848378240503241</v>
      </c>
      <c r="E201" s="18">
        <f t="shared" si="80"/>
        <v>11.723282883809215</v>
      </c>
      <c r="F201" s="18">
        <f t="shared" si="81"/>
        <v>0.83848378240503241</v>
      </c>
    </row>
    <row r="205" spans="1:6" x14ac:dyDescent="0.25">
      <c r="A205" s="18" t="s">
        <v>296</v>
      </c>
    </row>
    <row r="206" spans="1:6" x14ac:dyDescent="0.25">
      <c r="B206" s="18" t="s">
        <v>297</v>
      </c>
      <c r="C206" s="18" t="s">
        <v>298</v>
      </c>
      <c r="D206" s="18" t="s">
        <v>299</v>
      </c>
      <c r="E206" s="18" t="s">
        <v>300</v>
      </c>
    </row>
    <row r="207" spans="1:6" x14ac:dyDescent="0.25">
      <c r="B207" s="18">
        <f>B177</f>
        <v>24.291212616486391</v>
      </c>
      <c r="C207" s="18">
        <f>C177</f>
        <v>3.7866985515594673</v>
      </c>
      <c r="D207" s="18">
        <f>E177</f>
        <v>-2.2501020824080045</v>
      </c>
      <c r="E207" s="18">
        <f>H177</f>
        <v>5.8616414419046077</v>
      </c>
    </row>
    <row r="208" spans="1:6" x14ac:dyDescent="0.25">
      <c r="C208" s="18" t="s">
        <v>301</v>
      </c>
      <c r="D208" s="18" t="s">
        <v>305</v>
      </c>
      <c r="E208" s="18" t="s">
        <v>302</v>
      </c>
    </row>
    <row r="209" spans="1:11" x14ac:dyDescent="0.25">
      <c r="C209" s="18">
        <v>1</v>
      </c>
      <c r="D209" s="18">
        <v>-1</v>
      </c>
      <c r="E209" s="18">
        <v>-0.99999999999999989</v>
      </c>
    </row>
    <row r="210" spans="1:11" x14ac:dyDescent="0.25">
      <c r="A210" s="18" t="s">
        <v>303</v>
      </c>
      <c r="B210" s="18" t="s">
        <v>304</v>
      </c>
      <c r="C210" s="18">
        <f>B207+C207*C209+D207*E209+E207*D209*E209</f>
        <v>36.189654692358474</v>
      </c>
    </row>
    <row r="214" spans="1:11" ht="16.5" thickBot="1" x14ac:dyDescent="0.3"/>
    <row r="215" spans="1:11" x14ac:dyDescent="0.25">
      <c r="A215" s="44" t="s">
        <v>5</v>
      </c>
      <c r="B215" s="45" t="s">
        <v>130</v>
      </c>
      <c r="C215" s="45" t="s">
        <v>131</v>
      </c>
      <c r="D215" s="45" t="s">
        <v>78</v>
      </c>
      <c r="E215" s="45" t="s">
        <v>79</v>
      </c>
      <c r="F215" s="45" t="s">
        <v>80</v>
      </c>
      <c r="G215" s="45" t="s">
        <v>81</v>
      </c>
      <c r="H215" s="48" t="s">
        <v>91</v>
      </c>
      <c r="I215" s="48" t="s">
        <v>13</v>
      </c>
      <c r="J215" s="48" t="s">
        <v>324</v>
      </c>
      <c r="K215" s="97" t="s">
        <v>122</v>
      </c>
    </row>
    <row r="216" spans="1:11" x14ac:dyDescent="0.25">
      <c r="A216" s="46">
        <v>1</v>
      </c>
      <c r="B216" s="2">
        <v>-1</v>
      </c>
      <c r="C216" s="2">
        <v>-1</v>
      </c>
      <c r="D216" s="2">
        <v>-1</v>
      </c>
      <c r="E216" s="2">
        <v>61.43</v>
      </c>
      <c r="F216" s="2">
        <v>58.58</v>
      </c>
      <c r="G216" s="2">
        <v>57.07</v>
      </c>
      <c r="H216" s="49">
        <f>AVERAGE(E216:G216)</f>
        <v>59.026666666666664</v>
      </c>
      <c r="I216" s="49">
        <f>_xlfn.VAR.S(E216:G216)</f>
        <v>4.9020333333333328</v>
      </c>
      <c r="J216" s="49">
        <f>SQRT(I216)</f>
        <v>2.2140535976650009</v>
      </c>
      <c r="K216" s="98">
        <f>-10*LOG(((E216-100)^2+(F216-100)^2+(G216-100)^2)/3)</f>
        <v>-32.25847180659887</v>
      </c>
    </row>
    <row r="217" spans="1:11" x14ac:dyDescent="0.25">
      <c r="A217" s="46">
        <v>2</v>
      </c>
      <c r="B217" s="2">
        <v>1</v>
      </c>
      <c r="C217" s="2">
        <v>-1</v>
      </c>
      <c r="D217" s="2">
        <v>-1</v>
      </c>
      <c r="E217" s="2">
        <v>75.62</v>
      </c>
      <c r="F217" s="2">
        <v>77.569999999999993</v>
      </c>
      <c r="G217" s="2">
        <v>75.75</v>
      </c>
      <c r="H217" s="49">
        <f t="shared" ref="H217:H223" si="82">AVERAGE(E217:G217)</f>
        <v>76.313333333333333</v>
      </c>
      <c r="I217" s="49">
        <f t="shared" ref="I217:I222" si="83">_xlfn.VAR.S(E217:G217)</f>
        <v>1.1886333333333217</v>
      </c>
      <c r="J217" s="49">
        <f t="shared" ref="J217:J223" si="84">SQRT(I217)</f>
        <v>1.0902446208687855</v>
      </c>
      <c r="K217" s="98">
        <f t="shared" ref="K217:K223" si="85">-10*LOG(((E217-100)^2+(F217-100)^2+(G217-100)^2)/3)</f>
        <v>-27.4962084898306</v>
      </c>
    </row>
    <row r="218" spans="1:11" x14ac:dyDescent="0.25">
      <c r="A218" s="46">
        <v>3</v>
      </c>
      <c r="B218" s="2">
        <v>-1</v>
      </c>
      <c r="C218" s="2">
        <v>1</v>
      </c>
      <c r="D218" s="2">
        <v>-1</v>
      </c>
      <c r="E218" s="2">
        <v>27.51</v>
      </c>
      <c r="F218" s="2">
        <v>34.03</v>
      </c>
      <c r="G218" s="2">
        <v>25.07</v>
      </c>
      <c r="H218" s="49">
        <f t="shared" si="82"/>
        <v>28.870000000000005</v>
      </c>
      <c r="I218" s="49">
        <f t="shared" si="83"/>
        <v>21.457599999999502</v>
      </c>
      <c r="J218" s="49">
        <f t="shared" si="84"/>
        <v>4.632234881782173</v>
      </c>
      <c r="K218" s="98">
        <f t="shared" si="85"/>
        <v>-37.053318005467176</v>
      </c>
    </row>
    <row r="219" spans="1:11" x14ac:dyDescent="0.25">
      <c r="A219" s="46">
        <v>4</v>
      </c>
      <c r="B219" s="2">
        <v>1</v>
      </c>
      <c r="C219" s="2">
        <v>1</v>
      </c>
      <c r="D219" s="2">
        <v>-1</v>
      </c>
      <c r="E219" s="2">
        <v>51.37</v>
      </c>
      <c r="F219" s="2">
        <v>48.49</v>
      </c>
      <c r="G219" s="2">
        <v>54.37</v>
      </c>
      <c r="H219" s="49">
        <f t="shared" si="82"/>
        <v>51.41</v>
      </c>
      <c r="I219" s="49">
        <f t="shared" si="83"/>
        <v>8.6447999999999858</v>
      </c>
      <c r="J219" s="49">
        <f t="shared" si="84"/>
        <v>2.9402040745499258</v>
      </c>
      <c r="K219" s="98">
        <f t="shared" si="85"/>
        <v>-33.741526243370735</v>
      </c>
    </row>
    <row r="220" spans="1:11" x14ac:dyDescent="0.25">
      <c r="A220" s="46">
        <v>5</v>
      </c>
      <c r="B220" s="2">
        <v>-1</v>
      </c>
      <c r="C220" s="2">
        <v>-1</v>
      </c>
      <c r="D220" s="2">
        <v>1</v>
      </c>
      <c r="E220" s="2">
        <v>24.8</v>
      </c>
      <c r="F220" s="2">
        <v>20.69</v>
      </c>
      <c r="G220" s="2">
        <v>15.41</v>
      </c>
      <c r="H220" s="49">
        <f t="shared" si="82"/>
        <v>20.3</v>
      </c>
      <c r="I220" s="49">
        <f t="shared" si="83"/>
        <v>22.157100000000014</v>
      </c>
      <c r="J220" s="49">
        <f t="shared" si="84"/>
        <v>4.7071328853135235</v>
      </c>
      <c r="K220" s="98">
        <f t="shared" si="85"/>
        <v>-38.039253958242064</v>
      </c>
    </row>
    <row r="221" spans="1:11" x14ac:dyDescent="0.25">
      <c r="A221" s="46">
        <v>6</v>
      </c>
      <c r="B221" s="2">
        <v>1</v>
      </c>
      <c r="C221" s="2">
        <v>-1</v>
      </c>
      <c r="D221" s="2">
        <v>1</v>
      </c>
      <c r="E221" s="2">
        <v>43.58</v>
      </c>
      <c r="F221" s="2">
        <v>44.31</v>
      </c>
      <c r="G221" s="2">
        <v>36.99</v>
      </c>
      <c r="H221" s="49">
        <f t="shared" si="82"/>
        <v>41.626666666666665</v>
      </c>
      <c r="I221" s="49">
        <f t="shared" si="83"/>
        <v>16.257233333333328</v>
      </c>
      <c r="J221" s="49">
        <f t="shared" si="84"/>
        <v>4.0320259589111433</v>
      </c>
      <c r="K221" s="98">
        <f t="shared" si="85"/>
        <v>-35.338081676183947</v>
      </c>
    </row>
    <row r="222" spans="1:11" x14ac:dyDescent="0.25">
      <c r="A222" s="46">
        <v>7</v>
      </c>
      <c r="B222" s="2">
        <v>-1</v>
      </c>
      <c r="C222" s="2">
        <v>1</v>
      </c>
      <c r="D222" s="2">
        <v>1</v>
      </c>
      <c r="E222" s="2">
        <v>45.2</v>
      </c>
      <c r="F222" s="2">
        <v>49.53</v>
      </c>
      <c r="G222" s="2">
        <v>50.29</v>
      </c>
      <c r="H222" s="49">
        <f t="shared" si="82"/>
        <v>48.34</v>
      </c>
      <c r="I222" s="49">
        <f t="shared" si="83"/>
        <v>7.5390999999999906</v>
      </c>
      <c r="J222" s="49">
        <f t="shared" si="84"/>
        <v>2.7457421583244104</v>
      </c>
      <c r="K222" s="98">
        <f t="shared" si="85"/>
        <v>-34.271259411334526</v>
      </c>
    </row>
    <row r="223" spans="1:11" ht="16.5" thickBot="1" x14ac:dyDescent="0.3">
      <c r="A223" s="47">
        <v>8</v>
      </c>
      <c r="B223" s="4">
        <v>1</v>
      </c>
      <c r="C223" s="4">
        <v>1</v>
      </c>
      <c r="D223" s="4">
        <v>1</v>
      </c>
      <c r="E223" s="4">
        <v>70.510000000000005</v>
      </c>
      <c r="F223" s="4">
        <v>74</v>
      </c>
      <c r="G223" s="4">
        <v>74.680000000000007</v>
      </c>
      <c r="H223" s="50">
        <f t="shared" si="82"/>
        <v>73.063333333333333</v>
      </c>
      <c r="I223" s="50">
        <f>_xlfn.VAR.S(E223:G223)</f>
        <v>5.0052333333333312</v>
      </c>
      <c r="J223" s="50">
        <f t="shared" si="84"/>
        <v>2.2372378803634922</v>
      </c>
      <c r="K223" s="100">
        <f t="shared" si="85"/>
        <v>-28.626803630045615</v>
      </c>
    </row>
    <row r="226" spans="1:9" ht="16.5" thickBot="1" x14ac:dyDescent="0.3">
      <c r="A226" s="18" t="s">
        <v>306</v>
      </c>
    </row>
    <row r="227" spans="1:9" x14ac:dyDescent="0.25">
      <c r="A227" s="111"/>
      <c r="B227" s="113" t="s">
        <v>0</v>
      </c>
      <c r="C227" s="113" t="s">
        <v>6</v>
      </c>
      <c r="D227" s="113" t="s">
        <v>7</v>
      </c>
      <c r="E227" s="113" t="s">
        <v>8</v>
      </c>
      <c r="F227" s="113" t="s">
        <v>45</v>
      </c>
      <c r="G227" s="113" t="s">
        <v>72</v>
      </c>
      <c r="H227" s="113" t="s">
        <v>75</v>
      </c>
      <c r="I227" s="115" t="s">
        <v>137</v>
      </c>
    </row>
    <row r="228" spans="1:9" x14ac:dyDescent="0.25">
      <c r="A228" s="112"/>
      <c r="B228" s="114"/>
      <c r="C228" s="114">
        <v>-1</v>
      </c>
      <c r="D228" s="114">
        <v>-1</v>
      </c>
      <c r="E228" s="114">
        <v>-1</v>
      </c>
      <c r="F228" s="114">
        <f>C228*D228</f>
        <v>1</v>
      </c>
      <c r="G228" s="114">
        <f>C228*E228</f>
        <v>1</v>
      </c>
      <c r="H228" s="114">
        <f>D228*E228</f>
        <v>1</v>
      </c>
      <c r="I228" s="117">
        <f>C228*D228*E228</f>
        <v>-1</v>
      </c>
    </row>
    <row r="229" spans="1:9" x14ac:dyDescent="0.25">
      <c r="A229" s="112"/>
      <c r="B229" s="114"/>
      <c r="C229" s="114">
        <v>1</v>
      </c>
      <c r="D229" s="114">
        <v>-1</v>
      </c>
      <c r="E229" s="114">
        <v>-1</v>
      </c>
      <c r="F229" s="114">
        <f t="shared" ref="F229:F235" si="86">C229*D229</f>
        <v>-1</v>
      </c>
      <c r="G229" s="114">
        <f t="shared" ref="G229:G234" si="87">C229*E229</f>
        <v>-1</v>
      </c>
      <c r="H229" s="114">
        <f>D229*E229</f>
        <v>1</v>
      </c>
      <c r="I229" s="117">
        <f t="shared" ref="I229:I235" si="88">C229*D229*E229</f>
        <v>1</v>
      </c>
    </row>
    <row r="230" spans="1:9" x14ac:dyDescent="0.25">
      <c r="A230" s="112"/>
      <c r="B230" s="114"/>
      <c r="C230" s="114">
        <v>-1</v>
      </c>
      <c r="D230" s="114">
        <v>1</v>
      </c>
      <c r="E230" s="114">
        <v>-1</v>
      </c>
      <c r="F230" s="114">
        <f t="shared" si="86"/>
        <v>-1</v>
      </c>
      <c r="G230" s="114">
        <f t="shared" si="87"/>
        <v>1</v>
      </c>
      <c r="H230" s="114">
        <f>D230*E230</f>
        <v>-1</v>
      </c>
      <c r="I230" s="117">
        <f t="shared" si="88"/>
        <v>1</v>
      </c>
    </row>
    <row r="231" spans="1:9" x14ac:dyDescent="0.25">
      <c r="A231" s="112"/>
      <c r="B231" s="114"/>
      <c r="C231" s="114">
        <v>1</v>
      </c>
      <c r="D231" s="114">
        <v>1</v>
      </c>
      <c r="E231" s="114">
        <v>-1</v>
      </c>
      <c r="F231" s="114">
        <f t="shared" si="86"/>
        <v>1</v>
      </c>
      <c r="G231" s="114">
        <f t="shared" si="87"/>
        <v>-1</v>
      </c>
      <c r="H231" s="114">
        <f t="shared" ref="H231:H234" si="89">D231*E231</f>
        <v>-1</v>
      </c>
      <c r="I231" s="117">
        <f t="shared" si="88"/>
        <v>-1</v>
      </c>
    </row>
    <row r="232" spans="1:9" x14ac:dyDescent="0.25">
      <c r="A232" s="112"/>
      <c r="B232" s="114"/>
      <c r="C232" s="114">
        <v>-1</v>
      </c>
      <c r="D232" s="114">
        <v>-1</v>
      </c>
      <c r="E232" s="114">
        <v>1</v>
      </c>
      <c r="F232" s="114">
        <f t="shared" si="86"/>
        <v>1</v>
      </c>
      <c r="G232" s="114">
        <f t="shared" si="87"/>
        <v>-1</v>
      </c>
      <c r="H232" s="114">
        <f t="shared" si="89"/>
        <v>-1</v>
      </c>
      <c r="I232" s="117">
        <f t="shared" si="88"/>
        <v>1</v>
      </c>
    </row>
    <row r="233" spans="1:9" x14ac:dyDescent="0.25">
      <c r="A233" s="112"/>
      <c r="B233" s="114"/>
      <c r="C233" s="114">
        <v>1</v>
      </c>
      <c r="D233" s="114">
        <v>-1</v>
      </c>
      <c r="E233" s="114">
        <v>1</v>
      </c>
      <c r="F233" s="114">
        <f t="shared" si="86"/>
        <v>-1</v>
      </c>
      <c r="G233" s="114">
        <f t="shared" si="87"/>
        <v>1</v>
      </c>
      <c r="H233" s="114">
        <f t="shared" si="89"/>
        <v>-1</v>
      </c>
      <c r="I233" s="117">
        <f t="shared" si="88"/>
        <v>-1</v>
      </c>
    </row>
    <row r="234" spans="1:9" x14ac:dyDescent="0.25">
      <c r="A234" s="112"/>
      <c r="B234" s="114"/>
      <c r="C234" s="114">
        <v>-1</v>
      </c>
      <c r="D234" s="114">
        <v>1</v>
      </c>
      <c r="E234" s="114">
        <v>1</v>
      </c>
      <c r="F234" s="114">
        <f t="shared" si="86"/>
        <v>-1</v>
      </c>
      <c r="G234" s="114">
        <f t="shared" si="87"/>
        <v>-1</v>
      </c>
      <c r="H234" s="114">
        <f t="shared" si="89"/>
        <v>1</v>
      </c>
      <c r="I234" s="117">
        <f t="shared" si="88"/>
        <v>-1</v>
      </c>
    </row>
    <row r="235" spans="1:9" x14ac:dyDescent="0.25">
      <c r="A235" s="112"/>
      <c r="B235" s="114"/>
      <c r="C235" s="114">
        <v>1</v>
      </c>
      <c r="D235" s="114">
        <v>1</v>
      </c>
      <c r="E235" s="114">
        <v>1</v>
      </c>
      <c r="F235" s="114">
        <f t="shared" si="86"/>
        <v>1</v>
      </c>
      <c r="G235" s="114">
        <f>C235*E235</f>
        <v>1</v>
      </c>
      <c r="H235" s="114">
        <f>D235*E235</f>
        <v>1</v>
      </c>
      <c r="I235" s="117">
        <f t="shared" si="88"/>
        <v>1</v>
      </c>
    </row>
    <row r="236" spans="1:9" x14ac:dyDescent="0.25">
      <c r="A236" s="112" t="s">
        <v>138</v>
      </c>
      <c r="B236" s="114"/>
      <c r="C236" s="114">
        <f>SUMPRODUCT(C228:C235,$K$216:$K$223)/4</f>
        <v>4.1049207855529346</v>
      </c>
      <c r="D236" s="114">
        <f t="shared" ref="D236:I236" si="90">SUMPRODUCT(D228:D235,$K$216:$K$223)/4</f>
        <v>-0.14022283984064288</v>
      </c>
      <c r="E236" s="114">
        <f t="shared" si="90"/>
        <v>-1.431468532634689</v>
      </c>
      <c r="F236" s="114">
        <f t="shared" si="90"/>
        <v>0.37320298613974145</v>
      </c>
      <c r="G236" s="114">
        <f t="shared" si="90"/>
        <v>6.7893246120579676E-2</v>
      </c>
      <c r="H236" s="114">
        <f t="shared" si="90"/>
        <v>5.3798591363635779</v>
      </c>
      <c r="I236" s="117">
        <f t="shared" si="90"/>
        <v>1.0984387634756558</v>
      </c>
    </row>
    <row r="237" spans="1:9" ht="16.5" thickBot="1" x14ac:dyDescent="0.3">
      <c r="A237" s="116" t="s">
        <v>139</v>
      </c>
      <c r="B237" s="110">
        <f>AVERAGE(K216:K223)</f>
        <v>-33.353115402634195</v>
      </c>
      <c r="C237" s="16">
        <f>C236/2</f>
        <v>2.0524603927764673</v>
      </c>
      <c r="D237" s="16">
        <f t="shared" ref="D237:I237" si="91">D236/2</f>
        <v>-7.0111419920321438E-2</v>
      </c>
      <c r="E237" s="16">
        <f t="shared" si="91"/>
        <v>-0.71573426631734449</v>
      </c>
      <c r="F237" s="16">
        <f t="shared" si="91"/>
        <v>0.18660149306987073</v>
      </c>
      <c r="G237" s="16">
        <f t="shared" si="91"/>
        <v>3.3946623060289838E-2</v>
      </c>
      <c r="H237" s="16">
        <f t="shared" si="91"/>
        <v>2.689929568181789</v>
      </c>
      <c r="I237" s="118">
        <f t="shared" si="91"/>
        <v>0.54921938173782792</v>
      </c>
    </row>
    <row r="239" spans="1:9" x14ac:dyDescent="0.25">
      <c r="A239" s="18" t="s">
        <v>307</v>
      </c>
    </row>
    <row r="240" spans="1:9" x14ac:dyDescent="0.25">
      <c r="A240" s="18">
        <f>(G236^2+I236^2)/2</f>
        <v>0.60558860498735867</v>
      </c>
    </row>
    <row r="241" spans="1:8" x14ac:dyDescent="0.25">
      <c r="A241" s="18" t="s">
        <v>308</v>
      </c>
    </row>
    <row r="242" spans="1:8" x14ac:dyDescent="0.25">
      <c r="A242" s="18">
        <f>SQRT(A240)</f>
        <v>0.7781957369372815</v>
      </c>
    </row>
    <row r="243" spans="1:8" x14ac:dyDescent="0.25">
      <c r="A243" s="18" t="s">
        <v>275</v>
      </c>
    </row>
    <row r="244" spans="1:8" x14ac:dyDescent="0.25">
      <c r="A244" s="18">
        <f>_xlfn.T.INV(0.995,2)</f>
        <v>9.9248432009182892</v>
      </c>
    </row>
    <row r="245" spans="1:8" ht="16.5" thickBot="1" x14ac:dyDescent="0.3"/>
    <row r="246" spans="1:8" x14ac:dyDescent="0.25">
      <c r="A246" s="173" t="s">
        <v>276</v>
      </c>
      <c r="B246" s="174"/>
      <c r="C246" s="174"/>
      <c r="D246" s="174"/>
      <c r="E246" s="174"/>
      <c r="F246" s="174"/>
      <c r="G246" s="174"/>
      <c r="H246" s="175"/>
    </row>
    <row r="247" spans="1:8" x14ac:dyDescent="0.25">
      <c r="A247" s="137"/>
      <c r="B247" s="138" t="s">
        <v>277</v>
      </c>
      <c r="C247" s="138" t="s">
        <v>104</v>
      </c>
      <c r="D247" s="138" t="s">
        <v>279</v>
      </c>
      <c r="E247" s="138" t="s">
        <v>280</v>
      </c>
      <c r="F247" s="138" t="s">
        <v>189</v>
      </c>
      <c r="G247" s="138" t="s">
        <v>180</v>
      </c>
      <c r="H247" s="139" t="s">
        <v>283</v>
      </c>
    </row>
    <row r="248" spans="1:8" x14ac:dyDescent="0.25">
      <c r="A248" s="140" t="s">
        <v>284</v>
      </c>
      <c r="B248" s="101">
        <f>C236+$A$242*$A$244</f>
        <v>11.82839145427851</v>
      </c>
      <c r="C248" s="101">
        <f t="shared" ref="C248:H248" si="92">D236+$A$242*$A$244</f>
        <v>7.5832478288849332</v>
      </c>
      <c r="D248" s="101">
        <f t="shared" si="92"/>
        <v>6.2920021360908871</v>
      </c>
      <c r="E248" s="101">
        <f t="shared" si="92"/>
        <v>8.0966736548653166</v>
      </c>
      <c r="F248" s="101">
        <f t="shared" si="92"/>
        <v>7.7913639148461558</v>
      </c>
      <c r="G248" s="101">
        <f t="shared" si="92"/>
        <v>13.103329805089153</v>
      </c>
      <c r="H248" s="102">
        <f t="shared" si="92"/>
        <v>8.821909432201231</v>
      </c>
    </row>
    <row r="249" spans="1:8" x14ac:dyDescent="0.25">
      <c r="A249" s="140" t="s">
        <v>285</v>
      </c>
      <c r="B249" s="101">
        <f>C236-$A$242*$A$244</f>
        <v>-3.6185498831726415</v>
      </c>
      <c r="C249" s="101">
        <f t="shared" ref="C249:H249" si="93">D236-$A$242*$A$244</f>
        <v>-7.863693508566219</v>
      </c>
      <c r="D249" s="101">
        <f t="shared" si="93"/>
        <v>-9.1549392013602642</v>
      </c>
      <c r="E249" s="101">
        <f t="shared" si="93"/>
        <v>-7.3502676825858346</v>
      </c>
      <c r="F249" s="101">
        <f t="shared" si="93"/>
        <v>-7.6555774226049964</v>
      </c>
      <c r="G249" s="101">
        <f t="shared" si="93"/>
        <v>-2.3436115323619982</v>
      </c>
      <c r="H249" s="102">
        <f t="shared" si="93"/>
        <v>-6.6250319052499202</v>
      </c>
    </row>
    <row r="250" spans="1:8" x14ac:dyDescent="0.25">
      <c r="A250" s="140" t="s">
        <v>287</v>
      </c>
      <c r="B250" s="101">
        <f>(C236)/$A$242</f>
        <v>5.2749206796075905</v>
      </c>
      <c r="C250" s="101">
        <f t="shared" ref="C250:H250" si="94">(D236)/$A$242</f>
        <v>-0.1801896787465235</v>
      </c>
      <c r="D250" s="101">
        <f t="shared" si="94"/>
        <v>-1.8394710542471886</v>
      </c>
      <c r="E250" s="101">
        <f t="shared" si="94"/>
        <v>0.47957469878792158</v>
      </c>
      <c r="F250" s="101">
        <f t="shared" si="94"/>
        <v>8.7244433370690017E-2</v>
      </c>
      <c r="G250" s="101">
        <f t="shared" si="94"/>
        <v>6.9132467334464032</v>
      </c>
      <c r="H250" s="102">
        <f t="shared" si="94"/>
        <v>1.4115198931810446</v>
      </c>
    </row>
    <row r="251" spans="1:8" x14ac:dyDescent="0.25">
      <c r="A251" s="140" t="s">
        <v>286</v>
      </c>
      <c r="B251" s="101">
        <f>(1-_xlfn.T.DIST(B250,2,1))*2</f>
        <v>3.4110934759041811E-2</v>
      </c>
      <c r="C251" s="101">
        <f>(_xlfn.T.DIST(C250,2,1))*2</f>
        <v>0.87360845622053851</v>
      </c>
      <c r="D251" s="101">
        <f>(_xlfn.T.DIST(D250,2,1))*2</f>
        <v>0.20721687441696257</v>
      </c>
      <c r="E251" s="101">
        <f t="shared" ref="E251:H251" si="95">(1-_xlfn.T.DIST(E250,2,1))*2</f>
        <v>0.6788524444223254</v>
      </c>
      <c r="F251" s="101">
        <f t="shared" si="95"/>
        <v>0.93842592744047071</v>
      </c>
      <c r="G251" s="101">
        <f t="shared" si="95"/>
        <v>2.0288973343045136E-2</v>
      </c>
      <c r="H251" s="102">
        <f t="shared" si="95"/>
        <v>0.29356759902737495</v>
      </c>
    </row>
    <row r="252" spans="1:8" ht="16.5" thickBot="1" x14ac:dyDescent="0.3">
      <c r="A252" s="141" t="s">
        <v>288</v>
      </c>
      <c r="B252" s="27" t="s">
        <v>325</v>
      </c>
      <c r="C252" s="27" t="s">
        <v>290</v>
      </c>
      <c r="D252" s="27" t="s">
        <v>290</v>
      </c>
      <c r="E252" s="27" t="s">
        <v>290</v>
      </c>
      <c r="F252" s="27" t="s">
        <v>290</v>
      </c>
      <c r="G252" s="27" t="s">
        <v>326</v>
      </c>
      <c r="H252" s="28" t="s">
        <v>290</v>
      </c>
    </row>
    <row r="254" spans="1:8" ht="16.5" thickBot="1" x14ac:dyDescent="0.3">
      <c r="A254" s="18" t="s">
        <v>309</v>
      </c>
    </row>
    <row r="255" spans="1:8" x14ac:dyDescent="0.25">
      <c r="A255" s="134" t="s">
        <v>310</v>
      </c>
      <c r="B255" s="135" t="s">
        <v>311</v>
      </c>
      <c r="C255" s="135" t="s">
        <v>312</v>
      </c>
      <c r="D255" s="136" t="s">
        <v>313</v>
      </c>
      <c r="E255" s="18" t="s">
        <v>311</v>
      </c>
      <c r="F255" s="18" t="s">
        <v>313</v>
      </c>
    </row>
    <row r="256" spans="1:8" x14ac:dyDescent="0.25">
      <c r="A256" s="112">
        <v>1</v>
      </c>
      <c r="B256" s="114">
        <v>-1.431468532634689</v>
      </c>
      <c r="C256" s="114">
        <f>(A256-0.5)/7</f>
        <v>7.1428571428571425E-2</v>
      </c>
      <c r="D256" s="117">
        <f>_xlfn.NORM.INV(C256,0,$A$242)</f>
        <v>-1.1402386910843181</v>
      </c>
      <c r="E256" s="18">
        <f>B256</f>
        <v>-1.431468532634689</v>
      </c>
      <c r="F256" s="18">
        <f>D256</f>
        <v>-1.1402386910843181</v>
      </c>
    </row>
    <row r="257" spans="1:6" x14ac:dyDescent="0.25">
      <c r="A257" s="112">
        <v>2</v>
      </c>
      <c r="B257" s="114">
        <v>-0.14022283984064288</v>
      </c>
      <c r="C257" s="114">
        <f t="shared" ref="C257:C262" si="96">(A257-0.5)/7</f>
        <v>0.21428571428571427</v>
      </c>
      <c r="D257" s="117">
        <f t="shared" ref="D257:D262" si="97">_xlfn.NORM.INV(C257,0,$A$242)</f>
        <v>-0.616049789740859</v>
      </c>
      <c r="E257" s="18">
        <f t="shared" ref="E257:E262" si="98">B257</f>
        <v>-0.14022283984064288</v>
      </c>
      <c r="F257" s="18">
        <f t="shared" ref="F257:F262" si="99">D257</f>
        <v>-0.616049789740859</v>
      </c>
    </row>
    <row r="258" spans="1:6" x14ac:dyDescent="0.25">
      <c r="A258" s="112">
        <v>3</v>
      </c>
      <c r="B258" s="114">
        <v>6.7893246120579676E-2</v>
      </c>
      <c r="C258" s="114">
        <f t="shared" si="96"/>
        <v>0.35714285714285715</v>
      </c>
      <c r="D258" s="117">
        <f t="shared" si="97"/>
        <v>-0.28490240612784262</v>
      </c>
      <c r="E258" s="18">
        <f t="shared" si="98"/>
        <v>6.7893246120579676E-2</v>
      </c>
      <c r="F258" s="18">
        <f t="shared" si="99"/>
        <v>-0.28490240612784262</v>
      </c>
    </row>
    <row r="259" spans="1:6" x14ac:dyDescent="0.25">
      <c r="A259" s="112">
        <v>4</v>
      </c>
      <c r="B259" s="114">
        <v>0.37320298613974145</v>
      </c>
      <c r="C259" s="114">
        <f t="shared" si="96"/>
        <v>0.5</v>
      </c>
      <c r="D259" s="117">
        <f t="shared" si="97"/>
        <v>0</v>
      </c>
      <c r="E259" s="18">
        <f t="shared" si="98"/>
        <v>0.37320298613974145</v>
      </c>
      <c r="F259" s="18">
        <f t="shared" si="99"/>
        <v>0</v>
      </c>
    </row>
    <row r="260" spans="1:6" x14ac:dyDescent="0.25">
      <c r="A260" s="112">
        <v>5</v>
      </c>
      <c r="B260" s="114">
        <v>1.0984387634756558</v>
      </c>
      <c r="C260" s="114">
        <f t="shared" si="96"/>
        <v>0.6428571428571429</v>
      </c>
      <c r="D260" s="117">
        <f t="shared" si="97"/>
        <v>0.28490240612784273</v>
      </c>
      <c r="E260" s="18">
        <f t="shared" si="98"/>
        <v>1.0984387634756558</v>
      </c>
      <c r="F260" s="18">
        <f t="shared" si="99"/>
        <v>0.28490240612784273</v>
      </c>
    </row>
    <row r="261" spans="1:6" x14ac:dyDescent="0.25">
      <c r="A261" s="112">
        <v>6</v>
      </c>
      <c r="B261" s="114">
        <v>4.1049207855529346</v>
      </c>
      <c r="C261" s="114">
        <f t="shared" si="96"/>
        <v>0.7857142857142857</v>
      </c>
      <c r="D261" s="117">
        <f t="shared" si="97"/>
        <v>0.616049789740859</v>
      </c>
      <c r="E261" s="18">
        <f t="shared" si="98"/>
        <v>4.1049207855529346</v>
      </c>
      <c r="F261" s="18">
        <f t="shared" si="99"/>
        <v>0.616049789740859</v>
      </c>
    </row>
    <row r="262" spans="1:6" ht="16.5" thickBot="1" x14ac:dyDescent="0.3">
      <c r="A262" s="116">
        <v>7</v>
      </c>
      <c r="B262" s="16">
        <v>5.3798591363635779</v>
      </c>
      <c r="C262" s="16">
        <f t="shared" si="96"/>
        <v>0.9285714285714286</v>
      </c>
      <c r="D262" s="118">
        <f t="shared" si="97"/>
        <v>1.1402386910843183</v>
      </c>
      <c r="E262" s="18">
        <f t="shared" si="98"/>
        <v>5.3798591363635779</v>
      </c>
      <c r="F262" s="18">
        <f t="shared" si="99"/>
        <v>1.1402386910843183</v>
      </c>
    </row>
    <row r="264" spans="1:6" x14ac:dyDescent="0.25">
      <c r="A264" s="18" t="s">
        <v>296</v>
      </c>
    </row>
    <row r="265" spans="1:6" x14ac:dyDescent="0.25">
      <c r="B265" s="18" t="s">
        <v>297</v>
      </c>
      <c r="C265" s="18" t="s">
        <v>314</v>
      </c>
      <c r="D265" s="18" t="s">
        <v>315</v>
      </c>
    </row>
    <row r="266" spans="1:6" x14ac:dyDescent="0.25">
      <c r="B266" s="109">
        <f>B237</f>
        <v>-33.353115402634195</v>
      </c>
      <c r="C266" s="18">
        <f>C237</f>
        <v>2.0524603927764673</v>
      </c>
      <c r="D266" s="18">
        <f>H237</f>
        <v>2.689929568181789</v>
      </c>
    </row>
    <row r="267" spans="1:6" x14ac:dyDescent="0.25">
      <c r="C267" s="18" t="s">
        <v>6</v>
      </c>
      <c r="D267" s="18" t="s">
        <v>305</v>
      </c>
      <c r="E267" s="18" t="s">
        <v>302</v>
      </c>
    </row>
    <row r="268" spans="1:6" x14ac:dyDescent="0.25">
      <c r="C268" s="18">
        <v>1</v>
      </c>
      <c r="D268" s="18">
        <v>-1</v>
      </c>
      <c r="E268" s="18">
        <v>-1</v>
      </c>
    </row>
    <row r="269" spans="1:6" x14ac:dyDescent="0.25">
      <c r="A269" s="18" t="s">
        <v>303</v>
      </c>
      <c r="B269" s="18" t="s">
        <v>304</v>
      </c>
      <c r="C269" s="18">
        <f>B266+C266*C268+D266*D268*E268</f>
        <v>-28.610725441675939</v>
      </c>
    </row>
  </sheetData>
  <sortState xmlns:xlrd2="http://schemas.microsoft.com/office/spreadsheetml/2017/richdata2" ref="B256:B262">
    <sortCondition ref="B256"/>
  </sortState>
  <mergeCells count="11">
    <mergeCell ref="B54:B55"/>
    <mergeCell ref="K54:K55"/>
    <mergeCell ref="M63:M65"/>
    <mergeCell ref="Q64:Q65"/>
    <mergeCell ref="M66:M68"/>
    <mergeCell ref="Q67:Q68"/>
    <mergeCell ref="A185:H185"/>
    <mergeCell ref="A166:I166"/>
    <mergeCell ref="A246:H246"/>
    <mergeCell ref="M69:M71"/>
    <mergeCell ref="Q70:Q71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3"/>
  <sheetViews>
    <sheetView workbookViewId="0">
      <selection activeCell="N29" sqref="N29:N43"/>
    </sheetView>
  </sheetViews>
  <sheetFormatPr defaultRowHeight="16.5" x14ac:dyDescent="0.25"/>
  <sheetData>
    <row r="1" spans="1:9" x14ac:dyDescent="0.25">
      <c r="A1" t="s">
        <v>47</v>
      </c>
    </row>
    <row r="2" spans="1:9" ht="17.25" thickBot="1" x14ac:dyDescent="0.3"/>
    <row r="3" spans="1:9" x14ac:dyDescent="0.25">
      <c r="A3" s="8" t="s">
        <v>48</v>
      </c>
      <c r="B3" s="8"/>
    </row>
    <row r="4" spans="1:9" x14ac:dyDescent="0.25">
      <c r="A4" s="5" t="s">
        <v>49</v>
      </c>
      <c r="B4" s="5">
        <v>1</v>
      </c>
    </row>
    <row r="5" spans="1:9" x14ac:dyDescent="0.25">
      <c r="A5" s="5" t="s">
        <v>50</v>
      </c>
      <c r="B5" s="5">
        <v>1</v>
      </c>
    </row>
    <row r="6" spans="1:9" x14ac:dyDescent="0.25">
      <c r="A6" s="5" t="s">
        <v>51</v>
      </c>
      <c r="B6" s="5">
        <v>65535</v>
      </c>
    </row>
    <row r="7" spans="1:9" x14ac:dyDescent="0.25">
      <c r="A7" s="5" t="s">
        <v>52</v>
      </c>
      <c r="B7" s="5">
        <v>0</v>
      </c>
    </row>
    <row r="8" spans="1:9" ht="17.25" thickBot="1" x14ac:dyDescent="0.3">
      <c r="A8" s="6" t="s">
        <v>53</v>
      </c>
      <c r="B8" s="6">
        <v>8</v>
      </c>
    </row>
    <row r="10" spans="1:9" ht="17.25" thickBot="1" x14ac:dyDescent="0.3">
      <c r="A10" t="s">
        <v>54</v>
      </c>
    </row>
    <row r="11" spans="1:9" x14ac:dyDescent="0.25">
      <c r="A11" s="7"/>
      <c r="B11" s="7" t="s">
        <v>59</v>
      </c>
      <c r="C11" s="7" t="s">
        <v>60</v>
      </c>
      <c r="D11" s="7" t="s">
        <v>61</v>
      </c>
      <c r="E11" s="7" t="s">
        <v>62</v>
      </c>
      <c r="F11" s="7" t="s">
        <v>63</v>
      </c>
    </row>
    <row r="12" spans="1:9" x14ac:dyDescent="0.25">
      <c r="A12" s="5" t="s">
        <v>55</v>
      </c>
      <c r="B12" s="5">
        <v>7</v>
      </c>
      <c r="C12" s="5">
        <v>434.56326009704537</v>
      </c>
      <c r="D12" s="5">
        <v>62.080465728149342</v>
      </c>
      <c r="E12" s="5" t="e">
        <v>#NUM!</v>
      </c>
      <c r="F12" s="5" t="e">
        <v>#NUM!</v>
      </c>
    </row>
    <row r="13" spans="1:9" x14ac:dyDescent="0.25">
      <c r="A13" s="5" t="s">
        <v>56</v>
      </c>
      <c r="B13" s="5">
        <v>0</v>
      </c>
      <c r="C13" s="5">
        <v>0</v>
      </c>
      <c r="D13" s="5">
        <v>65535</v>
      </c>
      <c r="E13" s="5"/>
      <c r="F13" s="5"/>
    </row>
    <row r="14" spans="1:9" ht="17.25" thickBot="1" x14ac:dyDescent="0.3">
      <c r="A14" s="6" t="s">
        <v>57</v>
      </c>
      <c r="B14" s="6">
        <v>7</v>
      </c>
      <c r="C14" s="6">
        <v>434.56326009704537</v>
      </c>
      <c r="D14" s="6"/>
      <c r="E14" s="6"/>
      <c r="F14" s="6"/>
    </row>
    <row r="15" spans="1:9" ht="17.25" thickBot="1" x14ac:dyDescent="0.3"/>
    <row r="16" spans="1:9" x14ac:dyDescent="0.25">
      <c r="A16" s="7"/>
      <c r="B16" s="7" t="s">
        <v>64</v>
      </c>
      <c r="C16" s="7" t="s">
        <v>52</v>
      </c>
      <c r="D16" s="7" t="s">
        <v>65</v>
      </c>
      <c r="E16" s="7" t="s">
        <v>66</v>
      </c>
      <c r="F16" s="7" t="s">
        <v>67</v>
      </c>
      <c r="G16" s="7" t="s">
        <v>68</v>
      </c>
      <c r="H16" s="7" t="s">
        <v>69</v>
      </c>
      <c r="I16" s="7" t="s">
        <v>70</v>
      </c>
    </row>
    <row r="17" spans="1:14" x14ac:dyDescent="0.25">
      <c r="A17" s="5" t="s">
        <v>58</v>
      </c>
      <c r="B17" s="5">
        <v>24.291212616486391</v>
      </c>
      <c r="C17" s="5">
        <v>0</v>
      </c>
      <c r="D17" s="5">
        <v>65535</v>
      </c>
      <c r="E17" s="5" t="e">
        <v>#NUM!</v>
      </c>
      <c r="F17" s="5">
        <v>24.291212616486391</v>
      </c>
      <c r="G17" s="5">
        <v>24.291212616486391</v>
      </c>
      <c r="H17" s="5">
        <v>24.291212616486391</v>
      </c>
      <c r="I17" s="5">
        <v>24.291212616486391</v>
      </c>
    </row>
    <row r="18" spans="1:14" x14ac:dyDescent="0.25">
      <c r="A18" s="5" t="s">
        <v>35</v>
      </c>
      <c r="B18" s="5">
        <v>3.7866985515594669</v>
      </c>
      <c r="C18" s="5">
        <v>0</v>
      </c>
      <c r="D18" s="5">
        <v>65535</v>
      </c>
      <c r="E18" s="5" t="e">
        <v>#NUM!</v>
      </c>
      <c r="F18" s="5">
        <v>3.7866985515594669</v>
      </c>
      <c r="G18" s="5">
        <v>3.7866985515594669</v>
      </c>
      <c r="H18" s="5">
        <v>3.7866985515594669</v>
      </c>
      <c r="I18" s="5">
        <v>3.7866985515594669</v>
      </c>
    </row>
    <row r="19" spans="1:14" x14ac:dyDescent="0.25">
      <c r="A19" s="5" t="s">
        <v>36</v>
      </c>
      <c r="B19" s="5">
        <v>-0.30640985632510942</v>
      </c>
      <c r="C19" s="5">
        <v>0</v>
      </c>
      <c r="D19" s="5">
        <v>65535</v>
      </c>
      <c r="E19" s="5" t="e">
        <v>#NUM!</v>
      </c>
      <c r="F19" s="5">
        <v>-0.30640985632510942</v>
      </c>
      <c r="G19" s="5">
        <v>-0.30640985632510942</v>
      </c>
      <c r="H19" s="5">
        <v>-0.30640985632510942</v>
      </c>
      <c r="I19" s="5">
        <v>-0.30640985632510942</v>
      </c>
    </row>
    <row r="20" spans="1:14" x14ac:dyDescent="0.25">
      <c r="A20" s="5" t="s">
        <v>37</v>
      </c>
      <c r="B20" s="5">
        <v>-2.2501020824080062</v>
      </c>
      <c r="C20" s="5">
        <v>0</v>
      </c>
      <c r="D20" s="5">
        <v>65535</v>
      </c>
      <c r="E20" s="5" t="e">
        <v>#NUM!</v>
      </c>
      <c r="F20" s="5">
        <v>-2.2501020824080062</v>
      </c>
      <c r="G20" s="5">
        <v>-2.2501020824080062</v>
      </c>
      <c r="H20" s="5">
        <v>-2.2501020824080062</v>
      </c>
      <c r="I20" s="5">
        <v>-2.2501020824080062</v>
      </c>
    </row>
    <row r="21" spans="1:14" x14ac:dyDescent="0.25">
      <c r="A21" s="5" t="s">
        <v>44</v>
      </c>
      <c r="B21" s="5">
        <v>-0.20492684552540205</v>
      </c>
      <c r="C21" s="5">
        <v>0</v>
      </c>
      <c r="D21" s="5">
        <v>65535</v>
      </c>
      <c r="E21" s="5" t="e">
        <v>#NUM!</v>
      </c>
      <c r="F21" s="5">
        <v>-0.20492684552540205</v>
      </c>
      <c r="G21" s="5">
        <v>-0.20492684552540205</v>
      </c>
      <c r="H21" s="5">
        <v>-0.20492684552540205</v>
      </c>
      <c r="I21" s="5">
        <v>-0.20492684552540205</v>
      </c>
    </row>
    <row r="22" spans="1:14" x14ac:dyDescent="0.25">
      <c r="A22" s="5" t="s">
        <v>71</v>
      </c>
      <c r="B22" s="5">
        <v>-0.54945274891786022</v>
      </c>
      <c r="C22" s="5">
        <v>0</v>
      </c>
      <c r="D22" s="5">
        <v>65535</v>
      </c>
      <c r="E22" s="5" t="e">
        <v>#NUM!</v>
      </c>
      <c r="F22" s="5">
        <v>-0.54945274891786022</v>
      </c>
      <c r="G22" s="5">
        <v>-0.54945274891786022</v>
      </c>
      <c r="H22" s="5">
        <v>-0.54945274891786022</v>
      </c>
      <c r="I22" s="5">
        <v>-0.54945274891786022</v>
      </c>
    </row>
    <row r="23" spans="1:14" x14ac:dyDescent="0.25">
      <c r="A23" s="5" t="s">
        <v>74</v>
      </c>
      <c r="B23" s="5">
        <v>5.8616414419046068</v>
      </c>
      <c r="C23" s="5">
        <v>0</v>
      </c>
      <c r="D23" s="5">
        <v>65535</v>
      </c>
      <c r="E23" s="5" t="e">
        <v>#NUM!</v>
      </c>
      <c r="F23" s="5">
        <v>5.8616414419046068</v>
      </c>
      <c r="G23" s="5">
        <v>5.8616414419046068</v>
      </c>
      <c r="H23" s="5">
        <v>5.8616414419046068</v>
      </c>
      <c r="I23" s="5">
        <v>5.8616414419046068</v>
      </c>
    </row>
    <row r="24" spans="1:14" ht="17.25" thickBot="1" x14ac:dyDescent="0.3">
      <c r="A24" s="6" t="s">
        <v>89</v>
      </c>
      <c r="B24" s="6">
        <v>-0.34891471977286831</v>
      </c>
      <c r="C24" s="6">
        <v>0</v>
      </c>
      <c r="D24" s="6">
        <v>65535</v>
      </c>
      <c r="E24" s="6" t="e">
        <v>#NUM!</v>
      </c>
      <c r="F24" s="6">
        <v>-0.34891471977286831</v>
      </c>
      <c r="G24" s="6">
        <v>-0.34891471977286831</v>
      </c>
      <c r="H24" s="6">
        <v>-0.34891471977286831</v>
      </c>
      <c r="I24" s="6">
        <v>-0.34891471977286831</v>
      </c>
    </row>
    <row r="29" spans="1:14" x14ac:dyDescent="0.25">
      <c r="N29" s="107">
        <f>'3'!M20</f>
        <v>5.1634132609253989</v>
      </c>
    </row>
    <row r="30" spans="1:14" x14ac:dyDescent="0.25">
      <c r="N30" s="107">
        <f>'3'!N20</f>
        <v>8.0283338580530383</v>
      </c>
    </row>
    <row r="31" spans="1:14" x14ac:dyDescent="0.25">
      <c r="N31" s="107">
        <f>'3'!O20</f>
        <v>-3.9046644456128949</v>
      </c>
    </row>
    <row r="32" spans="1:14" x14ac:dyDescent="0.25">
      <c r="N32" s="107">
        <f>'3'!P20</f>
        <v>6.0046207049365847</v>
      </c>
    </row>
    <row r="33" spans="14:14" x14ac:dyDescent="0.25">
      <c r="N33" s="107">
        <f>'3'!Q20</f>
        <v>-4.2797869595714246</v>
      </c>
    </row>
    <row r="34" spans="14:14" x14ac:dyDescent="0.25">
      <c r="N34" s="142">
        <f>'3'!R20</f>
        <v>8.8484347444410414</v>
      </c>
    </row>
    <row r="35" spans="14:14" x14ac:dyDescent="0.25">
      <c r="N35" s="142">
        <f>'3'!S20</f>
        <v>-11.175145023916301</v>
      </c>
    </row>
    <row r="36" spans="14:14" x14ac:dyDescent="0.25">
      <c r="N36" s="142">
        <f>'3'!T20</f>
        <v>3.505968400020552</v>
      </c>
    </row>
    <row r="37" spans="14:14" x14ac:dyDescent="0.25">
      <c r="N37" s="142">
        <f>'3'!U20</f>
        <v>0.94557012742281255</v>
      </c>
    </row>
    <row r="38" spans="14:14" x14ac:dyDescent="0.25">
      <c r="N38" s="142">
        <f>'3'!V20</f>
        <v>-1.2688340874221198</v>
      </c>
    </row>
    <row r="39" spans="14:14" x14ac:dyDescent="0.25">
      <c r="N39" s="142">
        <f>'3'!W20</f>
        <v>3.3591627205257928</v>
      </c>
    </row>
    <row r="40" spans="14:14" x14ac:dyDescent="0.25">
      <c r="N40" s="142">
        <f>'3'!X20</f>
        <v>5.1524947239258925</v>
      </c>
    </row>
    <row r="41" spans="14:14" x14ac:dyDescent="0.25">
      <c r="N41" s="142">
        <f>'3'!Y20</f>
        <v>-1.9376057938671765</v>
      </c>
    </row>
    <row r="42" spans="14:14" x14ac:dyDescent="0.25">
      <c r="N42" s="142">
        <f>'3'!Z20</f>
        <v>-1.0102392334310841</v>
      </c>
    </row>
    <row r="43" spans="14:14" x14ac:dyDescent="0.25">
      <c r="N43" s="142">
        <f>'3'!AA20</f>
        <v>8.2087871690129148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工作表1</vt:lpstr>
      <vt:lpstr>3</vt:lpstr>
      <vt:lpstr>工作表8</vt:lpstr>
      <vt:lpstr>4</vt:lpstr>
      <vt:lpstr>4-regression</vt:lpstr>
      <vt:lpstr>4-regression-SN</vt:lpstr>
      <vt:lpstr>工作表4</vt:lpstr>
      <vt:lpstr>2</vt:lpstr>
      <vt:lpstr>2_nominal SN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Chenyp</dc:creator>
  <cp:lastModifiedBy>SOLab</cp:lastModifiedBy>
  <dcterms:created xsi:type="dcterms:W3CDTF">2019-05-16T03:14:41Z</dcterms:created>
  <dcterms:modified xsi:type="dcterms:W3CDTF">2024-05-17T08:26:02Z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