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midterm\"/>
    </mc:Choice>
  </mc:AlternateContent>
  <xr:revisionPtr revIDLastSave="0" documentId="13_ncr:1_{3F0E3237-4222-42CA-B76B-2B477C6C20FF}" xr6:coauthVersionLast="47" xr6:coauthVersionMax="47" xr10:uidLastSave="{00000000-0000-0000-0000-000000000000}"/>
  <bookViews>
    <workbookView xWindow="-28920" yWindow="-120" windowWidth="29040" windowHeight="15720" firstSheet="2" activeTab="7" xr2:uid="{03A7210E-A3B0-4816-8CE8-4C2A42CCA94A}"/>
  </bookViews>
  <sheets>
    <sheet name="1-1,1-5" sheetId="1" r:id="rId1"/>
    <sheet name="1-2" sheetId="2" r:id="rId2"/>
    <sheet name="1-3,1-6" sheetId="3" r:id="rId3"/>
    <sheet name="1-4,1-7" sheetId="4" r:id="rId4"/>
    <sheet name="2-1" sheetId="5" r:id="rId5"/>
    <sheet name="2-1(modify)" sheetId="16" r:id="rId6"/>
    <sheet name="2-2,2-3" sheetId="6" r:id="rId7"/>
    <sheet name="2-4" sheetId="7" r:id="rId8"/>
    <sheet name="3-1,3-2" sheetId="8" r:id="rId9"/>
    <sheet name="3-3" sheetId="9" r:id="rId10"/>
    <sheet name="3-4" sheetId="10" r:id="rId11"/>
    <sheet name="3-5" sheetId="11" r:id="rId12"/>
    <sheet name="3-6" sheetId="12" r:id="rId13"/>
    <sheet name="3-7" sheetId="13" r:id="rId14"/>
    <sheet name="4-1" sheetId="14" r:id="rId15"/>
    <sheet name="4-2" sheetId="15" r:id="rId16"/>
  </sheets>
  <definedNames>
    <definedName name="solver_adj" localSheetId="6" hidden="1">'2-2,2-3'!$J$7</definedName>
    <definedName name="solver_cvg" localSheetId="6" hidden="1">0.0001</definedName>
    <definedName name="solver_drv" localSheetId="6" hidden="1">1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1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'2-2,2-3'!$J$8</definedName>
    <definedName name="solver_pre" localSheetId="6" hidden="1">0.000001</definedName>
    <definedName name="solver_rbv" localSheetId="6" hidden="1">1</definedName>
    <definedName name="solver_rlx" localSheetId="6" hidden="1">2</definedName>
    <definedName name="solver_rsd" localSheetId="6" hidden="1">0</definedName>
    <definedName name="solver_scl" localSheetId="6" hidden="1">1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3</definedName>
    <definedName name="solver_val" localSheetId="6" hidden="1">0.95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4" i="7" l="1"/>
  <c r="AJ5" i="7"/>
  <c r="AJ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3" i="7"/>
  <c r="AD3" i="7"/>
  <c r="M20" i="16"/>
  <c r="M19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2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2" i="16"/>
  <c r="K17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3" i="16"/>
  <c r="K2" i="16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2" i="16"/>
  <c r="I17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3" i="16"/>
  <c r="I2" i="16"/>
  <c r="F2" i="16"/>
  <c r="E2" i="16"/>
  <c r="D2" i="16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2" i="15"/>
  <c r="O23" i="15"/>
  <c r="O24" i="15"/>
  <c r="O25" i="15"/>
  <c r="O26" i="15"/>
  <c r="O27" i="15"/>
  <c r="O28" i="15"/>
  <c r="O29" i="15"/>
  <c r="O30" i="15"/>
  <c r="O31" i="15"/>
  <c r="O32" i="15"/>
  <c r="O33" i="15"/>
  <c r="O34" i="15"/>
  <c r="O35" i="15"/>
  <c r="O36" i="15"/>
  <c r="O37" i="15"/>
  <c r="O38" i="15"/>
  <c r="O39" i="15"/>
  <c r="O40" i="15"/>
  <c r="O41" i="15"/>
  <c r="O42" i="15"/>
  <c r="O43" i="15"/>
  <c r="O44" i="15"/>
  <c r="O45" i="15"/>
  <c r="O46" i="15"/>
  <c r="O47" i="15"/>
  <c r="O48" i="15"/>
  <c r="O49" i="15"/>
  <c r="O50" i="15"/>
  <c r="O51" i="15"/>
  <c r="O52" i="15"/>
  <c r="O53" i="15"/>
  <c r="O54" i="15"/>
  <c r="O55" i="15"/>
  <c r="O56" i="15"/>
  <c r="O57" i="15"/>
  <c r="O58" i="15"/>
  <c r="O59" i="15"/>
  <c r="O60" i="15"/>
  <c r="O61" i="15"/>
  <c r="O62" i="15"/>
  <c r="O63" i="15"/>
  <c r="O64" i="15"/>
  <c r="O65" i="15"/>
  <c r="O66" i="15"/>
  <c r="O67" i="15"/>
  <c r="O68" i="15"/>
  <c r="O69" i="15"/>
  <c r="O70" i="15"/>
  <c r="O71" i="15"/>
  <c r="O72" i="15"/>
  <c r="O73" i="15"/>
  <c r="O74" i="15"/>
  <c r="O75" i="15"/>
  <c r="O76" i="15"/>
  <c r="O77" i="15"/>
  <c r="O78" i="15"/>
  <c r="O79" i="15"/>
  <c r="O80" i="15"/>
  <c r="O81" i="15"/>
  <c r="O82" i="15"/>
  <c r="O83" i="15"/>
  <c r="O84" i="15"/>
  <c r="O85" i="15"/>
  <c r="O86" i="15"/>
  <c r="O87" i="15"/>
  <c r="O3" i="15"/>
  <c r="J6" i="14"/>
  <c r="L13" i="14"/>
  <c r="L11" i="14"/>
  <c r="M11" i="14"/>
  <c r="N11" i="14"/>
  <c r="O11" i="14"/>
  <c r="K11" i="14"/>
  <c r="N9" i="14"/>
  <c r="M9" i="14"/>
  <c r="L9" i="14"/>
  <c r="O9" i="14"/>
  <c r="D16" i="12"/>
  <c r="G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3" i="9"/>
  <c r="AB54" i="7"/>
  <c r="N87" i="7"/>
  <c r="N4" i="7" l="1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3" i="7"/>
  <c r="S3" i="5"/>
  <c r="X3" i="5"/>
  <c r="Y3" i="5" s="1"/>
  <c r="X80" i="5"/>
  <c r="Y80" i="5" s="1"/>
  <c r="X4" i="5"/>
  <c r="X79" i="5"/>
  <c r="S2" i="4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2" i="3"/>
  <c r="G1" i="4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2" i="3"/>
  <c r="K4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T3" i="2"/>
  <c r="T2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  <c r="I4" i="2"/>
  <c r="S22" i="15"/>
  <c r="S46" i="15"/>
  <c r="S70" i="15"/>
  <c r="I4" i="15"/>
  <c r="S4" i="15" s="1"/>
  <c r="I5" i="15"/>
  <c r="I6" i="15"/>
  <c r="I7" i="15"/>
  <c r="S7" i="15" s="1"/>
  <c r="I8" i="15"/>
  <c r="S8" i="15" s="1"/>
  <c r="I9" i="15"/>
  <c r="S9" i="15" s="1"/>
  <c r="I10" i="15"/>
  <c r="S10" i="15" s="1"/>
  <c r="I11" i="15"/>
  <c r="S11" i="15" s="1"/>
  <c r="I12" i="15"/>
  <c r="S12" i="15" s="1"/>
  <c r="I13" i="15"/>
  <c r="I14" i="15"/>
  <c r="S14" i="15" s="1"/>
  <c r="I15" i="15"/>
  <c r="S15" i="15" s="1"/>
  <c r="I16" i="15"/>
  <c r="S16" i="15" s="1"/>
  <c r="I17" i="15"/>
  <c r="S17" i="15" s="1"/>
  <c r="I18" i="15"/>
  <c r="S18" i="15" s="1"/>
  <c r="I19" i="15"/>
  <c r="S19" i="15" s="1"/>
  <c r="I20" i="15"/>
  <c r="I21" i="15"/>
  <c r="I22" i="15"/>
  <c r="I23" i="15"/>
  <c r="S23" i="15" s="1"/>
  <c r="I24" i="15"/>
  <c r="S24" i="15" s="1"/>
  <c r="I25" i="15"/>
  <c r="S25" i="15" s="1"/>
  <c r="I26" i="15"/>
  <c r="S26" i="15" s="1"/>
  <c r="I27" i="15"/>
  <c r="S27" i="15" s="1"/>
  <c r="I28" i="15"/>
  <c r="S28" i="15" s="1"/>
  <c r="I29" i="15"/>
  <c r="I30" i="15"/>
  <c r="I31" i="15"/>
  <c r="S31" i="15" s="1"/>
  <c r="I32" i="15"/>
  <c r="S32" i="15" s="1"/>
  <c r="I33" i="15"/>
  <c r="S33" i="15" s="1"/>
  <c r="I34" i="15"/>
  <c r="S34" i="15" s="1"/>
  <c r="I35" i="15"/>
  <c r="S35" i="15" s="1"/>
  <c r="I36" i="15"/>
  <c r="S36" i="15" s="1"/>
  <c r="I37" i="15"/>
  <c r="I38" i="15"/>
  <c r="S38" i="15" s="1"/>
  <c r="I39" i="15"/>
  <c r="S39" i="15" s="1"/>
  <c r="I40" i="15"/>
  <c r="S40" i="15" s="1"/>
  <c r="I41" i="15"/>
  <c r="S41" i="15" s="1"/>
  <c r="I42" i="15"/>
  <c r="S42" i="15" s="1"/>
  <c r="I43" i="15"/>
  <c r="S43" i="15" s="1"/>
  <c r="I44" i="15"/>
  <c r="S44" i="15" s="1"/>
  <c r="I45" i="15"/>
  <c r="I46" i="15"/>
  <c r="I47" i="15"/>
  <c r="S47" i="15" s="1"/>
  <c r="I48" i="15"/>
  <c r="S48" i="15" s="1"/>
  <c r="I49" i="15"/>
  <c r="S49" i="15" s="1"/>
  <c r="I50" i="15"/>
  <c r="S50" i="15" s="1"/>
  <c r="I51" i="15"/>
  <c r="S51" i="15" s="1"/>
  <c r="I52" i="15"/>
  <c r="S52" i="15" s="1"/>
  <c r="I53" i="15"/>
  <c r="I54" i="15"/>
  <c r="I55" i="15"/>
  <c r="S55" i="15" s="1"/>
  <c r="I56" i="15"/>
  <c r="S56" i="15" s="1"/>
  <c r="I57" i="15"/>
  <c r="S57" i="15" s="1"/>
  <c r="I58" i="15"/>
  <c r="S58" i="15" s="1"/>
  <c r="I59" i="15"/>
  <c r="S59" i="15" s="1"/>
  <c r="I60" i="15"/>
  <c r="S60" i="15" s="1"/>
  <c r="I61" i="15"/>
  <c r="I62" i="15"/>
  <c r="S62" i="15" s="1"/>
  <c r="I63" i="15"/>
  <c r="S63" i="15" s="1"/>
  <c r="I64" i="15"/>
  <c r="S64" i="15" s="1"/>
  <c r="I65" i="15"/>
  <c r="S65" i="15" s="1"/>
  <c r="I66" i="15"/>
  <c r="S66" i="15" s="1"/>
  <c r="I67" i="15"/>
  <c r="S67" i="15" s="1"/>
  <c r="I68" i="15"/>
  <c r="S68" i="15" s="1"/>
  <c r="I69" i="15"/>
  <c r="I70" i="15"/>
  <c r="I71" i="15"/>
  <c r="S71" i="15" s="1"/>
  <c r="I72" i="15"/>
  <c r="S72" i="15" s="1"/>
  <c r="I73" i="15"/>
  <c r="S73" i="15" s="1"/>
  <c r="I74" i="15"/>
  <c r="S74" i="15" s="1"/>
  <c r="I75" i="15"/>
  <c r="S75" i="15" s="1"/>
  <c r="I76" i="15"/>
  <c r="S76" i="15" s="1"/>
  <c r="I77" i="15"/>
  <c r="I78" i="15"/>
  <c r="S78" i="15" s="1"/>
  <c r="I79" i="15"/>
  <c r="S79" i="15" s="1"/>
  <c r="I80" i="15"/>
  <c r="S80" i="15" s="1"/>
  <c r="I81" i="15"/>
  <c r="S81" i="15" s="1"/>
  <c r="I82" i="15"/>
  <c r="S82" i="15" s="1"/>
  <c r="I83" i="15"/>
  <c r="S83" i="15" s="1"/>
  <c r="I84" i="15"/>
  <c r="S84" i="15" s="1"/>
  <c r="I85" i="15"/>
  <c r="I86" i="15"/>
  <c r="S86" i="15" s="1"/>
  <c r="I87" i="15"/>
  <c r="S87" i="15" s="1"/>
  <c r="H4" i="15"/>
  <c r="H5" i="15"/>
  <c r="H6" i="15"/>
  <c r="T6" i="15" s="1"/>
  <c r="H7" i="15"/>
  <c r="N7" i="15" s="1"/>
  <c r="H8" i="15"/>
  <c r="M8" i="15" s="1"/>
  <c r="H9" i="15"/>
  <c r="H10" i="15"/>
  <c r="H11" i="15"/>
  <c r="H12" i="15"/>
  <c r="H13" i="15"/>
  <c r="H14" i="15"/>
  <c r="T14" i="15" s="1"/>
  <c r="H15" i="15"/>
  <c r="N15" i="15" s="1"/>
  <c r="H16" i="15"/>
  <c r="M16" i="15" s="1"/>
  <c r="H17" i="15"/>
  <c r="H18" i="15"/>
  <c r="H19" i="15"/>
  <c r="H20" i="15"/>
  <c r="H21" i="15"/>
  <c r="H22" i="15"/>
  <c r="T22" i="15" s="1"/>
  <c r="H23" i="15"/>
  <c r="N23" i="15" s="1"/>
  <c r="H24" i="15"/>
  <c r="M24" i="15" s="1"/>
  <c r="H25" i="15"/>
  <c r="H26" i="15"/>
  <c r="H27" i="15"/>
  <c r="H28" i="15"/>
  <c r="H29" i="15"/>
  <c r="H30" i="15"/>
  <c r="T30" i="15" s="1"/>
  <c r="H31" i="15"/>
  <c r="N31" i="15" s="1"/>
  <c r="H32" i="15"/>
  <c r="M32" i="15" s="1"/>
  <c r="H33" i="15"/>
  <c r="H34" i="15"/>
  <c r="H35" i="15"/>
  <c r="H36" i="15"/>
  <c r="T36" i="15" s="1"/>
  <c r="H37" i="15"/>
  <c r="H38" i="15"/>
  <c r="T38" i="15" s="1"/>
  <c r="H39" i="15"/>
  <c r="N39" i="15" s="1"/>
  <c r="H40" i="15"/>
  <c r="M40" i="15" s="1"/>
  <c r="H41" i="15"/>
  <c r="H42" i="15"/>
  <c r="H43" i="15"/>
  <c r="H44" i="15"/>
  <c r="H45" i="15"/>
  <c r="H46" i="15"/>
  <c r="T46" i="15" s="1"/>
  <c r="H47" i="15"/>
  <c r="N47" i="15" s="1"/>
  <c r="H48" i="15"/>
  <c r="M48" i="15" s="1"/>
  <c r="H49" i="15"/>
  <c r="H50" i="15"/>
  <c r="H51" i="15"/>
  <c r="H52" i="15"/>
  <c r="H53" i="15"/>
  <c r="H54" i="15"/>
  <c r="T54" i="15" s="1"/>
  <c r="H55" i="15"/>
  <c r="N55" i="15" s="1"/>
  <c r="H56" i="15"/>
  <c r="M56" i="15" s="1"/>
  <c r="H57" i="15"/>
  <c r="H58" i="15"/>
  <c r="H59" i="15"/>
  <c r="H60" i="15"/>
  <c r="T60" i="15" s="1"/>
  <c r="H61" i="15"/>
  <c r="H62" i="15"/>
  <c r="T62" i="15" s="1"/>
  <c r="H63" i="15"/>
  <c r="N63" i="15" s="1"/>
  <c r="H64" i="15"/>
  <c r="M64" i="15" s="1"/>
  <c r="H65" i="15"/>
  <c r="H66" i="15"/>
  <c r="H67" i="15"/>
  <c r="H68" i="15"/>
  <c r="H69" i="15"/>
  <c r="H70" i="15"/>
  <c r="T70" i="15" s="1"/>
  <c r="H71" i="15"/>
  <c r="N71" i="15" s="1"/>
  <c r="H72" i="15"/>
  <c r="M72" i="15" s="1"/>
  <c r="H73" i="15"/>
  <c r="H74" i="15"/>
  <c r="H75" i="15"/>
  <c r="H76" i="15"/>
  <c r="H77" i="15"/>
  <c r="H78" i="15"/>
  <c r="T78" i="15" s="1"/>
  <c r="H79" i="15"/>
  <c r="N79" i="15" s="1"/>
  <c r="H80" i="15"/>
  <c r="M80" i="15" s="1"/>
  <c r="H81" i="15"/>
  <c r="H82" i="15"/>
  <c r="H83" i="15"/>
  <c r="H84" i="15"/>
  <c r="H85" i="15"/>
  <c r="H86" i="15"/>
  <c r="T86" i="15" s="1"/>
  <c r="H87" i="15"/>
  <c r="N87" i="15" s="1"/>
  <c r="H3" i="15"/>
  <c r="I3" i="15"/>
  <c r="I14" i="14"/>
  <c r="H14" i="14"/>
  <c r="G14" i="14"/>
  <c r="I12" i="14"/>
  <c r="H12" i="14"/>
  <c r="S1" i="14" a="1"/>
  <c r="S1" i="14" s="1"/>
  <c r="I1" i="14" a="1"/>
  <c r="I1" i="14" s="1"/>
  <c r="G15" i="14"/>
  <c r="G9" i="14"/>
  <c r="G8" i="14"/>
  <c r="G3" i="14"/>
  <c r="G1" i="14"/>
  <c r="AB4" i="13"/>
  <c r="AB5" i="13"/>
  <c r="AB6" i="13"/>
  <c r="AB7" i="13"/>
  <c r="AB8" i="13"/>
  <c r="AB9" i="13"/>
  <c r="AB10" i="13"/>
  <c r="AB11" i="13"/>
  <c r="AB12" i="13"/>
  <c r="AB13" i="13"/>
  <c r="AB14" i="13"/>
  <c r="AB15" i="13"/>
  <c r="AB16" i="13"/>
  <c r="AB17" i="13"/>
  <c r="AB18" i="13"/>
  <c r="AB19" i="13"/>
  <c r="AB20" i="13"/>
  <c r="AB21" i="13"/>
  <c r="AB22" i="13"/>
  <c r="AB23" i="13"/>
  <c r="AB24" i="13"/>
  <c r="AB25" i="13"/>
  <c r="AB26" i="13"/>
  <c r="AB27" i="13"/>
  <c r="AB28" i="13"/>
  <c r="AB29" i="13"/>
  <c r="AB30" i="13"/>
  <c r="AB31" i="13"/>
  <c r="AB32" i="13"/>
  <c r="AB33" i="13"/>
  <c r="AB34" i="13"/>
  <c r="AB35" i="13"/>
  <c r="AB36" i="13"/>
  <c r="AB37" i="13"/>
  <c r="AB38" i="13"/>
  <c r="AB39" i="13"/>
  <c r="AB40" i="13"/>
  <c r="AB41" i="13"/>
  <c r="AB42" i="13"/>
  <c r="AB3" i="13"/>
  <c r="AA4" i="13"/>
  <c r="AA5" i="13"/>
  <c r="AA6" i="13"/>
  <c r="AA7" i="13"/>
  <c r="AA8" i="13"/>
  <c r="AA9" i="13"/>
  <c r="AA10" i="13"/>
  <c r="AA11" i="13"/>
  <c r="AA12" i="13"/>
  <c r="AA13" i="13"/>
  <c r="AA14" i="13"/>
  <c r="AA15" i="13"/>
  <c r="AA16" i="13"/>
  <c r="AA17" i="13"/>
  <c r="AA18" i="13"/>
  <c r="AA19" i="13"/>
  <c r="AA20" i="13"/>
  <c r="AA21" i="13"/>
  <c r="AA22" i="13"/>
  <c r="AA23" i="13"/>
  <c r="AA24" i="13"/>
  <c r="AA25" i="13"/>
  <c r="AA26" i="13"/>
  <c r="AA27" i="13"/>
  <c r="AA28" i="13"/>
  <c r="AA29" i="13"/>
  <c r="AA30" i="13"/>
  <c r="AA31" i="13"/>
  <c r="AA32" i="13"/>
  <c r="AA33" i="13"/>
  <c r="AA34" i="13"/>
  <c r="AA35" i="13"/>
  <c r="AA36" i="13"/>
  <c r="AA37" i="13"/>
  <c r="AA38" i="13"/>
  <c r="AA39" i="13"/>
  <c r="AA40" i="13"/>
  <c r="AA41" i="13"/>
  <c r="AA42" i="13"/>
  <c r="AA3" i="13"/>
  <c r="Z5" i="13"/>
  <c r="Z6" i="13"/>
  <c r="Z7" i="13"/>
  <c r="Z8" i="13"/>
  <c r="Z9" i="13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Z35" i="13" s="1"/>
  <c r="Z36" i="13" s="1"/>
  <c r="Z37" i="13" s="1"/>
  <c r="Z38" i="13" s="1"/>
  <c r="Z39" i="13" s="1"/>
  <c r="Z40" i="13" s="1"/>
  <c r="Z41" i="13" s="1"/>
  <c r="Z42" i="13" s="1"/>
  <c r="Z4" i="13"/>
  <c r="Z3" i="13"/>
  <c r="AA1" i="13"/>
  <c r="R5" i="13"/>
  <c r="R4" i="13"/>
  <c r="R3" i="13"/>
  <c r="R2" i="13"/>
  <c r="R1" i="13"/>
  <c r="P4" i="13"/>
  <c r="P5" i="13"/>
  <c r="P6" i="13"/>
  <c r="P7" i="13"/>
  <c r="P8" i="13"/>
  <c r="P9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Y3" i="13"/>
  <c r="Y4" i="13"/>
  <c r="Y5" i="13"/>
  <c r="Y6" i="13"/>
  <c r="Y7" i="13"/>
  <c r="Y8" i="13"/>
  <c r="Y9" i="13"/>
  <c r="Y10" i="13"/>
  <c r="Y11" i="13"/>
  <c r="Y12" i="13"/>
  <c r="Y13" i="13"/>
  <c r="Y14" i="13"/>
  <c r="Y15" i="13"/>
  <c r="Y16" i="13"/>
  <c r="Y17" i="13"/>
  <c r="Y18" i="13"/>
  <c r="Y19" i="13"/>
  <c r="Y20" i="13"/>
  <c r="Y21" i="13"/>
  <c r="Y22" i="13"/>
  <c r="Y23" i="13"/>
  <c r="Y24" i="13"/>
  <c r="Y25" i="13"/>
  <c r="Y26" i="13"/>
  <c r="Y27" i="13"/>
  <c r="Y28" i="13"/>
  <c r="Y29" i="13"/>
  <c r="Y30" i="13"/>
  <c r="Y31" i="13"/>
  <c r="Y32" i="13"/>
  <c r="Y33" i="13"/>
  <c r="Y34" i="13"/>
  <c r="Y35" i="13"/>
  <c r="Y36" i="13"/>
  <c r="Y37" i="13"/>
  <c r="Y38" i="13"/>
  <c r="Y39" i="13"/>
  <c r="Y40" i="13"/>
  <c r="Y41" i="13"/>
  <c r="Y42" i="13"/>
  <c r="P3" i="13"/>
  <c r="E9" i="12"/>
  <c r="E10" i="12"/>
  <c r="E11" i="12"/>
  <c r="E8" i="12"/>
  <c r="T5" i="1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" i="11"/>
  <c r="B3" i="13"/>
  <c r="AH45" i="11"/>
  <c r="Y45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B4" i="12"/>
  <c r="AB5" i="12"/>
  <c r="AB6" i="12"/>
  <c r="AB7" i="12"/>
  <c r="AB8" i="12"/>
  <c r="AB9" i="12"/>
  <c r="AB10" i="12"/>
  <c r="AB11" i="12"/>
  <c r="AB12" i="12"/>
  <c r="AB13" i="12"/>
  <c r="AB14" i="12"/>
  <c r="AB15" i="12"/>
  <c r="AB16" i="12"/>
  <c r="AB17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C3" i="12"/>
  <c r="AB3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" i="12"/>
  <c r="AA3" i="12"/>
  <c r="X5" i="12"/>
  <c r="X6" i="12"/>
  <c r="X7" i="12"/>
  <c r="X8" i="12"/>
  <c r="X9" i="12"/>
  <c r="X10" i="12"/>
  <c r="X11" i="12" s="1"/>
  <c r="X12" i="12" s="1"/>
  <c r="X13" i="12"/>
  <c r="X14" i="12"/>
  <c r="X15" i="12"/>
  <c r="X16" i="12"/>
  <c r="X17" i="12"/>
  <c r="X18" i="12"/>
  <c r="X19" i="12"/>
  <c r="X20" i="12"/>
  <c r="X21" i="12"/>
  <c r="X22" i="12"/>
  <c r="X23" i="12"/>
  <c r="X24" i="12"/>
  <c r="X25" i="12"/>
  <c r="X26" i="12"/>
  <c r="X27" i="12"/>
  <c r="X28" i="12"/>
  <c r="X29" i="12"/>
  <c r="X30" i="12"/>
  <c r="X31" i="12"/>
  <c r="X32" i="12"/>
  <c r="X33" i="12"/>
  <c r="X34" i="12"/>
  <c r="X35" i="12"/>
  <c r="X36" i="12"/>
  <c r="X37" i="12"/>
  <c r="X38" i="12"/>
  <c r="X39" i="12"/>
  <c r="X40" i="12"/>
  <c r="X41" i="12"/>
  <c r="X42" i="12"/>
  <c r="X4" i="12"/>
  <c r="X3" i="12"/>
  <c r="Z5" i="12"/>
  <c r="Z6" i="12"/>
  <c r="Z7" i="12"/>
  <c r="Z8" i="12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" i="12"/>
  <c r="Z3" i="12"/>
  <c r="Y4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3" i="12"/>
  <c r="W5" i="12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" i="12"/>
  <c r="W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18" i="12"/>
  <c r="V19" i="12"/>
  <c r="V20" i="12"/>
  <c r="V21" i="12"/>
  <c r="V22" i="12"/>
  <c r="V23" i="12"/>
  <c r="V24" i="12"/>
  <c r="V25" i="12"/>
  <c r="V26" i="12"/>
  <c r="V27" i="12"/>
  <c r="V28" i="12"/>
  <c r="V29" i="12"/>
  <c r="V30" i="12"/>
  <c r="V31" i="12"/>
  <c r="V32" i="12"/>
  <c r="V33" i="12"/>
  <c r="V34" i="12"/>
  <c r="V35" i="12"/>
  <c r="V36" i="12"/>
  <c r="V37" i="12"/>
  <c r="V38" i="12"/>
  <c r="V39" i="12"/>
  <c r="V40" i="12"/>
  <c r="V41" i="12"/>
  <c r="V42" i="12"/>
  <c r="V3" i="12"/>
  <c r="N7" i="12"/>
  <c r="N6" i="12"/>
  <c r="N4" i="12"/>
  <c r="N3" i="12"/>
  <c r="N2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L3" i="12"/>
  <c r="D9" i="12"/>
  <c r="D10" i="12"/>
  <c r="D11" i="12"/>
  <c r="D8" i="12"/>
  <c r="T67" i="15" l="1"/>
  <c r="T85" i="15"/>
  <c r="T77" i="15"/>
  <c r="T69" i="15"/>
  <c r="T61" i="15"/>
  <c r="T53" i="15"/>
  <c r="T45" i="15"/>
  <c r="T37" i="15"/>
  <c r="T29" i="15"/>
  <c r="T21" i="15"/>
  <c r="T13" i="15"/>
  <c r="T5" i="15"/>
  <c r="T75" i="15"/>
  <c r="T51" i="15"/>
  <c r="T27" i="15"/>
  <c r="T11" i="15"/>
  <c r="T20" i="15"/>
  <c r="T83" i="15"/>
  <c r="T59" i="15"/>
  <c r="T35" i="15"/>
  <c r="T19" i="15"/>
  <c r="T44" i="15"/>
  <c r="T64" i="15"/>
  <c r="T40" i="15"/>
  <c r="T84" i="15"/>
  <c r="T80" i="15"/>
  <c r="T16" i="15"/>
  <c r="M84" i="15"/>
  <c r="M76" i="15"/>
  <c r="M68" i="15"/>
  <c r="M60" i="15"/>
  <c r="M52" i="15"/>
  <c r="M44" i="15"/>
  <c r="M36" i="15"/>
  <c r="M28" i="15"/>
  <c r="M20" i="15"/>
  <c r="M12" i="15"/>
  <c r="M4" i="15"/>
  <c r="T76" i="15"/>
  <c r="T56" i="15"/>
  <c r="T12" i="15"/>
  <c r="T24" i="15"/>
  <c r="S20" i="15"/>
  <c r="T52" i="15"/>
  <c r="T32" i="15"/>
  <c r="N86" i="15"/>
  <c r="N78" i="15"/>
  <c r="N70" i="15"/>
  <c r="N62" i="15"/>
  <c r="N54" i="15"/>
  <c r="N46" i="15"/>
  <c r="N38" i="15"/>
  <c r="N30" i="15"/>
  <c r="N22" i="15"/>
  <c r="N14" i="15"/>
  <c r="N6" i="15"/>
  <c r="T72" i="15"/>
  <c r="T28" i="15"/>
  <c r="T8" i="15"/>
  <c r="T43" i="15"/>
  <c r="S6" i="15"/>
  <c r="T68" i="15"/>
  <c r="T48" i="15"/>
  <c r="T4" i="15"/>
  <c r="J82" i="15"/>
  <c r="T82" i="15"/>
  <c r="J74" i="15"/>
  <c r="T74" i="15"/>
  <c r="J66" i="15"/>
  <c r="T66" i="15"/>
  <c r="J58" i="15"/>
  <c r="T58" i="15"/>
  <c r="J50" i="15"/>
  <c r="T50" i="15"/>
  <c r="J42" i="15"/>
  <c r="T42" i="15"/>
  <c r="J34" i="15"/>
  <c r="T34" i="15"/>
  <c r="J26" i="15"/>
  <c r="T26" i="15"/>
  <c r="J18" i="15"/>
  <c r="T18" i="15"/>
  <c r="J10" i="15"/>
  <c r="T10" i="15"/>
  <c r="S54" i="15"/>
  <c r="J3" i="15"/>
  <c r="S3" i="15"/>
  <c r="T3" i="15"/>
  <c r="M81" i="15"/>
  <c r="T81" i="15"/>
  <c r="M73" i="15"/>
  <c r="T73" i="15"/>
  <c r="M65" i="15"/>
  <c r="T65" i="15"/>
  <c r="M57" i="15"/>
  <c r="T57" i="15"/>
  <c r="M49" i="15"/>
  <c r="T49" i="15"/>
  <c r="M41" i="15"/>
  <c r="T41" i="15"/>
  <c r="M33" i="15"/>
  <c r="T33" i="15"/>
  <c r="M25" i="15"/>
  <c r="T25" i="15"/>
  <c r="M17" i="15"/>
  <c r="T17" i="15"/>
  <c r="M9" i="15"/>
  <c r="T9" i="15"/>
  <c r="N85" i="15"/>
  <c r="S85" i="15"/>
  <c r="N77" i="15"/>
  <c r="S77" i="15"/>
  <c r="N69" i="15"/>
  <c r="S69" i="15"/>
  <c r="N61" i="15"/>
  <c r="S61" i="15"/>
  <c r="N53" i="15"/>
  <c r="S53" i="15"/>
  <c r="N45" i="15"/>
  <c r="S45" i="15"/>
  <c r="N37" i="15"/>
  <c r="S37" i="15"/>
  <c r="N29" i="15"/>
  <c r="S29" i="15"/>
  <c r="J21" i="15"/>
  <c r="N21" i="15"/>
  <c r="S21" i="15"/>
  <c r="J13" i="15"/>
  <c r="S13" i="15"/>
  <c r="J5" i="15"/>
  <c r="S5" i="15"/>
  <c r="S30" i="15"/>
  <c r="N3" i="15"/>
  <c r="N84" i="15"/>
  <c r="N76" i="15"/>
  <c r="N68" i="15"/>
  <c r="W68" i="15" s="1"/>
  <c r="N60" i="15"/>
  <c r="N52" i="15"/>
  <c r="N44" i="15"/>
  <c r="N36" i="15"/>
  <c r="N28" i="15"/>
  <c r="N20" i="15"/>
  <c r="N12" i="15"/>
  <c r="N4" i="15"/>
  <c r="W4" i="15" s="1"/>
  <c r="M7" i="15"/>
  <c r="W7" i="15" s="1"/>
  <c r="N13" i="15"/>
  <c r="T87" i="15"/>
  <c r="T79" i="15"/>
  <c r="T71" i="15"/>
  <c r="T63" i="15"/>
  <c r="T55" i="15"/>
  <c r="T47" i="15"/>
  <c r="T39" i="15"/>
  <c r="T31" i="15"/>
  <c r="T23" i="15"/>
  <c r="T15" i="15"/>
  <c r="T7" i="15"/>
  <c r="N5" i="15"/>
  <c r="J83" i="15"/>
  <c r="J75" i="15"/>
  <c r="J67" i="15"/>
  <c r="J59" i="15"/>
  <c r="J51" i="15"/>
  <c r="J43" i="15"/>
  <c r="J35" i="15"/>
  <c r="J27" i="15"/>
  <c r="J19" i="15"/>
  <c r="J11" i="15"/>
  <c r="J87" i="15"/>
  <c r="M79" i="15"/>
  <c r="W79" i="15" s="1"/>
  <c r="M71" i="15"/>
  <c r="W71" i="15" s="1"/>
  <c r="J63" i="15"/>
  <c r="M55" i="15"/>
  <c r="W55" i="15" s="1"/>
  <c r="M47" i="15"/>
  <c r="W47" i="15" s="1"/>
  <c r="J39" i="15"/>
  <c r="M31" i="15"/>
  <c r="W31" i="15" s="1"/>
  <c r="M23" i="15"/>
  <c r="W23" i="15" s="1"/>
  <c r="J15" i="15"/>
  <c r="J7" i="15"/>
  <c r="J57" i="15"/>
  <c r="M87" i="15"/>
  <c r="W87" i="15" s="1"/>
  <c r="N35" i="15"/>
  <c r="J56" i="15"/>
  <c r="J32" i="15"/>
  <c r="M86" i="15"/>
  <c r="M78" i="15"/>
  <c r="M62" i="15"/>
  <c r="M54" i="15"/>
  <c r="M46" i="15"/>
  <c r="M38" i="15"/>
  <c r="M30" i="15"/>
  <c r="M22" i="15"/>
  <c r="W22" i="15" s="1"/>
  <c r="M14" i="15"/>
  <c r="M6" i="15"/>
  <c r="N82" i="15"/>
  <c r="N74" i="15"/>
  <c r="N66" i="15"/>
  <c r="N58" i="15"/>
  <c r="N26" i="15"/>
  <c r="N18" i="15"/>
  <c r="N10" i="15"/>
  <c r="J65" i="15"/>
  <c r="J41" i="15"/>
  <c r="J25" i="15"/>
  <c r="J9" i="15"/>
  <c r="M63" i="15"/>
  <c r="W63" i="15" s="1"/>
  <c r="M39" i="15"/>
  <c r="W39" i="15" s="1"/>
  <c r="M15" i="15"/>
  <c r="W15" i="15" s="1"/>
  <c r="N83" i="15"/>
  <c r="N59" i="15"/>
  <c r="N43" i="15"/>
  <c r="N11" i="15"/>
  <c r="J80" i="15"/>
  <c r="J48" i="15"/>
  <c r="J40" i="15"/>
  <c r="J8" i="15"/>
  <c r="M70" i="15"/>
  <c r="N34" i="15"/>
  <c r="J79" i="15"/>
  <c r="J71" i="15"/>
  <c r="J55" i="15"/>
  <c r="J47" i="15"/>
  <c r="J31" i="15"/>
  <c r="J23" i="15"/>
  <c r="M85" i="15"/>
  <c r="M77" i="15"/>
  <c r="M69" i="15"/>
  <c r="M61" i="15"/>
  <c r="M53" i="15"/>
  <c r="M45" i="15"/>
  <c r="M37" i="15"/>
  <c r="W37" i="15" s="1"/>
  <c r="M29" i="15"/>
  <c r="M21" i="15"/>
  <c r="M13" i="15"/>
  <c r="W13" i="15" s="1"/>
  <c r="M5" i="15"/>
  <c r="N81" i="15"/>
  <c r="N73" i="15"/>
  <c r="N65" i="15"/>
  <c r="N57" i="15"/>
  <c r="N49" i="15"/>
  <c r="N41" i="15"/>
  <c r="N33" i="15"/>
  <c r="N25" i="15"/>
  <c r="N17" i="15"/>
  <c r="N9" i="15"/>
  <c r="J81" i="15"/>
  <c r="J49" i="15"/>
  <c r="J17" i="15"/>
  <c r="N75" i="15"/>
  <c r="N19" i="15"/>
  <c r="J64" i="15"/>
  <c r="J16" i="15"/>
  <c r="N42" i="15"/>
  <c r="J86" i="15"/>
  <c r="J78" i="15"/>
  <c r="J70" i="15"/>
  <c r="J62" i="15"/>
  <c r="J54" i="15"/>
  <c r="J46" i="15"/>
  <c r="J38" i="15"/>
  <c r="J30" i="15"/>
  <c r="J22" i="15"/>
  <c r="J14" i="15"/>
  <c r="J6" i="15"/>
  <c r="N80" i="15"/>
  <c r="W80" i="15" s="1"/>
  <c r="N72" i="15"/>
  <c r="W72" i="15" s="1"/>
  <c r="N64" i="15"/>
  <c r="W64" i="15" s="1"/>
  <c r="N56" i="15"/>
  <c r="W56" i="15" s="1"/>
  <c r="N48" i="15"/>
  <c r="W48" i="15" s="1"/>
  <c r="N40" i="15"/>
  <c r="W40" i="15" s="1"/>
  <c r="N32" i="15"/>
  <c r="W32" i="15" s="1"/>
  <c r="N24" i="15"/>
  <c r="W24" i="15" s="1"/>
  <c r="N16" i="15"/>
  <c r="W16" i="15" s="1"/>
  <c r="N8" i="15"/>
  <c r="W8" i="15" s="1"/>
  <c r="J73" i="15"/>
  <c r="J33" i="15"/>
  <c r="N67" i="15"/>
  <c r="N51" i="15"/>
  <c r="N27" i="15"/>
  <c r="J72" i="15"/>
  <c r="J24" i="15"/>
  <c r="N50" i="15"/>
  <c r="J85" i="15"/>
  <c r="J77" i="15"/>
  <c r="J69" i="15"/>
  <c r="J61" i="15"/>
  <c r="J53" i="15"/>
  <c r="J45" i="15"/>
  <c r="J37" i="15"/>
  <c r="J29" i="15"/>
  <c r="M83" i="15"/>
  <c r="M75" i="15"/>
  <c r="M67" i="15"/>
  <c r="W67" i="15" s="1"/>
  <c r="M59" i="15"/>
  <c r="M51" i="15"/>
  <c r="M43" i="15"/>
  <c r="M35" i="15"/>
  <c r="M27" i="15"/>
  <c r="M19" i="15"/>
  <c r="M11" i="15"/>
  <c r="W11" i="15" s="1"/>
  <c r="J84" i="15"/>
  <c r="J76" i="15"/>
  <c r="J68" i="15"/>
  <c r="J60" i="15"/>
  <c r="J52" i="15"/>
  <c r="J44" i="15"/>
  <c r="J36" i="15"/>
  <c r="J28" i="15"/>
  <c r="J20" i="15"/>
  <c r="J12" i="15"/>
  <c r="J4" i="15"/>
  <c r="M82" i="15"/>
  <c r="M74" i="15"/>
  <c r="M66" i="15"/>
  <c r="M58" i="15"/>
  <c r="M50" i="15"/>
  <c r="M42" i="15"/>
  <c r="W42" i="15" s="1"/>
  <c r="M34" i="15"/>
  <c r="M26" i="15"/>
  <c r="W26" i="15" s="1"/>
  <c r="M18" i="15"/>
  <c r="W18" i="15" s="1"/>
  <c r="M10" i="15"/>
  <c r="W10" i="15" s="1"/>
  <c r="M3" i="15"/>
  <c r="G5" i="14"/>
  <c r="G4" i="14"/>
  <c r="G11" i="14" s="1"/>
  <c r="B4" i="13"/>
  <c r="B5" i="12"/>
  <c r="B1" i="12"/>
  <c r="B2" i="12" s="1"/>
  <c r="B4" i="12" s="1"/>
  <c r="AM8" i="11" a="1"/>
  <c r="AM8" i="11" s="1"/>
  <c r="AM5" i="11" a="1"/>
  <c r="AM5" i="11" s="1"/>
  <c r="AL4" i="11"/>
  <c r="AL5" i="11"/>
  <c r="AL6" i="11"/>
  <c r="AL7" i="11"/>
  <c r="AL8" i="11"/>
  <c r="AL9" i="11"/>
  <c r="AL10" i="11"/>
  <c r="AL11" i="11"/>
  <c r="AL12" i="11"/>
  <c r="AL13" i="11"/>
  <c r="AL14" i="11"/>
  <c r="AL15" i="11"/>
  <c r="AL16" i="11"/>
  <c r="AL17" i="11"/>
  <c r="AL18" i="11"/>
  <c r="AL19" i="11"/>
  <c r="AL20" i="11"/>
  <c r="AL21" i="11"/>
  <c r="AL22" i="11"/>
  <c r="AL23" i="11"/>
  <c r="AL24" i="11"/>
  <c r="AL25" i="11"/>
  <c r="AL26" i="11"/>
  <c r="AL27" i="11"/>
  <c r="AL28" i="11"/>
  <c r="AL29" i="11"/>
  <c r="AL30" i="11"/>
  <c r="AL31" i="11"/>
  <c r="AL32" i="11"/>
  <c r="AL33" i="11"/>
  <c r="AL34" i="11"/>
  <c r="AL35" i="11"/>
  <c r="AL36" i="11"/>
  <c r="AL37" i="11"/>
  <c r="AL38" i="11"/>
  <c r="AL39" i="11"/>
  <c r="AL40" i="11"/>
  <c r="AL41" i="11"/>
  <c r="AL42" i="11"/>
  <c r="AK4" i="11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L3" i="11"/>
  <c r="AK3" i="11"/>
  <c r="AJ5" i="11"/>
  <c r="AJ6" i="11"/>
  <c r="AJ7" i="11"/>
  <c r="AJ8" i="11"/>
  <c r="AJ9" i="11"/>
  <c r="AJ10" i="11"/>
  <c r="AJ11" i="11"/>
  <c r="AJ12" i="11"/>
  <c r="AJ13" i="11"/>
  <c r="AJ14" i="11"/>
  <c r="AJ15" i="11"/>
  <c r="AJ16" i="11"/>
  <c r="AJ17" i="11"/>
  <c r="AJ18" i="11"/>
  <c r="AJ19" i="11"/>
  <c r="AJ20" i="11"/>
  <c r="AJ21" i="11"/>
  <c r="AJ22" i="11"/>
  <c r="AJ23" i="11"/>
  <c r="AJ24" i="11"/>
  <c r="AJ25" i="11"/>
  <c r="AJ26" i="11"/>
  <c r="AJ27" i="11"/>
  <c r="AJ28" i="11"/>
  <c r="AJ29" i="11"/>
  <c r="AJ30" i="11"/>
  <c r="AJ31" i="11"/>
  <c r="AJ32" i="11"/>
  <c r="AJ33" i="11"/>
  <c r="AJ34" i="11"/>
  <c r="AJ35" i="11"/>
  <c r="AJ36" i="11"/>
  <c r="AJ37" i="11"/>
  <c r="AJ38" i="11"/>
  <c r="AJ39" i="11"/>
  <c r="AJ40" i="11"/>
  <c r="AJ41" i="11"/>
  <c r="AJ42" i="11"/>
  <c r="AJ4" i="11"/>
  <c r="AJ3" i="11"/>
  <c r="AG5" i="11"/>
  <c r="AG6" i="11"/>
  <c r="AG7" i="11"/>
  <c r="AG8" i="11"/>
  <c r="AG9" i="11"/>
  <c r="AG10" i="11" s="1"/>
  <c r="AG11" i="11" s="1"/>
  <c r="AG12" i="11" s="1"/>
  <c r="AG13" i="11" s="1"/>
  <c r="AG14" i="11" s="1"/>
  <c r="AG15" i="11" s="1"/>
  <c r="AG16" i="11" s="1"/>
  <c r="AG17" i="11" s="1"/>
  <c r="AG18" i="11" s="1"/>
  <c r="AG19" i="11" s="1"/>
  <c r="AG20" i="11"/>
  <c r="AG21" i="11"/>
  <c r="AG22" i="11"/>
  <c r="AG23" i="11"/>
  <c r="AG24" i="11"/>
  <c r="AG25" i="11"/>
  <c r="AG26" i="11"/>
  <c r="AG27" i="11"/>
  <c r="AG28" i="11"/>
  <c r="AG29" i="11"/>
  <c r="AG30" i="11"/>
  <c r="AG31" i="11"/>
  <c r="AG32" i="11"/>
  <c r="AG33" i="11"/>
  <c r="AG34" i="11"/>
  <c r="AG35" i="11"/>
  <c r="AG36" i="11"/>
  <c r="AG37" i="11"/>
  <c r="AG38" i="11"/>
  <c r="AG39" i="11"/>
  <c r="AG40" i="11"/>
  <c r="AG41" i="11"/>
  <c r="AG42" i="11"/>
  <c r="AG4" i="11"/>
  <c r="AG3" i="11"/>
  <c r="AI5" i="11"/>
  <c r="AI6" i="11"/>
  <c r="AI7" i="11"/>
  <c r="AI8" i="11"/>
  <c r="AI9" i="11"/>
  <c r="AI10" i="11"/>
  <c r="AI11" i="11" s="1"/>
  <c r="AI12" i="11" s="1"/>
  <c r="AI13" i="11" s="1"/>
  <c r="AI14" i="11" s="1"/>
  <c r="AI15" i="11" s="1"/>
  <c r="AI16" i="11" s="1"/>
  <c r="AI17" i="11" s="1"/>
  <c r="AI18" i="11" s="1"/>
  <c r="AI19" i="11" s="1"/>
  <c r="AI20" i="11" s="1"/>
  <c r="AI21" i="11" s="1"/>
  <c r="AI22" i="11" s="1"/>
  <c r="AI23" i="11" s="1"/>
  <c r="AI24" i="11" s="1"/>
  <c r="AI25" i="11" s="1"/>
  <c r="AI26" i="11" s="1"/>
  <c r="AI27" i="11" s="1"/>
  <c r="AI28" i="11" s="1"/>
  <c r="AI29" i="11" s="1"/>
  <c r="AI30" i="11" s="1"/>
  <c r="AI31" i="11" s="1"/>
  <c r="AI32" i="11" s="1"/>
  <c r="AI33" i="11" s="1"/>
  <c r="AI34" i="11" s="1"/>
  <c r="AI35" i="11" s="1"/>
  <c r="AI36" i="11" s="1"/>
  <c r="AI37" i="11" s="1"/>
  <c r="AI38" i="11" s="1"/>
  <c r="AI39" i="11" s="1"/>
  <c r="AI40" i="11" s="1"/>
  <c r="AI41" i="11" s="1"/>
  <c r="AI42" i="11" s="1"/>
  <c r="AI4" i="11"/>
  <c r="AI3" i="11"/>
  <c r="AF5" i="11"/>
  <c r="AF6" i="11"/>
  <c r="AF7" i="11"/>
  <c r="AF8" i="11"/>
  <c r="AF9" i="11"/>
  <c r="AF10" i="11"/>
  <c r="AF11" i="11" s="1"/>
  <c r="AF12" i="11" s="1"/>
  <c r="AF13" i="11" s="1"/>
  <c r="AF14" i="11" s="1"/>
  <c r="AF15" i="11" s="1"/>
  <c r="AF16" i="11" s="1"/>
  <c r="AF17" i="11" s="1"/>
  <c r="AF18" i="11" s="1"/>
  <c r="AF19" i="11" s="1"/>
  <c r="AF20" i="11" s="1"/>
  <c r="AF21" i="11" s="1"/>
  <c r="AF22" i="11" s="1"/>
  <c r="AF23" i="11" s="1"/>
  <c r="AF24" i="11" s="1"/>
  <c r="AF25" i="11" s="1"/>
  <c r="AF26" i="11" s="1"/>
  <c r="AF27" i="11" s="1"/>
  <c r="AF28" i="11" s="1"/>
  <c r="AF29" i="11" s="1"/>
  <c r="AF30" i="11" s="1"/>
  <c r="AF31" i="11" s="1"/>
  <c r="AF32" i="11" s="1"/>
  <c r="AF33" i="11" s="1"/>
  <c r="AF34" i="11" s="1"/>
  <c r="AF35" i="11" s="1"/>
  <c r="AF36" i="11" s="1"/>
  <c r="AF37" i="11" s="1"/>
  <c r="AF38" i="11" s="1"/>
  <c r="AF39" i="11" s="1"/>
  <c r="AF40" i="11" s="1"/>
  <c r="AF41" i="11" s="1"/>
  <c r="AF42" i="11" s="1"/>
  <c r="AF4" i="11"/>
  <c r="AF3" i="11"/>
  <c r="AH4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E4" i="11"/>
  <c r="AE5" i="11"/>
  <c r="AE6" i="11"/>
  <c r="AE7" i="11"/>
  <c r="AE8" i="11"/>
  <c r="AE9" i="11"/>
  <c r="AE10" i="11"/>
  <c r="AE11" i="11"/>
  <c r="AE12" i="11"/>
  <c r="AE13" i="11"/>
  <c r="AE14" i="11"/>
  <c r="AE15" i="11"/>
  <c r="AE16" i="11"/>
  <c r="AE17" i="11"/>
  <c r="AE18" i="11"/>
  <c r="AE19" i="11"/>
  <c r="AE20" i="11"/>
  <c r="AE21" i="11"/>
  <c r="AE22" i="11"/>
  <c r="AE23" i="11"/>
  <c r="AE24" i="11"/>
  <c r="AE25" i="11"/>
  <c r="AE26" i="11"/>
  <c r="AE27" i="11"/>
  <c r="AE28" i="11"/>
  <c r="AE29" i="11"/>
  <c r="AE30" i="11"/>
  <c r="AE31" i="11"/>
  <c r="AE32" i="11"/>
  <c r="AE33" i="11"/>
  <c r="AE34" i="11"/>
  <c r="AE35" i="11"/>
  <c r="AE36" i="11"/>
  <c r="AE37" i="11"/>
  <c r="AE38" i="11"/>
  <c r="AE39" i="11"/>
  <c r="AE40" i="11"/>
  <c r="AE41" i="11"/>
  <c r="AE42" i="11"/>
  <c r="AH3" i="11"/>
  <c r="AE3" i="11"/>
  <c r="K25" i="11"/>
  <c r="K16" i="11"/>
  <c r="W54" i="15" l="1"/>
  <c r="W36" i="15"/>
  <c r="W33" i="15"/>
  <c r="W69" i="15"/>
  <c r="W62" i="15"/>
  <c r="W44" i="15"/>
  <c r="W27" i="15"/>
  <c r="W77" i="15"/>
  <c r="W6" i="15"/>
  <c r="W78" i="15"/>
  <c r="W52" i="15"/>
  <c r="W20" i="15"/>
  <c r="W84" i="15"/>
  <c r="W29" i="15"/>
  <c r="W46" i="15"/>
  <c r="W28" i="15"/>
  <c r="W61" i="15"/>
  <c r="W83" i="15"/>
  <c r="W65" i="15"/>
  <c r="W12" i="15"/>
  <c r="W76" i="15"/>
  <c r="W58" i="15"/>
  <c r="W19" i="15"/>
  <c r="W5" i="15"/>
  <c r="W66" i="15"/>
  <c r="W74" i="15"/>
  <c r="W35" i="15"/>
  <c r="W21" i="15"/>
  <c r="W70" i="15"/>
  <c r="W14" i="15"/>
  <c r="W86" i="15"/>
  <c r="W60" i="15"/>
  <c r="W3" i="15"/>
  <c r="W51" i="15"/>
  <c r="W30" i="15"/>
  <c r="W38" i="15"/>
  <c r="W25" i="15"/>
  <c r="W57" i="15"/>
  <c r="U58" i="15"/>
  <c r="V58" i="15"/>
  <c r="V73" i="15"/>
  <c r="U73" i="15"/>
  <c r="U13" i="15"/>
  <c r="V13" i="15"/>
  <c r="U44" i="15"/>
  <c r="V44" i="15"/>
  <c r="U29" i="15"/>
  <c r="V29" i="15"/>
  <c r="U54" i="15"/>
  <c r="V54" i="15"/>
  <c r="V65" i="15"/>
  <c r="U65" i="15"/>
  <c r="V15" i="15"/>
  <c r="U15" i="15"/>
  <c r="U59" i="15"/>
  <c r="V59" i="15"/>
  <c r="U26" i="15"/>
  <c r="V26" i="15"/>
  <c r="U52" i="15"/>
  <c r="V52" i="15"/>
  <c r="U37" i="15"/>
  <c r="V37" i="15"/>
  <c r="V24" i="15"/>
  <c r="U24" i="15"/>
  <c r="U62" i="15"/>
  <c r="V62" i="15"/>
  <c r="W85" i="15"/>
  <c r="V87" i="15"/>
  <c r="U87" i="15"/>
  <c r="U67" i="15"/>
  <c r="V67" i="15"/>
  <c r="V3" i="15"/>
  <c r="U3" i="15"/>
  <c r="U36" i="15"/>
  <c r="V36" i="15"/>
  <c r="U85" i="15"/>
  <c r="V85" i="15"/>
  <c r="V64" i="15"/>
  <c r="U64" i="15"/>
  <c r="U60" i="15"/>
  <c r="V60" i="15"/>
  <c r="U45" i="15"/>
  <c r="V45" i="15"/>
  <c r="U70" i="15"/>
  <c r="V70" i="15"/>
  <c r="V23" i="15"/>
  <c r="U23" i="15"/>
  <c r="U11" i="15"/>
  <c r="V11" i="15"/>
  <c r="U34" i="15"/>
  <c r="V34" i="15"/>
  <c r="V49" i="15"/>
  <c r="U49" i="15"/>
  <c r="V56" i="15"/>
  <c r="U56" i="15"/>
  <c r="U83" i="15"/>
  <c r="V83" i="15"/>
  <c r="W34" i="15"/>
  <c r="U12" i="15"/>
  <c r="V12" i="15"/>
  <c r="U76" i="15"/>
  <c r="V76" i="15"/>
  <c r="W59" i="15"/>
  <c r="U61" i="15"/>
  <c r="V61" i="15"/>
  <c r="U22" i="15"/>
  <c r="V22" i="15"/>
  <c r="U86" i="15"/>
  <c r="V86" i="15"/>
  <c r="V81" i="15"/>
  <c r="U81" i="15"/>
  <c r="W45" i="15"/>
  <c r="V47" i="15"/>
  <c r="U47" i="15"/>
  <c r="V48" i="15"/>
  <c r="U48" i="15"/>
  <c r="U27" i="15"/>
  <c r="V27" i="15"/>
  <c r="W9" i="15"/>
  <c r="W41" i="15"/>
  <c r="W73" i="15"/>
  <c r="U10" i="15"/>
  <c r="V10" i="15"/>
  <c r="U42" i="15"/>
  <c r="V42" i="15"/>
  <c r="U74" i="15"/>
  <c r="V74" i="15"/>
  <c r="W82" i="15"/>
  <c r="V72" i="15"/>
  <c r="U72" i="15"/>
  <c r="V17" i="15"/>
  <c r="U17" i="15"/>
  <c r="U21" i="15"/>
  <c r="V21" i="15"/>
  <c r="U53" i="15"/>
  <c r="V53" i="15"/>
  <c r="U19" i="15"/>
  <c r="V19" i="15"/>
  <c r="U20" i="15"/>
  <c r="V20" i="15"/>
  <c r="U84" i="15"/>
  <c r="V84" i="15"/>
  <c r="U69" i="15"/>
  <c r="V69" i="15"/>
  <c r="U30" i="15"/>
  <c r="V30" i="15"/>
  <c r="W53" i="15"/>
  <c r="V55" i="15"/>
  <c r="U55" i="15"/>
  <c r="V80" i="15"/>
  <c r="U80" i="15"/>
  <c r="V9" i="15"/>
  <c r="U9" i="15"/>
  <c r="U35" i="15"/>
  <c r="V35" i="15"/>
  <c r="U5" i="15"/>
  <c r="V5" i="15"/>
  <c r="U46" i="15"/>
  <c r="V46" i="15"/>
  <c r="V79" i="15"/>
  <c r="U79" i="15"/>
  <c r="V41" i="15"/>
  <c r="U41" i="15"/>
  <c r="V7" i="15"/>
  <c r="U7" i="15"/>
  <c r="U51" i="15"/>
  <c r="V51" i="15"/>
  <c r="W43" i="15"/>
  <c r="U6" i="15"/>
  <c r="V6" i="15"/>
  <c r="V8" i="15"/>
  <c r="U8" i="15"/>
  <c r="V32" i="15"/>
  <c r="U32" i="15"/>
  <c r="U75" i="15"/>
  <c r="V75" i="15"/>
  <c r="U66" i="15"/>
  <c r="V66" i="15"/>
  <c r="U4" i="15"/>
  <c r="V4" i="15"/>
  <c r="U68" i="15"/>
  <c r="V68" i="15"/>
  <c r="U14" i="15"/>
  <c r="V14" i="15"/>
  <c r="U78" i="15"/>
  <c r="V78" i="15"/>
  <c r="V31" i="15"/>
  <c r="U31" i="15"/>
  <c r="V40" i="15"/>
  <c r="U40" i="15"/>
  <c r="V39" i="15"/>
  <c r="U39" i="15"/>
  <c r="W50" i="15"/>
  <c r="U28" i="15"/>
  <c r="V28" i="15"/>
  <c r="W75" i="15"/>
  <c r="U77" i="15"/>
  <c r="V77" i="15"/>
  <c r="V33" i="15"/>
  <c r="U33" i="15"/>
  <c r="U38" i="15"/>
  <c r="V38" i="15"/>
  <c r="V16" i="15"/>
  <c r="U16" i="15"/>
  <c r="V71" i="15"/>
  <c r="U71" i="15"/>
  <c r="V25" i="15"/>
  <c r="U25" i="15"/>
  <c r="V57" i="15"/>
  <c r="U57" i="15"/>
  <c r="V63" i="15"/>
  <c r="U63" i="15"/>
  <c r="U43" i="15"/>
  <c r="V43" i="15"/>
  <c r="W17" i="15"/>
  <c r="W49" i="15"/>
  <c r="W81" i="15"/>
  <c r="U18" i="15"/>
  <c r="V18" i="15"/>
  <c r="U50" i="15"/>
  <c r="V50" i="15"/>
  <c r="U82" i="15"/>
  <c r="V82" i="15"/>
  <c r="G13" i="14"/>
  <c r="G12" i="14"/>
  <c r="B5" i="13"/>
  <c r="C11" i="13"/>
  <c r="C8" i="13"/>
  <c r="C9" i="13"/>
  <c r="C10" i="13"/>
  <c r="K5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G3" i="11"/>
  <c r="AO6" i="10" a="1"/>
  <c r="AO6" i="10" s="1"/>
  <c r="AO1" i="10" a="1"/>
  <c r="AO1" i="10" s="1"/>
  <c r="AN4" i="10"/>
  <c r="AN5" i="10"/>
  <c r="AN6" i="10"/>
  <c r="AN7" i="10"/>
  <c r="AN8" i="10"/>
  <c r="AN9" i="10"/>
  <c r="AN10" i="10"/>
  <c r="AN11" i="10"/>
  <c r="AN12" i="10"/>
  <c r="AN13" i="10"/>
  <c r="AN14" i="10"/>
  <c r="AN15" i="10"/>
  <c r="AN16" i="10"/>
  <c r="AN17" i="10"/>
  <c r="AN18" i="10"/>
  <c r="AN19" i="10"/>
  <c r="AN20" i="10"/>
  <c r="AN21" i="10"/>
  <c r="AN22" i="10"/>
  <c r="AN23" i="10"/>
  <c r="AN24" i="10"/>
  <c r="AN25" i="10"/>
  <c r="AN26" i="10"/>
  <c r="AN27" i="10"/>
  <c r="AN28" i="10"/>
  <c r="AN29" i="10"/>
  <c r="AN30" i="10"/>
  <c r="AN31" i="10"/>
  <c r="AN32" i="10"/>
  <c r="AN33" i="10"/>
  <c r="AN34" i="10"/>
  <c r="AN35" i="10"/>
  <c r="AN36" i="10"/>
  <c r="AN37" i="10"/>
  <c r="AN38" i="10"/>
  <c r="AN39" i="10"/>
  <c r="AN40" i="10"/>
  <c r="AN41" i="10"/>
  <c r="AN42" i="10"/>
  <c r="AM4" i="10"/>
  <c r="AM5" i="10"/>
  <c r="AM6" i="10"/>
  <c r="AM7" i="10"/>
  <c r="AM8" i="10"/>
  <c r="AM9" i="10"/>
  <c r="AM10" i="10"/>
  <c r="AM11" i="10"/>
  <c r="AM12" i="10"/>
  <c r="AM13" i="10"/>
  <c r="AM14" i="10"/>
  <c r="AM15" i="10"/>
  <c r="AM16" i="10"/>
  <c r="AM17" i="10"/>
  <c r="AM18" i="10"/>
  <c r="AM19" i="10"/>
  <c r="AM20" i="10"/>
  <c r="AM21" i="10"/>
  <c r="AM22" i="10"/>
  <c r="AM23" i="10"/>
  <c r="AM24" i="10"/>
  <c r="AM25" i="10"/>
  <c r="AM26" i="10"/>
  <c r="AM27" i="10"/>
  <c r="AM28" i="10"/>
  <c r="AM29" i="10"/>
  <c r="AM30" i="10"/>
  <c r="AM31" i="10"/>
  <c r="AM32" i="10"/>
  <c r="AM33" i="10"/>
  <c r="AM34" i="10"/>
  <c r="AM35" i="10"/>
  <c r="AM36" i="10"/>
  <c r="AM37" i="10"/>
  <c r="AM38" i="10"/>
  <c r="AM39" i="10"/>
  <c r="AM40" i="10"/>
  <c r="AM41" i="10"/>
  <c r="AM42" i="10"/>
  <c r="AL4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J4" i="10"/>
  <c r="AJ5" i="10"/>
  <c r="AJ6" i="10"/>
  <c r="AJ7" i="10"/>
  <c r="AJ8" i="10"/>
  <c r="AJ9" i="10"/>
  <c r="AJ10" i="10"/>
  <c r="AJ11" i="10"/>
  <c r="AJ12" i="10"/>
  <c r="AJ13" i="10"/>
  <c r="AJ14" i="10"/>
  <c r="AJ15" i="10"/>
  <c r="AJ16" i="10"/>
  <c r="AJ17" i="10"/>
  <c r="AJ18" i="10"/>
  <c r="AJ19" i="10"/>
  <c r="AJ20" i="10"/>
  <c r="AJ21" i="10"/>
  <c r="AJ22" i="10"/>
  <c r="AJ23" i="10"/>
  <c r="AJ24" i="10"/>
  <c r="AJ25" i="10"/>
  <c r="AJ26" i="10"/>
  <c r="AJ27" i="10"/>
  <c r="AJ28" i="10"/>
  <c r="AJ29" i="10"/>
  <c r="AJ30" i="10"/>
  <c r="AJ31" i="10"/>
  <c r="AJ32" i="10"/>
  <c r="AJ33" i="10"/>
  <c r="AJ34" i="10"/>
  <c r="AJ35" i="10"/>
  <c r="AJ36" i="10"/>
  <c r="AJ37" i="10"/>
  <c r="AJ38" i="10"/>
  <c r="AJ39" i="10"/>
  <c r="AJ40" i="10"/>
  <c r="AJ41" i="10"/>
  <c r="AJ42" i="10"/>
  <c r="AI4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2" i="10"/>
  <c r="AH33" i="10"/>
  <c r="AH34" i="10"/>
  <c r="AH35" i="10"/>
  <c r="AH36" i="10"/>
  <c r="AH37" i="10"/>
  <c r="AH38" i="10"/>
  <c r="AH39" i="10"/>
  <c r="AH40" i="10"/>
  <c r="AH41" i="10"/>
  <c r="AH42" i="10"/>
  <c r="AN3" i="10"/>
  <c r="AM3" i="10"/>
  <c r="AL3" i="10"/>
  <c r="AJ3" i="10"/>
  <c r="AI3" i="10"/>
  <c r="AH3" i="10"/>
  <c r="AK4" i="10"/>
  <c r="AK5" i="10"/>
  <c r="AK6" i="10"/>
  <c r="AK7" i="10"/>
  <c r="AK8" i="10"/>
  <c r="AK9" i="10"/>
  <c r="AK10" i="10"/>
  <c r="AK11" i="10"/>
  <c r="AK12" i="10"/>
  <c r="AK13" i="10"/>
  <c r="AK14" i="10"/>
  <c r="AK15" i="10"/>
  <c r="AK16" i="10"/>
  <c r="AK17" i="10"/>
  <c r="AK18" i="10"/>
  <c r="AK19" i="10"/>
  <c r="AK20" i="10"/>
  <c r="AK21" i="10"/>
  <c r="AK22" i="10"/>
  <c r="AK23" i="10"/>
  <c r="AK24" i="10"/>
  <c r="AK25" i="10"/>
  <c r="AK26" i="10"/>
  <c r="AK27" i="10"/>
  <c r="AK28" i="10"/>
  <c r="AK29" i="10"/>
  <c r="AK30" i="10"/>
  <c r="AK31" i="10"/>
  <c r="AK32" i="10"/>
  <c r="AK33" i="10"/>
  <c r="AK34" i="10"/>
  <c r="AK35" i="10"/>
  <c r="AK36" i="10"/>
  <c r="AK37" i="10"/>
  <c r="AK38" i="10"/>
  <c r="AK39" i="10"/>
  <c r="AK40" i="10"/>
  <c r="AK41" i="10"/>
  <c r="AK42" i="10"/>
  <c r="AK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S27" i="10" s="1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3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O27" i="10" s="1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AG3" i="10"/>
  <c r="AG4" i="10"/>
  <c r="AG5" i="10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41" i="10"/>
  <c r="AG42" i="10"/>
  <c r="G3" i="10"/>
  <c r="B4" i="1"/>
  <c r="A4" i="1"/>
  <c r="I30" i="9"/>
  <c r="S2" i="9"/>
  <c r="S3" i="9" s="1"/>
  <c r="S1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2" i="9"/>
  <c r="C6" i="9"/>
  <c r="C7" i="9" s="1"/>
  <c r="C5" i="9"/>
  <c r="F28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3" i="9"/>
  <c r="F2" i="9"/>
  <c r="C4" i="9"/>
  <c r="C3" i="9"/>
  <c r="F29" i="9" l="1"/>
  <c r="D8" i="13"/>
  <c r="D9" i="13"/>
  <c r="D10" i="13"/>
  <c r="D11" i="13"/>
  <c r="K23" i="11"/>
  <c r="K24" i="11" s="1"/>
  <c r="K22" i="11"/>
  <c r="K14" i="11"/>
  <c r="K15" i="11" s="1"/>
  <c r="K13" i="11"/>
  <c r="K3" i="11"/>
  <c r="K4" i="11" s="1"/>
  <c r="K7" i="11" s="1"/>
  <c r="K6" i="11" s="1"/>
  <c r="H46" i="11" s="1"/>
  <c r="K2" i="11"/>
  <c r="O41" i="10" a="1"/>
  <c r="O41" i="10" s="1"/>
  <c r="S28" i="10" a="1"/>
  <c r="S28" i="10" s="1"/>
  <c r="S3" i="10" a="1"/>
  <c r="S3" i="10" s="1"/>
  <c r="S19" i="10" a="1"/>
  <c r="S19" i="10" s="1"/>
  <c r="O28" i="10" a="1"/>
  <c r="O28" i="10" s="1"/>
  <c r="O3" i="10" a="1"/>
  <c r="O3" i="10" s="1"/>
  <c r="S41" i="10" a="1"/>
  <c r="S41" i="10" s="1"/>
  <c r="O19" i="10" a="1"/>
  <c r="O19" i="10" s="1"/>
  <c r="Z2" i="10"/>
  <c r="Z5" i="10" s="1"/>
  <c r="X3" i="10"/>
  <c r="X4" i="10" s="1"/>
  <c r="Z3" i="10"/>
  <c r="Z4" i="10" s="1"/>
  <c r="X2" i="10"/>
  <c r="X5" i="10" s="1"/>
  <c r="C8" i="9"/>
  <c r="T1" i="9" s="1" a="1"/>
  <c r="T1" i="9" s="1"/>
  <c r="S5" i="9"/>
  <c r="S4" i="9"/>
  <c r="M21" i="9" s="1"/>
  <c r="C9" i="9"/>
  <c r="M78" i="9" l="1"/>
  <c r="M86" i="9"/>
  <c r="F9" i="13"/>
  <c r="E9" i="13"/>
  <c r="E10" i="13"/>
  <c r="I10" i="13" s="1"/>
  <c r="F10" i="13"/>
  <c r="E8" i="13"/>
  <c r="F8" i="13"/>
  <c r="F11" i="13"/>
  <c r="E11" i="13"/>
  <c r="I11" i="13" s="1"/>
  <c r="K29" i="11"/>
  <c r="K27" i="11"/>
  <c r="K20" i="11"/>
  <c r="K18" i="11"/>
  <c r="S14" i="11"/>
  <c r="S22" i="11"/>
  <c r="S19" i="11"/>
  <c r="S27" i="11"/>
  <c r="S36" i="11"/>
  <c r="S33" i="11"/>
  <c r="S10" i="11"/>
  <c r="S39" i="11"/>
  <c r="S18" i="11"/>
  <c r="S25" i="11"/>
  <c r="S8" i="11"/>
  <c r="S41" i="11"/>
  <c r="S16" i="11"/>
  <c r="S5" i="11"/>
  <c r="S13" i="11"/>
  <c r="S42" i="11"/>
  <c r="S4" i="11"/>
  <c r="S21" i="11"/>
  <c r="S7" i="11"/>
  <c r="S24" i="11"/>
  <c r="S35" i="11"/>
  <c r="S38" i="11"/>
  <c r="S9" i="11"/>
  <c r="S12" i="11"/>
  <c r="S29" i="11"/>
  <c r="S15" i="11"/>
  <c r="S32" i="11"/>
  <c r="S26" i="11"/>
  <c r="S30" i="11"/>
  <c r="S34" i="11"/>
  <c r="S3" i="11"/>
  <c r="T3" i="11" s="1"/>
  <c r="S20" i="11"/>
  <c r="S37" i="11"/>
  <c r="S23" i="11"/>
  <c r="S40" i="11"/>
  <c r="S11" i="11"/>
  <c r="S28" i="11"/>
  <c r="S6" i="11"/>
  <c r="S31" i="11"/>
  <c r="S17" i="11"/>
  <c r="H42" i="11"/>
  <c r="H37" i="11"/>
  <c r="H6" i="11"/>
  <c r="H47" i="11"/>
  <c r="H45" i="11"/>
  <c r="H14" i="11"/>
  <c r="H16" i="11"/>
  <c r="H24" i="11"/>
  <c r="H10" i="11"/>
  <c r="H22" i="11"/>
  <c r="H28" i="11"/>
  <c r="H33" i="11"/>
  <c r="H44" i="11"/>
  <c r="H15" i="11"/>
  <c r="H40" i="11"/>
  <c r="H43" i="11"/>
  <c r="H13" i="11"/>
  <c r="H30" i="11"/>
  <c r="H20" i="11"/>
  <c r="H25" i="11"/>
  <c r="H36" i="11"/>
  <c r="H7" i="11"/>
  <c r="H27" i="11"/>
  <c r="H32" i="11"/>
  <c r="H35" i="11"/>
  <c r="H23" i="11"/>
  <c r="H31" i="11"/>
  <c r="H3" i="11"/>
  <c r="I3" i="11" s="1"/>
  <c r="H26" i="11"/>
  <c r="H4" i="11"/>
  <c r="H21" i="11"/>
  <c r="H38" i="11"/>
  <c r="H17" i="11"/>
  <c r="H8" i="11"/>
  <c r="H11" i="11"/>
  <c r="H19" i="11"/>
  <c r="H41" i="11"/>
  <c r="H5" i="11"/>
  <c r="H18" i="11"/>
  <c r="H39" i="11"/>
  <c r="H9" i="11"/>
  <c r="H34" i="11"/>
  <c r="H12" i="11"/>
  <c r="H29" i="11"/>
  <c r="K10" i="11"/>
  <c r="K11" i="11"/>
  <c r="Z10" i="10"/>
  <c r="Z11" i="10" s="1"/>
  <c r="Z9" i="10"/>
  <c r="Z12" i="10" s="1"/>
  <c r="X9" i="10"/>
  <c r="X12" i="10" s="1"/>
  <c r="X10" i="10"/>
  <c r="X11" i="10" s="1"/>
  <c r="L4" i="10"/>
  <c r="L12" i="10"/>
  <c r="L20" i="10"/>
  <c r="L28" i="10"/>
  <c r="L36" i="10"/>
  <c r="L44" i="10"/>
  <c r="L5" i="10"/>
  <c r="L13" i="10"/>
  <c r="L21" i="10"/>
  <c r="L29" i="10"/>
  <c r="L37" i="10"/>
  <c r="L45" i="10"/>
  <c r="L6" i="10"/>
  <c r="L14" i="10"/>
  <c r="L22" i="10"/>
  <c r="L30" i="10"/>
  <c r="L38" i="10"/>
  <c r="L15" i="10"/>
  <c r="L31" i="10"/>
  <c r="L47" i="10"/>
  <c r="L8" i="10"/>
  <c r="L16" i="10"/>
  <c r="L24" i="10"/>
  <c r="L32" i="10"/>
  <c r="L40" i="10"/>
  <c r="L9" i="10"/>
  <c r="L17" i="10"/>
  <c r="L25" i="10"/>
  <c r="L33" i="10"/>
  <c r="L41" i="10"/>
  <c r="L11" i="10"/>
  <c r="L27" i="10"/>
  <c r="L43" i="10"/>
  <c r="L46" i="10"/>
  <c r="L7" i="10"/>
  <c r="L10" i="10"/>
  <c r="L18" i="10"/>
  <c r="L26" i="10"/>
  <c r="L34" i="10"/>
  <c r="L42" i="10"/>
  <c r="L3" i="10"/>
  <c r="L19" i="10"/>
  <c r="L35" i="10"/>
  <c r="L23" i="10"/>
  <c r="L39" i="10"/>
  <c r="Z7" i="10"/>
  <c r="I4" i="10"/>
  <c r="I12" i="10"/>
  <c r="I20" i="10"/>
  <c r="I28" i="10"/>
  <c r="I36" i="10"/>
  <c r="I44" i="10"/>
  <c r="I5" i="10"/>
  <c r="I13" i="10"/>
  <c r="I21" i="10"/>
  <c r="I29" i="10"/>
  <c r="I37" i="10"/>
  <c r="I45" i="10"/>
  <c r="I6" i="10"/>
  <c r="I14" i="10"/>
  <c r="I22" i="10"/>
  <c r="I30" i="10"/>
  <c r="I38" i="10"/>
  <c r="I46" i="10"/>
  <c r="I7" i="10"/>
  <c r="I15" i="10"/>
  <c r="I23" i="10"/>
  <c r="I31" i="10"/>
  <c r="I39" i="10"/>
  <c r="I47" i="10"/>
  <c r="I16" i="10"/>
  <c r="I24" i="10"/>
  <c r="I32" i="10"/>
  <c r="I40" i="10"/>
  <c r="I8" i="10"/>
  <c r="I9" i="10"/>
  <c r="I17" i="10"/>
  <c r="I25" i="10"/>
  <c r="I33" i="10"/>
  <c r="I41" i="10"/>
  <c r="I10" i="10"/>
  <c r="I18" i="10"/>
  <c r="I26" i="10"/>
  <c r="I34" i="10"/>
  <c r="I42" i="10"/>
  <c r="I3" i="10"/>
  <c r="I11" i="10"/>
  <c r="I19" i="10"/>
  <c r="I27" i="10"/>
  <c r="I35" i="10"/>
  <c r="I43" i="10"/>
  <c r="X7" i="10"/>
  <c r="Z6" i="10"/>
  <c r="X6" i="10"/>
  <c r="M34" i="9"/>
  <c r="M28" i="9"/>
  <c r="M8" i="9"/>
  <c r="M38" i="9"/>
  <c r="M40" i="9"/>
  <c r="M70" i="9"/>
  <c r="M35" i="9"/>
  <c r="M85" i="9"/>
  <c r="M55" i="9"/>
  <c r="M2" i="9"/>
  <c r="H8" i="9"/>
  <c r="I8" i="9" s="1"/>
  <c r="H24" i="9"/>
  <c r="I24" i="9" s="1"/>
  <c r="H14" i="9"/>
  <c r="I14" i="9" s="1"/>
  <c r="H23" i="9"/>
  <c r="I23" i="9" s="1"/>
  <c r="H9" i="9"/>
  <c r="I9" i="9" s="1"/>
  <c r="H17" i="9"/>
  <c r="I17" i="9" s="1"/>
  <c r="H25" i="9"/>
  <c r="I25" i="9" s="1"/>
  <c r="H22" i="9"/>
  <c r="I22" i="9" s="1"/>
  <c r="H15" i="9"/>
  <c r="I15" i="9" s="1"/>
  <c r="H10" i="9"/>
  <c r="I10" i="9" s="1"/>
  <c r="H18" i="9"/>
  <c r="I18" i="9" s="1"/>
  <c r="H26" i="9"/>
  <c r="I26" i="9" s="1"/>
  <c r="H6" i="9"/>
  <c r="I6" i="9" s="1"/>
  <c r="G28" i="9"/>
  <c r="H11" i="9"/>
  <c r="I11" i="9" s="1"/>
  <c r="H19" i="9"/>
  <c r="I19" i="9" s="1"/>
  <c r="H27" i="9"/>
  <c r="I27" i="9" s="1"/>
  <c r="H4" i="9"/>
  <c r="I4" i="9" s="1"/>
  <c r="H12" i="9"/>
  <c r="I12" i="9" s="1"/>
  <c r="H20" i="9"/>
  <c r="I20" i="9" s="1"/>
  <c r="H3" i="9"/>
  <c r="I3" i="9" s="1"/>
  <c r="H7" i="9"/>
  <c r="I7" i="9" s="1"/>
  <c r="H5" i="9"/>
  <c r="I5" i="9" s="1"/>
  <c r="H13" i="9"/>
  <c r="I13" i="9" s="1"/>
  <c r="H21" i="9"/>
  <c r="I21" i="9" s="1"/>
  <c r="M65" i="9"/>
  <c r="M23" i="9"/>
  <c r="M73" i="9"/>
  <c r="M6" i="9"/>
  <c r="M31" i="9"/>
  <c r="M50" i="9"/>
  <c r="M30" i="9"/>
  <c r="M39" i="9"/>
  <c r="M58" i="9"/>
  <c r="L79" i="9"/>
  <c r="M32" i="9"/>
  <c r="M67" i="9"/>
  <c r="M62" i="9"/>
  <c r="M47" i="9"/>
  <c r="M22" i="9"/>
  <c r="L51" i="9"/>
  <c r="L36" i="9"/>
  <c r="L13" i="9"/>
  <c r="L8" i="9"/>
  <c r="L38" i="9"/>
  <c r="L30" i="9"/>
  <c r="L74" i="9"/>
  <c r="L78" i="9"/>
  <c r="L59" i="9"/>
  <c r="L52" i="9"/>
  <c r="L21" i="9"/>
  <c r="L16" i="9"/>
  <c r="L17" i="9"/>
  <c r="L15" i="9"/>
  <c r="L82" i="9"/>
  <c r="M60" i="9"/>
  <c r="L86" i="9"/>
  <c r="M14" i="9"/>
  <c r="L33" i="9"/>
  <c r="M17" i="9"/>
  <c r="M72" i="9"/>
  <c r="L67" i="9"/>
  <c r="L68" i="9"/>
  <c r="L29" i="9"/>
  <c r="L24" i="9"/>
  <c r="L25" i="9"/>
  <c r="L10" i="9"/>
  <c r="M3" i="9"/>
  <c r="L46" i="9"/>
  <c r="L7" i="9"/>
  <c r="M25" i="9"/>
  <c r="M81" i="9"/>
  <c r="M80" i="9"/>
  <c r="L75" i="9"/>
  <c r="M26" i="9"/>
  <c r="L37" i="9"/>
  <c r="L48" i="9"/>
  <c r="L41" i="9"/>
  <c r="L18" i="9"/>
  <c r="M27" i="9"/>
  <c r="L47" i="9"/>
  <c r="L55" i="9"/>
  <c r="L20" i="9"/>
  <c r="L3" i="9"/>
  <c r="L83" i="9"/>
  <c r="L45" i="9"/>
  <c r="L56" i="9"/>
  <c r="L49" i="9"/>
  <c r="L42" i="9"/>
  <c r="L63" i="9"/>
  <c r="L44" i="9"/>
  <c r="L11" i="9"/>
  <c r="L69" i="9"/>
  <c r="L64" i="9"/>
  <c r="L57" i="9"/>
  <c r="L50" i="9"/>
  <c r="L2" i="9"/>
  <c r="L76" i="9"/>
  <c r="L19" i="9"/>
  <c r="L77" i="9"/>
  <c r="L72" i="9"/>
  <c r="L81" i="9"/>
  <c r="L58" i="9"/>
  <c r="L22" i="9"/>
  <c r="L6" i="9"/>
  <c r="M16" i="9"/>
  <c r="L27" i="9"/>
  <c r="L12" i="9"/>
  <c r="L5" i="9"/>
  <c r="L85" i="9"/>
  <c r="L80" i="9"/>
  <c r="L28" i="9"/>
  <c r="L66" i="9"/>
  <c r="L23" i="9"/>
  <c r="L70" i="9"/>
  <c r="M11" i="9"/>
  <c r="M75" i="9"/>
  <c r="M36" i="9"/>
  <c r="M61" i="9"/>
  <c r="M57" i="9"/>
  <c r="M24" i="9"/>
  <c r="M42" i="9"/>
  <c r="M33" i="9"/>
  <c r="M19" i="9"/>
  <c r="M83" i="9"/>
  <c r="M44" i="9"/>
  <c r="M5" i="9"/>
  <c r="M69" i="9"/>
  <c r="M52" i="9"/>
  <c r="M13" i="9"/>
  <c r="M77" i="9"/>
  <c r="M63" i="9"/>
  <c r="M48" i="9"/>
  <c r="M9" i="9"/>
  <c r="M66" i="9"/>
  <c r="M4" i="9"/>
  <c r="M29" i="9"/>
  <c r="M46" i="9"/>
  <c r="M7" i="9"/>
  <c r="M71" i="9"/>
  <c r="L60" i="9"/>
  <c r="M56" i="9"/>
  <c r="L35" i="9"/>
  <c r="M41" i="9"/>
  <c r="M10" i="9"/>
  <c r="M74" i="9"/>
  <c r="L53" i="9"/>
  <c r="L32" i="9"/>
  <c r="L39" i="9"/>
  <c r="L65" i="9"/>
  <c r="L26" i="9"/>
  <c r="L14" i="9"/>
  <c r="M51" i="9"/>
  <c r="M12" i="9"/>
  <c r="M76" i="9"/>
  <c r="M37" i="9"/>
  <c r="L54" i="9"/>
  <c r="L71" i="9"/>
  <c r="M43" i="9"/>
  <c r="M68" i="9"/>
  <c r="L4" i="9"/>
  <c r="M54" i="9"/>
  <c r="M15" i="9"/>
  <c r="M79" i="9"/>
  <c r="L84" i="9"/>
  <c r="M64" i="9"/>
  <c r="L43" i="9"/>
  <c r="M49" i="9"/>
  <c r="M18" i="9"/>
  <c r="M82" i="9"/>
  <c r="L61" i="9"/>
  <c r="L40" i="9"/>
  <c r="L9" i="9"/>
  <c r="L73" i="9"/>
  <c r="L34" i="9"/>
  <c r="L31" i="9"/>
  <c r="M59" i="9"/>
  <c r="M20" i="9"/>
  <c r="M84" i="9"/>
  <c r="M45" i="9"/>
  <c r="L62" i="9"/>
  <c r="M53" i="9"/>
  <c r="H16" i="9" l="1"/>
  <c r="I16" i="9" s="1"/>
  <c r="H9" i="13"/>
  <c r="G9" i="13"/>
  <c r="H8" i="13"/>
  <c r="G8" i="13"/>
  <c r="H10" i="13"/>
  <c r="G10" i="13"/>
  <c r="H11" i="13"/>
  <c r="G11" i="13"/>
  <c r="I8" i="13"/>
  <c r="I9" i="13"/>
  <c r="AD4" i="11"/>
  <c r="AD12" i="11"/>
  <c r="AD20" i="11"/>
  <c r="AD28" i="11"/>
  <c r="AD36" i="11"/>
  <c r="AC5" i="11"/>
  <c r="AC13" i="11"/>
  <c r="AC21" i="11"/>
  <c r="AC29" i="11"/>
  <c r="AC37" i="11"/>
  <c r="AD5" i="11"/>
  <c r="AD13" i="11"/>
  <c r="AD21" i="11"/>
  <c r="AD29" i="11"/>
  <c r="AD37" i="11"/>
  <c r="AC6" i="11"/>
  <c r="AC14" i="11"/>
  <c r="AC22" i="11"/>
  <c r="AC30" i="11"/>
  <c r="AC38" i="11"/>
  <c r="AD6" i="11"/>
  <c r="AD14" i="11"/>
  <c r="AD22" i="11"/>
  <c r="AD30" i="11"/>
  <c r="AD38" i="11"/>
  <c r="AC7" i="11"/>
  <c r="AC15" i="11"/>
  <c r="AC23" i="11"/>
  <c r="AC31" i="11"/>
  <c r="AC39" i="11"/>
  <c r="AD7" i="11"/>
  <c r="AD15" i="11"/>
  <c r="AD23" i="11"/>
  <c r="AD31" i="11"/>
  <c r="AD39" i="11"/>
  <c r="AC8" i="11"/>
  <c r="AC16" i="11"/>
  <c r="AC24" i="11"/>
  <c r="AC32" i="11"/>
  <c r="AC40" i="11"/>
  <c r="AD9" i="11"/>
  <c r="AD25" i="11"/>
  <c r="AD41" i="11"/>
  <c r="AC18" i="11"/>
  <c r="AC34" i="11"/>
  <c r="AD10" i="11"/>
  <c r="AD26" i="11"/>
  <c r="AD42" i="11"/>
  <c r="AC19" i="11"/>
  <c r="AC35" i="11"/>
  <c r="AD11" i="11"/>
  <c r="AD27" i="11"/>
  <c r="AC4" i="11"/>
  <c r="AC20" i="11"/>
  <c r="AC36" i="11"/>
  <c r="AD16" i="11"/>
  <c r="AD32" i="11"/>
  <c r="AC9" i="11"/>
  <c r="AC25" i="11"/>
  <c r="AC41" i="11"/>
  <c r="AD17" i="11"/>
  <c r="AD33" i="11"/>
  <c r="AC10" i="11"/>
  <c r="AC26" i="11"/>
  <c r="AC42" i="11"/>
  <c r="AD18" i="11"/>
  <c r="AD34" i="11"/>
  <c r="AC11" i="11"/>
  <c r="AC27" i="11"/>
  <c r="AD3" i="11"/>
  <c r="AD19" i="11"/>
  <c r="AD35" i="11"/>
  <c r="AC12" i="11"/>
  <c r="AC28" i="11"/>
  <c r="AC3" i="11"/>
  <c r="AD8" i="11"/>
  <c r="AD24" i="11"/>
  <c r="AD40" i="11"/>
  <c r="AC17" i="11"/>
  <c r="AC33" i="11"/>
  <c r="W10" i="11"/>
  <c r="W24" i="11"/>
  <c r="W37" i="11"/>
  <c r="W5" i="11"/>
  <c r="W12" i="11"/>
  <c r="W19" i="11"/>
  <c r="W34" i="11"/>
  <c r="W32" i="11"/>
  <c r="Z15" i="11"/>
  <c r="Z14" i="11"/>
  <c r="Z33" i="11"/>
  <c r="W39" i="11"/>
  <c r="Z29" i="11"/>
  <c r="Z36" i="11"/>
  <c r="Z4" i="11"/>
  <c r="Z11" i="11"/>
  <c r="Z18" i="11"/>
  <c r="Z16" i="11"/>
  <c r="Z38" i="11"/>
  <c r="Z6" i="11"/>
  <c r="W33" i="11"/>
  <c r="Z39" i="11"/>
  <c r="W29" i="11"/>
  <c r="W36" i="11"/>
  <c r="W4" i="11"/>
  <c r="W11" i="11"/>
  <c r="W18" i="11"/>
  <c r="W16" i="11"/>
  <c r="W38" i="11"/>
  <c r="W6" i="11"/>
  <c r="Z42" i="11"/>
  <c r="Z9" i="11"/>
  <c r="Z23" i="11"/>
  <c r="Z21" i="11"/>
  <c r="Z28" i="11"/>
  <c r="Z35" i="11"/>
  <c r="Z3" i="11"/>
  <c r="AA3" i="11" s="1"/>
  <c r="AB3" i="11" s="1"/>
  <c r="Z41" i="11"/>
  <c r="Z8" i="11"/>
  <c r="W30" i="11"/>
  <c r="W42" i="11"/>
  <c r="W9" i="11"/>
  <c r="W23" i="11"/>
  <c r="W21" i="11"/>
  <c r="W28" i="11"/>
  <c r="W35" i="11"/>
  <c r="W3" i="11"/>
  <c r="X3" i="11" s="1"/>
  <c r="W41" i="11"/>
  <c r="W8" i="11"/>
  <c r="Z30" i="11"/>
  <c r="Z26" i="11"/>
  <c r="Z40" i="11"/>
  <c r="Z7" i="11"/>
  <c r="Z13" i="11"/>
  <c r="W20" i="11"/>
  <c r="Z27" i="11"/>
  <c r="Z17" i="11"/>
  <c r="Z25" i="11"/>
  <c r="Z31" i="11"/>
  <c r="Z22" i="11"/>
  <c r="W26" i="11"/>
  <c r="W40" i="11"/>
  <c r="W7" i="11"/>
  <c r="W13" i="11"/>
  <c r="Z20" i="11"/>
  <c r="W27" i="11"/>
  <c r="W17" i="11"/>
  <c r="W25" i="11"/>
  <c r="W31" i="11"/>
  <c r="W22" i="11"/>
  <c r="Z10" i="11"/>
  <c r="Z24" i="11"/>
  <c r="Z37" i="11"/>
  <c r="Z5" i="11"/>
  <c r="Z12" i="11"/>
  <c r="Z19" i="11"/>
  <c r="Z34" i="11"/>
  <c r="Z32" i="11"/>
  <c r="W15" i="11"/>
  <c r="W14" i="11"/>
  <c r="AM2" i="11" a="1"/>
  <c r="AM2" i="11" s="1"/>
  <c r="U6" i="11"/>
  <c r="U14" i="11"/>
  <c r="U22" i="11"/>
  <c r="U30" i="11"/>
  <c r="U38" i="11"/>
  <c r="U7" i="11"/>
  <c r="U15" i="11"/>
  <c r="U23" i="11"/>
  <c r="U31" i="11"/>
  <c r="U39" i="11"/>
  <c r="U8" i="11"/>
  <c r="U16" i="11"/>
  <c r="U24" i="11"/>
  <c r="U32" i="11"/>
  <c r="U40" i="11"/>
  <c r="U9" i="11"/>
  <c r="U17" i="11"/>
  <c r="U25" i="11"/>
  <c r="U33" i="11"/>
  <c r="U41" i="11"/>
  <c r="U11" i="11"/>
  <c r="U19" i="11"/>
  <c r="U35" i="11"/>
  <c r="U4" i="11"/>
  <c r="U20" i="11"/>
  <c r="U28" i="11"/>
  <c r="U3" i="11"/>
  <c r="U21" i="11"/>
  <c r="U37" i="11"/>
  <c r="U10" i="11"/>
  <c r="U18" i="11"/>
  <c r="U26" i="11"/>
  <c r="U34" i="11"/>
  <c r="U42" i="11"/>
  <c r="U27" i="11"/>
  <c r="U12" i="11"/>
  <c r="U36" i="11"/>
  <c r="U5" i="11"/>
  <c r="U13" i="11"/>
  <c r="U29" i="11"/>
  <c r="V5" i="11"/>
  <c r="V13" i="11"/>
  <c r="V21" i="11"/>
  <c r="V29" i="11"/>
  <c r="V37" i="11"/>
  <c r="V6" i="11"/>
  <c r="V14" i="11"/>
  <c r="V22" i="11"/>
  <c r="V30" i="11"/>
  <c r="V38" i="11"/>
  <c r="V7" i="11"/>
  <c r="V15" i="11"/>
  <c r="V23" i="11"/>
  <c r="V31" i="11"/>
  <c r="V39" i="11"/>
  <c r="V8" i="11"/>
  <c r="V16" i="11"/>
  <c r="V24" i="11"/>
  <c r="V32" i="11"/>
  <c r="V40" i="11"/>
  <c r="V18" i="11"/>
  <c r="V34" i="11"/>
  <c r="V11" i="11"/>
  <c r="V19" i="11"/>
  <c r="V35" i="11"/>
  <c r="V4" i="11"/>
  <c r="V20" i="11"/>
  <c r="V36" i="11"/>
  <c r="V9" i="11"/>
  <c r="V17" i="11"/>
  <c r="V25" i="11"/>
  <c r="V33" i="11"/>
  <c r="V41" i="11"/>
  <c r="V10" i="11"/>
  <c r="V26" i="11"/>
  <c r="V42" i="11"/>
  <c r="V3" i="11"/>
  <c r="V27" i="11"/>
  <c r="V12" i="11"/>
  <c r="V28" i="11"/>
  <c r="I4" i="1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T4" i="10"/>
  <c r="T12" i="10"/>
  <c r="T20" i="10"/>
  <c r="T28" i="10"/>
  <c r="T36" i="10"/>
  <c r="T5" i="10"/>
  <c r="T13" i="10"/>
  <c r="T21" i="10"/>
  <c r="T29" i="10"/>
  <c r="T37" i="10"/>
  <c r="T3" i="10"/>
  <c r="T6" i="10"/>
  <c r="T14" i="10"/>
  <c r="T22" i="10"/>
  <c r="T30" i="10"/>
  <c r="T38" i="10"/>
  <c r="T7" i="10"/>
  <c r="T15" i="10"/>
  <c r="T23" i="10"/>
  <c r="T31" i="10"/>
  <c r="T39" i="10"/>
  <c r="T8" i="10"/>
  <c r="T16" i="10"/>
  <c r="T24" i="10"/>
  <c r="T32" i="10"/>
  <c r="T40" i="10"/>
  <c r="T10" i="10"/>
  <c r="T18" i="10"/>
  <c r="T26" i="10"/>
  <c r="T34" i="10"/>
  <c r="T42" i="10"/>
  <c r="T11" i="10"/>
  <c r="T19" i="10"/>
  <c r="T35" i="10"/>
  <c r="T43" i="10"/>
  <c r="T9" i="10"/>
  <c r="T17" i="10"/>
  <c r="T25" i="10"/>
  <c r="T33" i="10"/>
  <c r="T41" i="10"/>
  <c r="T27" i="10"/>
  <c r="P4" i="10"/>
  <c r="P12" i="10"/>
  <c r="P20" i="10"/>
  <c r="P28" i="10"/>
  <c r="P36" i="10"/>
  <c r="P5" i="10"/>
  <c r="P13" i="10"/>
  <c r="P21" i="10"/>
  <c r="P29" i="10"/>
  <c r="P37" i="10"/>
  <c r="P14" i="10"/>
  <c r="P30" i="10"/>
  <c r="P6" i="10"/>
  <c r="P22" i="10"/>
  <c r="P38" i="10"/>
  <c r="P7" i="10"/>
  <c r="P15" i="10"/>
  <c r="P23" i="10"/>
  <c r="P31" i="10"/>
  <c r="P39" i="10"/>
  <c r="P8" i="10"/>
  <c r="P16" i="10"/>
  <c r="P24" i="10"/>
  <c r="P32" i="10"/>
  <c r="P40" i="10"/>
  <c r="P10" i="10"/>
  <c r="P18" i="10"/>
  <c r="P26" i="10"/>
  <c r="P34" i="10"/>
  <c r="P42" i="10"/>
  <c r="P19" i="10"/>
  <c r="P35" i="10"/>
  <c r="P9" i="10"/>
  <c r="P17" i="10"/>
  <c r="P25" i="10"/>
  <c r="P33" i="10"/>
  <c r="P41" i="10"/>
  <c r="P3" i="10"/>
  <c r="P11" i="10"/>
  <c r="P27" i="10"/>
  <c r="P43" i="10"/>
  <c r="X13" i="10"/>
  <c r="X14" i="10"/>
  <c r="Z14" i="10"/>
  <c r="Z13" i="10"/>
  <c r="N4" i="10"/>
  <c r="N12" i="10"/>
  <c r="N20" i="10"/>
  <c r="N28" i="10"/>
  <c r="N36" i="10"/>
  <c r="N44" i="10"/>
  <c r="N5" i="10"/>
  <c r="N13" i="10"/>
  <c r="N21" i="10"/>
  <c r="N29" i="10"/>
  <c r="N37" i="10"/>
  <c r="N45" i="10"/>
  <c r="N6" i="10"/>
  <c r="N14" i="10"/>
  <c r="N22" i="10"/>
  <c r="N30" i="10"/>
  <c r="N38" i="10"/>
  <c r="N46" i="10"/>
  <c r="N7" i="10"/>
  <c r="N31" i="10"/>
  <c r="N39" i="10"/>
  <c r="N47" i="10"/>
  <c r="N8" i="10"/>
  <c r="N16" i="10"/>
  <c r="N24" i="10"/>
  <c r="N32" i="10"/>
  <c r="N40" i="10"/>
  <c r="N3" i="10"/>
  <c r="N9" i="10"/>
  <c r="N17" i="10"/>
  <c r="N25" i="10"/>
  <c r="N33" i="10"/>
  <c r="N41" i="10"/>
  <c r="N11" i="10"/>
  <c r="N27" i="10"/>
  <c r="N35" i="10"/>
  <c r="N23" i="10"/>
  <c r="N10" i="10"/>
  <c r="N18" i="10"/>
  <c r="N26" i="10"/>
  <c r="N34" i="10"/>
  <c r="N42" i="10"/>
  <c r="N19" i="10"/>
  <c r="N43" i="10"/>
  <c r="N15" i="10"/>
  <c r="M8" i="10"/>
  <c r="M16" i="10"/>
  <c r="M24" i="10"/>
  <c r="M32" i="10"/>
  <c r="M40" i="10"/>
  <c r="M9" i="10"/>
  <c r="M17" i="10"/>
  <c r="M25" i="10"/>
  <c r="M33" i="10"/>
  <c r="M41" i="10"/>
  <c r="M10" i="10"/>
  <c r="M18" i="10"/>
  <c r="M26" i="10"/>
  <c r="M34" i="10"/>
  <c r="M42" i="10"/>
  <c r="M19" i="10"/>
  <c r="M27" i="10"/>
  <c r="M43" i="10"/>
  <c r="M4" i="10"/>
  <c r="M12" i="10"/>
  <c r="M20" i="10"/>
  <c r="M28" i="10"/>
  <c r="M36" i="10"/>
  <c r="M44" i="10"/>
  <c r="M5" i="10"/>
  <c r="M13" i="10"/>
  <c r="M21" i="10"/>
  <c r="M29" i="10"/>
  <c r="M37" i="10"/>
  <c r="M45" i="10"/>
  <c r="M3" i="10"/>
  <c r="M38" i="10"/>
  <c r="M7" i="10"/>
  <c r="M23" i="10"/>
  <c r="M39" i="10"/>
  <c r="M6" i="10"/>
  <c r="M14" i="10"/>
  <c r="M22" i="10"/>
  <c r="M30" i="10"/>
  <c r="M46" i="10"/>
  <c r="M15" i="10"/>
  <c r="M31" i="10"/>
  <c r="M47" i="10"/>
  <c r="M11" i="10"/>
  <c r="M35" i="10"/>
  <c r="K4" i="10"/>
  <c r="K12" i="10"/>
  <c r="K20" i="10"/>
  <c r="K28" i="10"/>
  <c r="K36" i="10"/>
  <c r="K44" i="10"/>
  <c r="K5" i="10"/>
  <c r="K13" i="10"/>
  <c r="K21" i="10"/>
  <c r="K29" i="10"/>
  <c r="K37" i="10"/>
  <c r="K45" i="10"/>
  <c r="K6" i="10"/>
  <c r="K14" i="10"/>
  <c r="K22" i="10"/>
  <c r="K30" i="10"/>
  <c r="K38" i="10"/>
  <c r="K46" i="10"/>
  <c r="K7" i="10"/>
  <c r="K15" i="10"/>
  <c r="K23" i="10"/>
  <c r="K31" i="10"/>
  <c r="K39" i="10"/>
  <c r="K47" i="10"/>
  <c r="K8" i="10"/>
  <c r="K16" i="10"/>
  <c r="K24" i="10"/>
  <c r="K32" i="10"/>
  <c r="K40" i="10"/>
  <c r="K3" i="10"/>
  <c r="K27" i="10"/>
  <c r="K9" i="10"/>
  <c r="K17" i="10"/>
  <c r="K25" i="10"/>
  <c r="K33" i="10"/>
  <c r="K41" i="10"/>
  <c r="K10" i="10"/>
  <c r="K18" i="10"/>
  <c r="K26" i="10"/>
  <c r="K34" i="10"/>
  <c r="K42" i="10"/>
  <c r="K11" i="10"/>
  <c r="K19" i="10"/>
  <c r="K35" i="10"/>
  <c r="K43" i="10"/>
  <c r="J8" i="10"/>
  <c r="J16" i="10"/>
  <c r="J24" i="10"/>
  <c r="J32" i="10"/>
  <c r="J40" i="10"/>
  <c r="J17" i="10"/>
  <c r="J9" i="10"/>
  <c r="J25" i="10"/>
  <c r="J33" i="10"/>
  <c r="J41" i="10"/>
  <c r="J10" i="10"/>
  <c r="J18" i="10"/>
  <c r="J26" i="10"/>
  <c r="J34" i="10"/>
  <c r="J42" i="10"/>
  <c r="J11" i="10"/>
  <c r="J19" i="10"/>
  <c r="J27" i="10"/>
  <c r="J35" i="10"/>
  <c r="J43" i="10"/>
  <c r="J4" i="10"/>
  <c r="J12" i="10"/>
  <c r="J20" i="10"/>
  <c r="J28" i="10"/>
  <c r="J36" i="10"/>
  <c r="J44" i="10"/>
  <c r="J31" i="10"/>
  <c r="J5" i="10"/>
  <c r="J13" i="10"/>
  <c r="J21" i="10"/>
  <c r="J29" i="10"/>
  <c r="J37" i="10"/>
  <c r="J45" i="10"/>
  <c r="J3" i="10"/>
  <c r="J6" i="10"/>
  <c r="J14" i="10"/>
  <c r="J22" i="10"/>
  <c r="J30" i="10"/>
  <c r="J38" i="10"/>
  <c r="J46" i="10"/>
  <c r="J7" i="10"/>
  <c r="J15" i="10"/>
  <c r="J23" i="10"/>
  <c r="J39" i="10"/>
  <c r="J47" i="10"/>
  <c r="H2" i="9"/>
  <c r="I2" i="9" s="1"/>
  <c r="G29" i="9"/>
  <c r="H28" i="9"/>
  <c r="I28" i="9" s="1"/>
  <c r="X30" i="9" l="1" a="1"/>
  <c r="X30" i="9" s="1"/>
  <c r="I29" i="9"/>
  <c r="I31" i="9" s="1"/>
  <c r="I32" i="9" s="1"/>
  <c r="T29" i="9" a="1"/>
  <c r="T29" i="9" s="1"/>
  <c r="X29" i="9" s="1" a="1"/>
  <c r="X29" i="9" s="1"/>
  <c r="Y3" i="11"/>
  <c r="X4" i="11"/>
  <c r="AA4" i="11"/>
  <c r="AB4" i="11" s="1"/>
  <c r="V4" i="10"/>
  <c r="V12" i="10"/>
  <c r="V20" i="10"/>
  <c r="V28" i="10"/>
  <c r="V36" i="10"/>
  <c r="V3" i="10"/>
  <c r="V5" i="10"/>
  <c r="V13" i="10"/>
  <c r="V21" i="10"/>
  <c r="V29" i="10"/>
  <c r="V37" i="10"/>
  <c r="V14" i="10"/>
  <c r="V6" i="10"/>
  <c r="V22" i="10"/>
  <c r="V30" i="10"/>
  <c r="V38" i="10"/>
  <c r="V7" i="10"/>
  <c r="V15" i="10"/>
  <c r="V23" i="10"/>
  <c r="V31" i="10"/>
  <c r="V39" i="10"/>
  <c r="V8" i="10"/>
  <c r="V16" i="10"/>
  <c r="V24" i="10"/>
  <c r="V32" i="10"/>
  <c r="V40" i="10"/>
  <c r="V10" i="10"/>
  <c r="V18" i="10"/>
  <c r="V26" i="10"/>
  <c r="V34" i="10"/>
  <c r="V42" i="10"/>
  <c r="V19" i="10"/>
  <c r="V27" i="10"/>
  <c r="V35" i="10"/>
  <c r="V43" i="10"/>
  <c r="V9" i="10"/>
  <c r="V17" i="10"/>
  <c r="V25" i="10"/>
  <c r="V33" i="10"/>
  <c r="V41" i="10"/>
  <c r="V11" i="10"/>
  <c r="R4" i="10"/>
  <c r="R12" i="10"/>
  <c r="R20" i="10"/>
  <c r="R28" i="10"/>
  <c r="R36" i="10"/>
  <c r="R5" i="10"/>
  <c r="R13" i="10"/>
  <c r="R21" i="10"/>
  <c r="R29" i="10"/>
  <c r="R37" i="10"/>
  <c r="R6" i="10"/>
  <c r="R14" i="10"/>
  <c r="R22" i="10"/>
  <c r="R30" i="10"/>
  <c r="R38" i="10"/>
  <c r="R7" i="10"/>
  <c r="R15" i="10"/>
  <c r="R23" i="10"/>
  <c r="R31" i="10"/>
  <c r="R39" i="10"/>
  <c r="R3" i="10"/>
  <c r="R8" i="10"/>
  <c r="R16" i="10"/>
  <c r="R24" i="10"/>
  <c r="R32" i="10"/>
  <c r="R40" i="10"/>
  <c r="R10" i="10"/>
  <c r="R18" i="10"/>
  <c r="R26" i="10"/>
  <c r="R34" i="10"/>
  <c r="R42" i="10"/>
  <c r="R19" i="10"/>
  <c r="R27" i="10"/>
  <c r="R35" i="10"/>
  <c r="R9" i="10"/>
  <c r="R17" i="10"/>
  <c r="R25" i="10"/>
  <c r="R33" i="10"/>
  <c r="R41" i="10"/>
  <c r="R11" i="10"/>
  <c r="R43" i="10"/>
  <c r="Q4" i="10"/>
  <c r="Q12" i="10"/>
  <c r="Q20" i="10"/>
  <c r="Q28" i="10"/>
  <c r="Q36" i="10"/>
  <c r="Q5" i="10"/>
  <c r="Q13" i="10"/>
  <c r="Q21" i="10"/>
  <c r="Q29" i="10"/>
  <c r="Q37" i="10"/>
  <c r="Q14" i="10"/>
  <c r="Q38" i="10"/>
  <c r="Q6" i="10"/>
  <c r="Q22" i="10"/>
  <c r="Q30" i="10"/>
  <c r="Q7" i="10"/>
  <c r="Q15" i="10"/>
  <c r="Q23" i="10"/>
  <c r="Q31" i="10"/>
  <c r="Q39" i="10"/>
  <c r="Q8" i="10"/>
  <c r="Q16" i="10"/>
  <c r="Q24" i="10"/>
  <c r="Q32" i="10"/>
  <c r="Q40" i="10"/>
  <c r="Q3" i="10"/>
  <c r="Q10" i="10"/>
  <c r="Q18" i="10"/>
  <c r="Q26" i="10"/>
  <c r="Q34" i="10"/>
  <c r="Q42" i="10"/>
  <c r="Q11" i="10"/>
  <c r="Q19" i="10"/>
  <c r="Q35" i="10"/>
  <c r="Q43" i="10"/>
  <c r="Q9" i="10"/>
  <c r="Q17" i="10"/>
  <c r="Q25" i="10"/>
  <c r="Q33" i="10"/>
  <c r="Q41" i="10"/>
  <c r="Q27" i="10"/>
  <c r="U4" i="10"/>
  <c r="U12" i="10"/>
  <c r="U20" i="10"/>
  <c r="U28" i="10"/>
  <c r="U36" i="10"/>
  <c r="U5" i="10"/>
  <c r="U13" i="10"/>
  <c r="U21" i="10"/>
  <c r="U29" i="10"/>
  <c r="U37" i="10"/>
  <c r="U3" i="10"/>
  <c r="U6" i="10"/>
  <c r="U14" i="10"/>
  <c r="U22" i="10"/>
  <c r="U30" i="10"/>
  <c r="U38" i="10"/>
  <c r="U7" i="10"/>
  <c r="U15" i="10"/>
  <c r="U23" i="10"/>
  <c r="U31" i="10"/>
  <c r="U39" i="10"/>
  <c r="U8" i="10"/>
  <c r="U16" i="10"/>
  <c r="U24" i="10"/>
  <c r="U32" i="10"/>
  <c r="U40" i="10"/>
  <c r="U10" i="10"/>
  <c r="U18" i="10"/>
  <c r="U26" i="10"/>
  <c r="U34" i="10"/>
  <c r="U42" i="10"/>
  <c r="U11" i="10"/>
  <c r="U19" i="10"/>
  <c r="U27" i="10"/>
  <c r="U35" i="10"/>
  <c r="U9" i="10"/>
  <c r="U17" i="10"/>
  <c r="U25" i="10"/>
  <c r="U33" i="10"/>
  <c r="U41" i="10"/>
  <c r="U43" i="10"/>
  <c r="H29" i="9"/>
  <c r="AA5" i="11" l="1"/>
  <c r="Y4" i="11"/>
  <c r="X5" i="11"/>
  <c r="C2" i="9"/>
  <c r="C1" i="9"/>
  <c r="N2" i="8"/>
  <c r="N4" i="8"/>
  <c r="N3" i="8"/>
  <c r="L6" i="8"/>
  <c r="L5" i="8"/>
  <c r="L4" i="8"/>
  <c r="L3" i="8"/>
  <c r="L2" i="8"/>
  <c r="G7" i="8"/>
  <c r="H7" i="8"/>
  <c r="I7" i="8"/>
  <c r="J7" i="8"/>
  <c r="F7" i="8"/>
  <c r="G5" i="8"/>
  <c r="H5" i="8"/>
  <c r="I5" i="8"/>
  <c r="J5" i="8"/>
  <c r="F5" i="8"/>
  <c r="G3" i="8"/>
  <c r="H3" i="8"/>
  <c r="I3" i="8"/>
  <c r="J3" i="8"/>
  <c r="F3" i="8"/>
  <c r="AB5" i="11" l="1"/>
  <c r="AA6" i="11"/>
  <c r="Y5" i="11"/>
  <c r="X6" i="11"/>
  <c r="AB6" i="11" l="1"/>
  <c r="AA7" i="11"/>
  <c r="X7" i="11"/>
  <c r="Y6" i="11"/>
  <c r="AB4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3" i="7"/>
  <c r="H15" i="6"/>
  <c r="H14" i="6"/>
  <c r="H13" i="6"/>
  <c r="H11" i="6"/>
  <c r="H10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Q2" i="6" a="1"/>
  <c r="Q2" i="6" s="1"/>
  <c r="P2" i="6" a="1"/>
  <c r="P2" i="6" s="1"/>
  <c r="M1" i="6" a="1"/>
  <c r="M1" i="6" s="1"/>
  <c r="L1" i="6" a="1"/>
  <c r="L1" i="6" s="1"/>
  <c r="E3" i="6"/>
  <c r="F3" i="6" s="1"/>
  <c r="E4" i="6"/>
  <c r="F4" i="6" s="1"/>
  <c r="E5" i="6"/>
  <c r="F5" i="6" s="1"/>
  <c r="E6" i="6"/>
  <c r="F6" i="6" s="1"/>
  <c r="E7" i="6"/>
  <c r="F7" i="6" s="1"/>
  <c r="E8" i="6"/>
  <c r="F8" i="6" s="1"/>
  <c r="E9" i="6"/>
  <c r="F9" i="6" s="1"/>
  <c r="E10" i="6"/>
  <c r="F10" i="6" s="1"/>
  <c r="E11" i="6"/>
  <c r="F11" i="6" s="1"/>
  <c r="E12" i="6"/>
  <c r="F12" i="6" s="1"/>
  <c r="E13" i="6"/>
  <c r="F13" i="6" s="1"/>
  <c r="E14" i="6"/>
  <c r="F14" i="6" s="1"/>
  <c r="E15" i="6"/>
  <c r="F15" i="6" s="1"/>
  <c r="E16" i="6"/>
  <c r="F16" i="6" s="1"/>
  <c r="E17" i="6"/>
  <c r="F17" i="6" s="1"/>
  <c r="E18" i="6"/>
  <c r="F18" i="6" s="1"/>
  <c r="E19" i="6"/>
  <c r="F19" i="6" s="1"/>
  <c r="E20" i="6"/>
  <c r="F20" i="6" s="1"/>
  <c r="E21" i="6"/>
  <c r="F21" i="6" s="1"/>
  <c r="E22" i="6"/>
  <c r="F22" i="6" s="1"/>
  <c r="E23" i="6"/>
  <c r="F23" i="6" s="1"/>
  <c r="E24" i="6"/>
  <c r="F24" i="6" s="1"/>
  <c r="E25" i="6"/>
  <c r="F25" i="6" s="1"/>
  <c r="E26" i="6"/>
  <c r="F26" i="6" s="1"/>
  <c r="E27" i="6"/>
  <c r="F27" i="6" s="1"/>
  <c r="E28" i="6"/>
  <c r="F28" i="6" s="1"/>
  <c r="E29" i="6"/>
  <c r="F29" i="6" s="1"/>
  <c r="E30" i="6"/>
  <c r="F30" i="6" s="1"/>
  <c r="E31" i="6"/>
  <c r="F31" i="6" s="1"/>
  <c r="E32" i="6"/>
  <c r="F32" i="6" s="1"/>
  <c r="E33" i="6"/>
  <c r="F33" i="6" s="1"/>
  <c r="E34" i="6"/>
  <c r="F34" i="6" s="1"/>
  <c r="E35" i="6"/>
  <c r="F35" i="6" s="1"/>
  <c r="E36" i="6"/>
  <c r="F36" i="6" s="1"/>
  <c r="E37" i="6"/>
  <c r="F37" i="6" s="1"/>
  <c r="E38" i="6"/>
  <c r="F38" i="6" s="1"/>
  <c r="E39" i="6"/>
  <c r="F39" i="6" s="1"/>
  <c r="E40" i="6"/>
  <c r="F40" i="6" s="1"/>
  <c r="E41" i="6"/>
  <c r="F41" i="6" s="1"/>
  <c r="E42" i="6"/>
  <c r="F42" i="6" s="1"/>
  <c r="E43" i="6"/>
  <c r="F43" i="6" s="1"/>
  <c r="E44" i="6"/>
  <c r="F44" i="6" s="1"/>
  <c r="E45" i="6"/>
  <c r="F45" i="6" s="1"/>
  <c r="E46" i="6"/>
  <c r="F46" i="6" s="1"/>
  <c r="E47" i="6"/>
  <c r="F47" i="6" s="1"/>
  <c r="E48" i="6"/>
  <c r="F48" i="6" s="1"/>
  <c r="E49" i="6"/>
  <c r="F49" i="6" s="1"/>
  <c r="E50" i="6"/>
  <c r="F50" i="6" s="1"/>
  <c r="E51" i="6"/>
  <c r="F51" i="6" s="1"/>
  <c r="E52" i="6"/>
  <c r="F52" i="6" s="1"/>
  <c r="E2" i="6"/>
  <c r="F2" i="6" s="1"/>
  <c r="H8" i="6"/>
  <c r="H7" i="6"/>
  <c r="AA8" i="11" l="1"/>
  <c r="AB7" i="11"/>
  <c r="X8" i="11"/>
  <c r="Y7" i="11"/>
  <c r="AE3" i="7"/>
  <c r="O1" i="6" a="1"/>
  <c r="O1" i="6" s="1"/>
  <c r="S2" i="6" a="1"/>
  <c r="S2" i="6" s="1"/>
  <c r="R2" i="6" a="1"/>
  <c r="R2" i="6" s="1"/>
  <c r="N1" i="6" a="1"/>
  <c r="N1" i="6" s="1"/>
  <c r="P1" i="6" s="1" a="1"/>
  <c r="P1" i="6" s="1"/>
  <c r="H2" i="6"/>
  <c r="H3" i="6" s="1"/>
  <c r="H1" i="6"/>
  <c r="H4" i="6" s="1"/>
  <c r="Y4" i="5"/>
  <c r="X5" i="5"/>
  <c r="Y5" i="5" s="1"/>
  <c r="X6" i="5"/>
  <c r="Y6" i="5" s="1"/>
  <c r="X7" i="5"/>
  <c r="Y7" i="5" s="1"/>
  <c r="X8" i="5"/>
  <c r="Y8" i="5" s="1"/>
  <c r="X9" i="5"/>
  <c r="Y9" i="5" s="1"/>
  <c r="X10" i="5"/>
  <c r="Y10" i="5" s="1"/>
  <c r="X11" i="5"/>
  <c r="Y11" i="5" s="1"/>
  <c r="X12" i="5"/>
  <c r="Y12" i="5" s="1"/>
  <c r="X13" i="5"/>
  <c r="Y13" i="5" s="1"/>
  <c r="X14" i="5"/>
  <c r="Y14" i="5" s="1"/>
  <c r="X15" i="5"/>
  <c r="Y15" i="5" s="1"/>
  <c r="X16" i="5"/>
  <c r="Y16" i="5" s="1"/>
  <c r="X17" i="5"/>
  <c r="Y17" i="5" s="1"/>
  <c r="X18" i="5"/>
  <c r="Y18" i="5" s="1"/>
  <c r="X19" i="5"/>
  <c r="Y19" i="5" s="1"/>
  <c r="X20" i="5"/>
  <c r="Y20" i="5" s="1"/>
  <c r="X21" i="5"/>
  <c r="Y21" i="5" s="1"/>
  <c r="X22" i="5"/>
  <c r="Y22" i="5" s="1"/>
  <c r="X23" i="5"/>
  <c r="Y23" i="5" s="1"/>
  <c r="X24" i="5"/>
  <c r="Y24" i="5" s="1"/>
  <c r="X25" i="5"/>
  <c r="Y25" i="5" s="1"/>
  <c r="X26" i="5"/>
  <c r="Y26" i="5" s="1"/>
  <c r="X27" i="5"/>
  <c r="Y27" i="5" s="1"/>
  <c r="X28" i="5"/>
  <c r="Y28" i="5" s="1"/>
  <c r="X29" i="5"/>
  <c r="Y29" i="5" s="1"/>
  <c r="X30" i="5"/>
  <c r="Y30" i="5" s="1"/>
  <c r="X31" i="5"/>
  <c r="Y31" i="5" s="1"/>
  <c r="X32" i="5"/>
  <c r="Y32" i="5" s="1"/>
  <c r="X33" i="5"/>
  <c r="Y33" i="5" s="1"/>
  <c r="X34" i="5"/>
  <c r="Y34" i="5" s="1"/>
  <c r="X35" i="5"/>
  <c r="Y35" i="5" s="1"/>
  <c r="X36" i="5"/>
  <c r="Y36" i="5" s="1"/>
  <c r="X37" i="5"/>
  <c r="Y37" i="5" s="1"/>
  <c r="X38" i="5"/>
  <c r="Y38" i="5" s="1"/>
  <c r="X39" i="5"/>
  <c r="Y39" i="5" s="1"/>
  <c r="X40" i="5"/>
  <c r="Y40" i="5" s="1"/>
  <c r="X41" i="5"/>
  <c r="Y41" i="5" s="1"/>
  <c r="X42" i="5"/>
  <c r="Y42" i="5" s="1"/>
  <c r="X43" i="5"/>
  <c r="Y43" i="5" s="1"/>
  <c r="X44" i="5"/>
  <c r="Y44" i="5" s="1"/>
  <c r="X45" i="5"/>
  <c r="Y45" i="5" s="1"/>
  <c r="X46" i="5"/>
  <c r="Y46" i="5" s="1"/>
  <c r="X47" i="5"/>
  <c r="Y47" i="5" s="1"/>
  <c r="X48" i="5"/>
  <c r="Y48" i="5" s="1"/>
  <c r="X49" i="5"/>
  <c r="Y49" i="5" s="1"/>
  <c r="X50" i="5"/>
  <c r="Y50" i="5" s="1"/>
  <c r="X51" i="5"/>
  <c r="Y51" i="5" s="1"/>
  <c r="X52" i="5"/>
  <c r="Y52" i="5" s="1"/>
  <c r="X53" i="5"/>
  <c r="Y53" i="5" s="1"/>
  <c r="X54" i="5"/>
  <c r="Y54" i="5" s="1"/>
  <c r="X55" i="5"/>
  <c r="Y55" i="5" s="1"/>
  <c r="X56" i="5"/>
  <c r="Y56" i="5" s="1"/>
  <c r="X57" i="5"/>
  <c r="Y57" i="5" s="1"/>
  <c r="X58" i="5"/>
  <c r="Y58" i="5" s="1"/>
  <c r="X59" i="5"/>
  <c r="Y59" i="5" s="1"/>
  <c r="X60" i="5"/>
  <c r="Y60" i="5" s="1"/>
  <c r="X61" i="5"/>
  <c r="Y61" i="5" s="1"/>
  <c r="X62" i="5"/>
  <c r="Y62" i="5" s="1"/>
  <c r="X63" i="5"/>
  <c r="Y63" i="5" s="1"/>
  <c r="X64" i="5"/>
  <c r="Y64" i="5" s="1"/>
  <c r="X65" i="5"/>
  <c r="Y65" i="5" s="1"/>
  <c r="X66" i="5"/>
  <c r="Y66" i="5" s="1"/>
  <c r="X67" i="5"/>
  <c r="Y67" i="5" s="1"/>
  <c r="X68" i="5"/>
  <c r="Y68" i="5" s="1"/>
  <c r="X69" i="5"/>
  <c r="Y69" i="5" s="1"/>
  <c r="X70" i="5"/>
  <c r="Y70" i="5" s="1"/>
  <c r="X71" i="5"/>
  <c r="Y71" i="5" s="1"/>
  <c r="X72" i="5"/>
  <c r="Y72" i="5" s="1"/>
  <c r="X73" i="5"/>
  <c r="Y73" i="5" s="1"/>
  <c r="X74" i="5"/>
  <c r="Y74" i="5" s="1"/>
  <c r="X75" i="5"/>
  <c r="Y75" i="5" s="1"/>
  <c r="X76" i="5"/>
  <c r="Y76" i="5" s="1"/>
  <c r="X77" i="5"/>
  <c r="Y77" i="5" s="1"/>
  <c r="X78" i="5"/>
  <c r="Y78" i="5" s="1"/>
  <c r="Y79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3" i="5"/>
  <c r="V3" i="5" l="1"/>
  <c r="V80" i="5"/>
  <c r="AB8" i="11"/>
  <c r="AA9" i="11"/>
  <c r="X9" i="11"/>
  <c r="Y8" i="11"/>
  <c r="AH3" i="7"/>
  <c r="AE6" i="7" s="1"/>
  <c r="AF3" i="7"/>
  <c r="V26" i="5"/>
  <c r="Z26" i="5" s="1"/>
  <c r="V11" i="5"/>
  <c r="Z11" i="5" s="1"/>
  <c r="V74" i="5"/>
  <c r="Z74" i="5" s="1"/>
  <c r="V50" i="5"/>
  <c r="Z50" i="5" s="1"/>
  <c r="V73" i="5"/>
  <c r="Z73" i="5" s="1"/>
  <c r="V65" i="5"/>
  <c r="Z65" i="5" s="1"/>
  <c r="V57" i="5"/>
  <c r="Z57" i="5" s="1"/>
  <c r="V49" i="5"/>
  <c r="Z49" i="5" s="1"/>
  <c r="V41" i="5"/>
  <c r="Z41" i="5" s="1"/>
  <c r="V33" i="5"/>
  <c r="Z33" i="5" s="1"/>
  <c r="V25" i="5"/>
  <c r="Z25" i="5" s="1"/>
  <c r="V17" i="5"/>
  <c r="Z17" i="5" s="1"/>
  <c r="V9" i="5"/>
  <c r="Z9" i="5" s="1"/>
  <c r="V66" i="5"/>
  <c r="Z66" i="5" s="1"/>
  <c r="V58" i="5"/>
  <c r="Z58" i="5" s="1"/>
  <c r="V18" i="5"/>
  <c r="Z18" i="5" s="1"/>
  <c r="V72" i="5"/>
  <c r="Z72" i="5" s="1"/>
  <c r="V64" i="5"/>
  <c r="Z64" i="5" s="1"/>
  <c r="V56" i="5"/>
  <c r="Z56" i="5" s="1"/>
  <c r="V48" i="5"/>
  <c r="Z48" i="5" s="1"/>
  <c r="V40" i="5"/>
  <c r="Z40" i="5" s="1"/>
  <c r="V32" i="5"/>
  <c r="Z32" i="5" s="1"/>
  <c r="V24" i="5"/>
  <c r="Z24" i="5" s="1"/>
  <c r="V16" i="5"/>
  <c r="Z16" i="5" s="1"/>
  <c r="V8" i="5"/>
  <c r="Z8" i="5" s="1"/>
  <c r="V79" i="5"/>
  <c r="Z79" i="5" s="1"/>
  <c r="V71" i="5"/>
  <c r="Z71" i="5" s="1"/>
  <c r="V63" i="5"/>
  <c r="Z63" i="5" s="1"/>
  <c r="V55" i="5"/>
  <c r="Z55" i="5" s="1"/>
  <c r="V47" i="5"/>
  <c r="Z47" i="5" s="1"/>
  <c r="V39" i="5"/>
  <c r="Z39" i="5" s="1"/>
  <c r="V31" i="5"/>
  <c r="Z31" i="5" s="1"/>
  <c r="V23" i="5"/>
  <c r="Z23" i="5" s="1"/>
  <c r="V15" i="5"/>
  <c r="Z15" i="5" s="1"/>
  <c r="V7" i="5"/>
  <c r="Z7" i="5" s="1"/>
  <c r="V34" i="5"/>
  <c r="Z34" i="5" s="1"/>
  <c r="V78" i="5"/>
  <c r="Z78" i="5" s="1"/>
  <c r="V70" i="5"/>
  <c r="Z70" i="5" s="1"/>
  <c r="V62" i="5"/>
  <c r="Z62" i="5" s="1"/>
  <c r="V54" i="5"/>
  <c r="Z54" i="5" s="1"/>
  <c r="V46" i="5"/>
  <c r="Z46" i="5" s="1"/>
  <c r="V38" i="5"/>
  <c r="Z38" i="5" s="1"/>
  <c r="V30" i="5"/>
  <c r="Z30" i="5" s="1"/>
  <c r="V22" i="5"/>
  <c r="Z22" i="5" s="1"/>
  <c r="V14" i="5"/>
  <c r="Z14" i="5" s="1"/>
  <c r="V6" i="5"/>
  <c r="Z6" i="5" s="1"/>
  <c r="V10" i="5"/>
  <c r="Z10" i="5" s="1"/>
  <c r="V77" i="5"/>
  <c r="Z77" i="5" s="1"/>
  <c r="V69" i="5"/>
  <c r="Z69" i="5" s="1"/>
  <c r="V61" i="5"/>
  <c r="Z61" i="5" s="1"/>
  <c r="V53" i="5"/>
  <c r="Z53" i="5" s="1"/>
  <c r="V45" i="5"/>
  <c r="Z45" i="5" s="1"/>
  <c r="V37" i="5"/>
  <c r="Z37" i="5" s="1"/>
  <c r="V29" i="5"/>
  <c r="Z29" i="5" s="1"/>
  <c r="V21" i="5"/>
  <c r="Z21" i="5" s="1"/>
  <c r="V13" i="5"/>
  <c r="Z13" i="5" s="1"/>
  <c r="V5" i="5"/>
  <c r="Z5" i="5" s="1"/>
  <c r="V42" i="5"/>
  <c r="Z42" i="5" s="1"/>
  <c r="V76" i="5"/>
  <c r="Z76" i="5" s="1"/>
  <c r="V68" i="5"/>
  <c r="Z68" i="5" s="1"/>
  <c r="V60" i="5"/>
  <c r="Z60" i="5" s="1"/>
  <c r="V52" i="5"/>
  <c r="Z52" i="5" s="1"/>
  <c r="V44" i="5"/>
  <c r="Z44" i="5" s="1"/>
  <c r="V36" i="5"/>
  <c r="Z36" i="5" s="1"/>
  <c r="V28" i="5"/>
  <c r="Z28" i="5" s="1"/>
  <c r="V20" i="5"/>
  <c r="Z20" i="5" s="1"/>
  <c r="V12" i="5"/>
  <c r="Z12" i="5" s="1"/>
  <c r="V4" i="5"/>
  <c r="Z4" i="5" s="1"/>
  <c r="V75" i="5"/>
  <c r="Z75" i="5" s="1"/>
  <c r="V67" i="5"/>
  <c r="Z67" i="5" s="1"/>
  <c r="V59" i="5"/>
  <c r="Z59" i="5" s="1"/>
  <c r="V51" i="5"/>
  <c r="Z51" i="5" s="1"/>
  <c r="V43" i="5"/>
  <c r="Z43" i="5" s="1"/>
  <c r="V35" i="5"/>
  <c r="Z35" i="5" s="1"/>
  <c r="V27" i="5"/>
  <c r="Z27" i="5" s="1"/>
  <c r="V19" i="5"/>
  <c r="Z19" i="5" s="1"/>
  <c r="R3" i="5"/>
  <c r="Q3" i="5"/>
  <c r="W80" i="5" l="1"/>
  <c r="W3" i="5"/>
  <c r="Z3" i="5"/>
  <c r="Q6" i="5"/>
  <c r="AB9" i="11"/>
  <c r="AA10" i="11"/>
  <c r="Y9" i="11"/>
  <c r="X10" i="11"/>
  <c r="AM4" i="7"/>
  <c r="AM12" i="7"/>
  <c r="AM20" i="7"/>
  <c r="AM28" i="7"/>
  <c r="AM36" i="7"/>
  <c r="AM44" i="7"/>
  <c r="AM52" i="7"/>
  <c r="AM5" i="7"/>
  <c r="AM13" i="7"/>
  <c r="AM21" i="7"/>
  <c r="AM29" i="7"/>
  <c r="AM37" i="7"/>
  <c r="AM45" i="7"/>
  <c r="AM53" i="7"/>
  <c r="AM6" i="7"/>
  <c r="AM14" i="7"/>
  <c r="AM22" i="7"/>
  <c r="AM30" i="7"/>
  <c r="AM38" i="7"/>
  <c r="AM46" i="7"/>
  <c r="AM3" i="7"/>
  <c r="AM7" i="7"/>
  <c r="AM15" i="7"/>
  <c r="AM23" i="7"/>
  <c r="AM31" i="7"/>
  <c r="AM39" i="7"/>
  <c r="AM47" i="7"/>
  <c r="AM8" i="7"/>
  <c r="AM16" i="7"/>
  <c r="AM24" i="7"/>
  <c r="AM32" i="7"/>
  <c r="AM40" i="7"/>
  <c r="AM48" i="7"/>
  <c r="AM9" i="7"/>
  <c r="AM17" i="7"/>
  <c r="AM25" i="7"/>
  <c r="AM33" i="7"/>
  <c r="AM41" i="7"/>
  <c r="AM49" i="7"/>
  <c r="AM19" i="7"/>
  <c r="AM10" i="7"/>
  <c r="AM18" i="7"/>
  <c r="AM26" i="7"/>
  <c r="AM34" i="7"/>
  <c r="AM42" i="7"/>
  <c r="AM50" i="7"/>
  <c r="AM11" i="7"/>
  <c r="AM27" i="7"/>
  <c r="AM35" i="7"/>
  <c r="AM43" i="7"/>
  <c r="AM51" i="7"/>
  <c r="AK6" i="7"/>
  <c r="AK14" i="7"/>
  <c r="AK22" i="7"/>
  <c r="AK30" i="7"/>
  <c r="AK38" i="7"/>
  <c r="AK46" i="7"/>
  <c r="AK3" i="7"/>
  <c r="AK7" i="7"/>
  <c r="AK15" i="7"/>
  <c r="AK23" i="7"/>
  <c r="AK31" i="7"/>
  <c r="AK39" i="7"/>
  <c r="AK47" i="7"/>
  <c r="AK8" i="7"/>
  <c r="AK16" i="7"/>
  <c r="AK24" i="7"/>
  <c r="AK32" i="7"/>
  <c r="AK40" i="7"/>
  <c r="AK48" i="7"/>
  <c r="AK37" i="7"/>
  <c r="AK9" i="7"/>
  <c r="AK17" i="7"/>
  <c r="AK25" i="7"/>
  <c r="AK33" i="7"/>
  <c r="AK41" i="7"/>
  <c r="AK49" i="7"/>
  <c r="AK29" i="7"/>
  <c r="AK10" i="7"/>
  <c r="AK18" i="7"/>
  <c r="AK26" i="7"/>
  <c r="AK34" i="7"/>
  <c r="AK42" i="7"/>
  <c r="AK50" i="7"/>
  <c r="AK11" i="7"/>
  <c r="AK19" i="7"/>
  <c r="AK27" i="7"/>
  <c r="AK35" i="7"/>
  <c r="AK43" i="7"/>
  <c r="AK51" i="7"/>
  <c r="AK5" i="7"/>
  <c r="AK21" i="7"/>
  <c r="AK45" i="7"/>
  <c r="AK4" i="7"/>
  <c r="AK12" i="7"/>
  <c r="AK20" i="7"/>
  <c r="AK28" i="7"/>
  <c r="AK36" i="7"/>
  <c r="AK44" i="7"/>
  <c r="AK52" i="7"/>
  <c r="AK13" i="7"/>
  <c r="AK53" i="7"/>
  <c r="AG3" i="7"/>
  <c r="AD6" i="7" s="1"/>
  <c r="AF6" i="7" s="1"/>
  <c r="AG6" i="7" s="1"/>
  <c r="W30" i="5"/>
  <c r="W34" i="5"/>
  <c r="W38" i="5"/>
  <c r="W23" i="5"/>
  <c r="W8" i="5"/>
  <c r="W72" i="5"/>
  <c r="W57" i="5"/>
  <c r="W42" i="5"/>
  <c r="W35" i="5"/>
  <c r="W20" i="5"/>
  <c r="W5" i="5"/>
  <c r="W69" i="5"/>
  <c r="W79" i="5"/>
  <c r="W49" i="5"/>
  <c r="W12" i="5"/>
  <c r="W76" i="5"/>
  <c r="W46" i="5"/>
  <c r="W16" i="5"/>
  <c r="W65" i="5"/>
  <c r="W28" i="5"/>
  <c r="W77" i="5"/>
  <c r="W24" i="5"/>
  <c r="W9" i="5"/>
  <c r="W51" i="5"/>
  <c r="W36" i="5"/>
  <c r="W6" i="5"/>
  <c r="W62" i="5"/>
  <c r="W47" i="5"/>
  <c r="W32" i="5"/>
  <c r="W17" i="5"/>
  <c r="W66" i="5"/>
  <c r="W59" i="5"/>
  <c r="W44" i="5"/>
  <c r="W29" i="5"/>
  <c r="W70" i="5"/>
  <c r="W55" i="5"/>
  <c r="W40" i="5"/>
  <c r="W25" i="5"/>
  <c r="W10" i="5"/>
  <c r="W74" i="5"/>
  <c r="W67" i="5"/>
  <c r="W52" i="5"/>
  <c r="W37" i="5"/>
  <c r="W15" i="5"/>
  <c r="W64" i="5"/>
  <c r="W27" i="5"/>
  <c r="W61" i="5"/>
  <c r="W31" i="5"/>
  <c r="W50" i="5"/>
  <c r="W43" i="5"/>
  <c r="W13" i="5"/>
  <c r="W54" i="5"/>
  <c r="W58" i="5"/>
  <c r="W14" i="5"/>
  <c r="W78" i="5"/>
  <c r="W63" i="5"/>
  <c r="W48" i="5"/>
  <c r="W33" i="5"/>
  <c r="W18" i="5"/>
  <c r="W11" i="5"/>
  <c r="W75" i="5"/>
  <c r="W60" i="5"/>
  <c r="W45" i="5"/>
  <c r="W39" i="5"/>
  <c r="W73" i="5"/>
  <c r="W21" i="5"/>
  <c r="W22" i="5"/>
  <c r="W7" i="5"/>
  <c r="W71" i="5"/>
  <c r="W56" i="5"/>
  <c r="W41" i="5"/>
  <c r="W26" i="5"/>
  <c r="W19" i="5"/>
  <c r="W4" i="5"/>
  <c r="W68" i="5"/>
  <c r="W53" i="5"/>
  <c r="AA11" i="11" l="1"/>
  <c r="AB10" i="11"/>
  <c r="X11" i="11"/>
  <c r="X12" i="11" s="1"/>
  <c r="X13" i="11" s="1"/>
  <c r="Y10" i="11"/>
  <c r="AL9" i="7"/>
  <c r="AL17" i="7"/>
  <c r="AL25" i="7"/>
  <c r="AL33" i="7"/>
  <c r="AL41" i="7"/>
  <c r="AL49" i="7"/>
  <c r="AL10" i="7"/>
  <c r="AL18" i="7"/>
  <c r="AL26" i="7"/>
  <c r="AL34" i="7"/>
  <c r="AL42" i="7"/>
  <c r="AL50" i="7"/>
  <c r="AL11" i="7"/>
  <c r="AL19" i="7"/>
  <c r="AL27" i="7"/>
  <c r="AL35" i="7"/>
  <c r="AL43" i="7"/>
  <c r="AL51" i="7"/>
  <c r="AL4" i="7"/>
  <c r="AL12" i="7"/>
  <c r="AL20" i="7"/>
  <c r="AL28" i="7"/>
  <c r="AL36" i="7"/>
  <c r="AL44" i="7"/>
  <c r="AL52" i="7"/>
  <c r="AL5" i="7"/>
  <c r="AL13" i="7"/>
  <c r="AL21" i="7"/>
  <c r="AL29" i="7"/>
  <c r="AL37" i="7"/>
  <c r="AL45" i="7"/>
  <c r="AL53" i="7"/>
  <c r="AL6" i="7"/>
  <c r="AL14" i="7"/>
  <c r="AL22" i="7"/>
  <c r="AL30" i="7"/>
  <c r="AL38" i="7"/>
  <c r="AL46" i="7"/>
  <c r="AL3" i="7"/>
  <c r="AL40" i="7"/>
  <c r="AL7" i="7"/>
  <c r="AL15" i="7"/>
  <c r="AL23" i="7"/>
  <c r="AL31" i="7"/>
  <c r="AL39" i="7"/>
  <c r="AL47" i="7"/>
  <c r="AL48" i="7"/>
  <c r="AL8" i="7"/>
  <c r="AL16" i="7"/>
  <c r="AL24" i="7"/>
  <c r="AL32" i="7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2" i="3"/>
  <c r="T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2" i="3"/>
  <c r="B2" i="1"/>
  <c r="Y11" i="11" l="1"/>
  <c r="Y12" i="11" s="1"/>
  <c r="AA12" i="11"/>
  <c r="AB11" i="11"/>
  <c r="X14" i="11"/>
  <c r="Y13" i="11"/>
  <c r="C51" i="4"/>
  <c r="I51" i="4" s="1"/>
  <c r="C50" i="4"/>
  <c r="I50" i="4" s="1"/>
  <c r="C49" i="4"/>
  <c r="I49" i="4" s="1"/>
  <c r="C48" i="4"/>
  <c r="I48" i="4" s="1"/>
  <c r="C47" i="4"/>
  <c r="I47" i="4" s="1"/>
  <c r="C46" i="4"/>
  <c r="I46" i="4" s="1"/>
  <c r="C45" i="4"/>
  <c r="I45" i="4" s="1"/>
  <c r="C44" i="4"/>
  <c r="I44" i="4" s="1"/>
  <c r="C43" i="4"/>
  <c r="I43" i="4" s="1"/>
  <c r="C42" i="4"/>
  <c r="I42" i="4" s="1"/>
  <c r="C41" i="4"/>
  <c r="I41" i="4" s="1"/>
  <c r="C40" i="4"/>
  <c r="I40" i="4" s="1"/>
  <c r="C39" i="4"/>
  <c r="I39" i="4" s="1"/>
  <c r="C38" i="4"/>
  <c r="I38" i="4" s="1"/>
  <c r="C37" i="4"/>
  <c r="I37" i="4" s="1"/>
  <c r="C36" i="4"/>
  <c r="I36" i="4" s="1"/>
  <c r="C35" i="4"/>
  <c r="I35" i="4" s="1"/>
  <c r="C34" i="4"/>
  <c r="I34" i="4" s="1"/>
  <c r="C33" i="4"/>
  <c r="I33" i="4" s="1"/>
  <c r="C32" i="4"/>
  <c r="I32" i="4" s="1"/>
  <c r="C31" i="4"/>
  <c r="I31" i="4" s="1"/>
  <c r="C30" i="4"/>
  <c r="I30" i="4" s="1"/>
  <c r="C29" i="4"/>
  <c r="I29" i="4" s="1"/>
  <c r="C28" i="4"/>
  <c r="I28" i="4" s="1"/>
  <c r="C27" i="4"/>
  <c r="I27" i="4" s="1"/>
  <c r="C26" i="4"/>
  <c r="I26" i="4" s="1"/>
  <c r="C25" i="4"/>
  <c r="I25" i="4" s="1"/>
  <c r="C24" i="4"/>
  <c r="I24" i="4" s="1"/>
  <c r="C23" i="4"/>
  <c r="I23" i="4" s="1"/>
  <c r="C22" i="4"/>
  <c r="I22" i="4" s="1"/>
  <c r="C21" i="4"/>
  <c r="I21" i="4" s="1"/>
  <c r="C20" i="4"/>
  <c r="I20" i="4" s="1"/>
  <c r="C19" i="4"/>
  <c r="I19" i="4" s="1"/>
  <c r="C18" i="4"/>
  <c r="I18" i="4" s="1"/>
  <c r="C17" i="4"/>
  <c r="I17" i="4" s="1"/>
  <c r="C16" i="4"/>
  <c r="I16" i="4" s="1"/>
  <c r="C15" i="4"/>
  <c r="I15" i="4" s="1"/>
  <c r="C14" i="4"/>
  <c r="I14" i="4" s="1"/>
  <c r="C13" i="4"/>
  <c r="I13" i="4" s="1"/>
  <c r="C12" i="4"/>
  <c r="I12" i="4" s="1"/>
  <c r="C11" i="4"/>
  <c r="I11" i="4" s="1"/>
  <c r="C10" i="4"/>
  <c r="I10" i="4" s="1"/>
  <c r="C9" i="4"/>
  <c r="I9" i="4" s="1"/>
  <c r="C8" i="4"/>
  <c r="I8" i="4" s="1"/>
  <c r="C7" i="4"/>
  <c r="I7" i="4" s="1"/>
  <c r="C6" i="4"/>
  <c r="I6" i="4" s="1"/>
  <c r="C5" i="4"/>
  <c r="I5" i="4" s="1"/>
  <c r="C4" i="4"/>
  <c r="I4" i="4" s="1"/>
  <c r="C3" i="4"/>
  <c r="I3" i="4" s="1"/>
  <c r="C2" i="4"/>
  <c r="I2" i="4" s="1"/>
  <c r="AA13" i="11" l="1"/>
  <c r="AB12" i="11"/>
  <c r="X15" i="11"/>
  <c r="Y14" i="11"/>
  <c r="G2" i="4"/>
  <c r="A2" i="1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I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2" i="2"/>
  <c r="J2" i="2" l="1"/>
  <c r="J4" i="2"/>
  <c r="L4" i="2" s="1"/>
  <c r="K2" i="2"/>
  <c r="L2" i="2" s="1"/>
  <c r="AA14" i="11"/>
  <c r="AB13" i="11"/>
  <c r="X16" i="11"/>
  <c r="Y15" i="11"/>
  <c r="G4" i="4"/>
  <c r="J16" i="4" s="1"/>
  <c r="E6" i="4"/>
  <c r="E14" i="4"/>
  <c r="E22" i="4"/>
  <c r="E30" i="4"/>
  <c r="E38" i="4"/>
  <c r="E46" i="4"/>
  <c r="E7" i="4"/>
  <c r="E15" i="4"/>
  <c r="E23" i="4"/>
  <c r="E31" i="4"/>
  <c r="E39" i="4"/>
  <c r="E47" i="4"/>
  <c r="E8" i="4"/>
  <c r="E16" i="4"/>
  <c r="E24" i="4"/>
  <c r="E32" i="4"/>
  <c r="E40" i="4"/>
  <c r="E48" i="4"/>
  <c r="E9" i="4"/>
  <c r="E17" i="4"/>
  <c r="E25" i="4"/>
  <c r="E33" i="4"/>
  <c r="E41" i="4"/>
  <c r="E49" i="4"/>
  <c r="E10" i="4"/>
  <c r="E18" i="4"/>
  <c r="E26" i="4"/>
  <c r="E34" i="4"/>
  <c r="E42" i="4"/>
  <c r="E50" i="4"/>
  <c r="E3" i="4"/>
  <c r="E11" i="4"/>
  <c r="E19" i="4"/>
  <c r="E27" i="4"/>
  <c r="E35" i="4"/>
  <c r="E43" i="4"/>
  <c r="E51" i="4"/>
  <c r="E5" i="4"/>
  <c r="E21" i="4"/>
  <c r="E45" i="4"/>
  <c r="E4" i="4"/>
  <c r="E12" i="4"/>
  <c r="E20" i="4"/>
  <c r="E28" i="4"/>
  <c r="E36" i="4"/>
  <c r="E44" i="4"/>
  <c r="E2" i="4"/>
  <c r="E13" i="4"/>
  <c r="E29" i="4"/>
  <c r="E37" i="4"/>
  <c r="F21" i="3"/>
  <c r="K21" i="3" s="1"/>
  <c r="G37" i="3"/>
  <c r="L37" i="3" s="1"/>
  <c r="F47" i="3"/>
  <c r="K47" i="3" s="1"/>
  <c r="F19" i="3"/>
  <c r="K19" i="3" s="1"/>
  <c r="F12" i="3"/>
  <c r="K12" i="3" s="1"/>
  <c r="F36" i="3"/>
  <c r="K36" i="3" s="1"/>
  <c r="F44" i="3"/>
  <c r="K44" i="3" s="1"/>
  <c r="F11" i="3"/>
  <c r="K11" i="3" s="1"/>
  <c r="F24" i="3"/>
  <c r="K24" i="3" s="1"/>
  <c r="G40" i="3"/>
  <c r="L40" i="3" s="1"/>
  <c r="G43" i="3"/>
  <c r="L43" i="3" s="1"/>
  <c r="F6" i="3"/>
  <c r="K6" i="3" s="1"/>
  <c r="F14" i="3"/>
  <c r="K14" i="3" s="1"/>
  <c r="F22" i="3"/>
  <c r="K22" i="3" s="1"/>
  <c r="F30" i="3"/>
  <c r="K30" i="3" s="1"/>
  <c r="F38" i="3"/>
  <c r="K38" i="3" s="1"/>
  <c r="F46" i="3"/>
  <c r="K46" i="3" s="1"/>
  <c r="G7" i="3"/>
  <c r="L7" i="3" s="1"/>
  <c r="F39" i="3"/>
  <c r="K39" i="3" s="1"/>
  <c r="F43" i="3"/>
  <c r="K43" i="3" s="1"/>
  <c r="G5" i="3"/>
  <c r="L5" i="3" s="1"/>
  <c r="G13" i="3"/>
  <c r="L13" i="3" s="1"/>
  <c r="G21" i="3"/>
  <c r="F16" i="3"/>
  <c r="K16" i="3" s="1"/>
  <c r="F48" i="3"/>
  <c r="K48" i="3" s="1"/>
  <c r="F37" i="3"/>
  <c r="K37" i="3" s="1"/>
  <c r="G24" i="3"/>
  <c r="G32" i="3"/>
  <c r="L32" i="3" s="1"/>
  <c r="F32" i="3"/>
  <c r="K32" i="3" s="1"/>
  <c r="F5" i="3"/>
  <c r="K5" i="3" s="1"/>
  <c r="G16" i="3"/>
  <c r="L16" i="3" s="1"/>
  <c r="M16" i="3" s="1"/>
  <c r="G19" i="3"/>
  <c r="G27" i="3"/>
  <c r="L27" i="3" s="1"/>
  <c r="G35" i="3"/>
  <c r="L35" i="3" s="1"/>
  <c r="F29" i="3"/>
  <c r="K29" i="3" s="1"/>
  <c r="G51" i="3"/>
  <c r="L51" i="3" s="1"/>
  <c r="G11" i="3"/>
  <c r="G4" i="3"/>
  <c r="L4" i="3" s="1"/>
  <c r="G20" i="3"/>
  <c r="L20" i="3" s="1"/>
  <c r="G36" i="3"/>
  <c r="L36" i="3" s="1"/>
  <c r="F51" i="3"/>
  <c r="K51" i="3" s="1"/>
  <c r="F27" i="3"/>
  <c r="K27" i="3" s="1"/>
  <c r="G48" i="3"/>
  <c r="L48" i="3" s="1"/>
  <c r="G3" i="3"/>
  <c r="L3" i="3" s="1"/>
  <c r="F4" i="3"/>
  <c r="K4" i="3" s="1"/>
  <c r="G28" i="3"/>
  <c r="L28" i="3" s="1"/>
  <c r="G15" i="3"/>
  <c r="L15" i="3" s="1"/>
  <c r="F45" i="3"/>
  <c r="K45" i="3" s="1"/>
  <c r="F35" i="3"/>
  <c r="K35" i="3" s="1"/>
  <c r="F23" i="3"/>
  <c r="K23" i="3" s="1"/>
  <c r="F13" i="3"/>
  <c r="K13" i="3" s="1"/>
  <c r="F3" i="3"/>
  <c r="K3" i="3" s="1"/>
  <c r="G39" i="3"/>
  <c r="L39" i="3" s="1"/>
  <c r="G12" i="3"/>
  <c r="L12" i="3" s="1"/>
  <c r="G23" i="3"/>
  <c r="L23" i="3" s="1"/>
  <c r="F31" i="3"/>
  <c r="K31" i="3" s="1"/>
  <c r="I2" i="3"/>
  <c r="F40" i="3"/>
  <c r="K40" i="3" s="1"/>
  <c r="F20" i="3"/>
  <c r="K20" i="3" s="1"/>
  <c r="F8" i="3"/>
  <c r="K8" i="3" s="1"/>
  <c r="G47" i="3"/>
  <c r="G8" i="3"/>
  <c r="L8" i="3" s="1"/>
  <c r="M8" i="3" s="1"/>
  <c r="F7" i="3"/>
  <c r="K7" i="3" s="1"/>
  <c r="G45" i="3"/>
  <c r="L45" i="3" s="1"/>
  <c r="M45" i="3" s="1"/>
  <c r="F28" i="3"/>
  <c r="K28" i="3" s="1"/>
  <c r="G44" i="3"/>
  <c r="L44" i="3" s="1"/>
  <c r="M44" i="3" s="1"/>
  <c r="G31" i="3"/>
  <c r="L31" i="3" s="1"/>
  <c r="G49" i="3"/>
  <c r="L49" i="3" s="1"/>
  <c r="G41" i="3"/>
  <c r="L41" i="3" s="1"/>
  <c r="G33" i="3"/>
  <c r="L33" i="3" s="1"/>
  <c r="G25" i="3"/>
  <c r="L25" i="3" s="1"/>
  <c r="G17" i="3"/>
  <c r="L17" i="3" s="1"/>
  <c r="G9" i="3"/>
  <c r="L9" i="3" s="1"/>
  <c r="F15" i="3"/>
  <c r="K15" i="3" s="1"/>
  <c r="G29" i="3"/>
  <c r="L29" i="3" s="1"/>
  <c r="J43" i="4"/>
  <c r="G3" i="4"/>
  <c r="G5" i="4" s="1"/>
  <c r="F50" i="3"/>
  <c r="K50" i="3" s="1"/>
  <c r="F42" i="3"/>
  <c r="K42" i="3" s="1"/>
  <c r="F34" i="3"/>
  <c r="K34" i="3" s="1"/>
  <c r="F26" i="3"/>
  <c r="K26" i="3" s="1"/>
  <c r="F18" i="3"/>
  <c r="K18" i="3" s="1"/>
  <c r="F10" i="3"/>
  <c r="K10" i="3" s="1"/>
  <c r="F49" i="3"/>
  <c r="K49" i="3" s="1"/>
  <c r="F41" i="3"/>
  <c r="K41" i="3" s="1"/>
  <c r="F33" i="3"/>
  <c r="K33" i="3" s="1"/>
  <c r="F25" i="3"/>
  <c r="K25" i="3" s="1"/>
  <c r="F17" i="3"/>
  <c r="K17" i="3" s="1"/>
  <c r="F9" i="3"/>
  <c r="K9" i="3" s="1"/>
  <c r="G50" i="3"/>
  <c r="L50" i="3" s="1"/>
  <c r="G42" i="3"/>
  <c r="L42" i="3" s="1"/>
  <c r="M42" i="3" s="1"/>
  <c r="G34" i="3"/>
  <c r="L34" i="3" s="1"/>
  <c r="G26" i="3"/>
  <c r="L26" i="3" s="1"/>
  <c r="G18" i="3"/>
  <c r="L18" i="3" s="1"/>
  <c r="G10" i="3"/>
  <c r="L10" i="3" s="1"/>
  <c r="G46" i="3"/>
  <c r="L46" i="3" s="1"/>
  <c r="G38" i="3"/>
  <c r="G30" i="3"/>
  <c r="G22" i="3"/>
  <c r="G14" i="3"/>
  <c r="L14" i="3" s="1"/>
  <c r="M14" i="3" s="1"/>
  <c r="G6" i="3"/>
  <c r="L6" i="3" s="1"/>
  <c r="M6" i="3" s="1"/>
  <c r="F2" i="3"/>
  <c r="K2" i="3" s="1"/>
  <c r="G2" i="3"/>
  <c r="L2" i="3" s="1"/>
  <c r="M46" i="3" l="1"/>
  <c r="M26" i="3"/>
  <c r="M18" i="3"/>
  <c r="M29" i="3"/>
  <c r="M25" i="3"/>
  <c r="M36" i="3"/>
  <c r="M23" i="3"/>
  <c r="J39" i="4"/>
  <c r="J10" i="4"/>
  <c r="J21" i="4"/>
  <c r="J25" i="4"/>
  <c r="J22" i="4"/>
  <c r="J27" i="4"/>
  <c r="J17" i="4"/>
  <c r="J23" i="4"/>
  <c r="J35" i="4"/>
  <c r="J19" i="4"/>
  <c r="N2" i="4"/>
  <c r="T2" i="4"/>
  <c r="J44" i="4"/>
  <c r="J42" i="4"/>
  <c r="J48" i="4"/>
  <c r="J13" i="4"/>
  <c r="J31" i="4"/>
  <c r="J6" i="4"/>
  <c r="J9" i="4"/>
  <c r="J45" i="4"/>
  <c r="J36" i="4"/>
  <c r="J34" i="4"/>
  <c r="J40" i="4"/>
  <c r="J37" i="4"/>
  <c r="J28" i="4"/>
  <c r="J26" i="4"/>
  <c r="J8" i="4"/>
  <c r="J29" i="4"/>
  <c r="J51" i="4"/>
  <c r="J18" i="4"/>
  <c r="J47" i="4"/>
  <c r="M48" i="3"/>
  <c r="M32" i="3"/>
  <c r="M49" i="3"/>
  <c r="M15" i="3"/>
  <c r="M13" i="3"/>
  <c r="M7" i="3"/>
  <c r="M35" i="3"/>
  <c r="M5" i="3"/>
  <c r="AA15" i="11"/>
  <c r="AB14" i="11"/>
  <c r="X17" i="11"/>
  <c r="Y16" i="11"/>
  <c r="J2" i="4"/>
  <c r="J5" i="4"/>
  <c r="J20" i="4"/>
  <c r="J11" i="4"/>
  <c r="J49" i="4"/>
  <c r="J32" i="4"/>
  <c r="J15" i="4"/>
  <c r="J38" i="4"/>
  <c r="J46" i="4"/>
  <c r="J12" i="4"/>
  <c r="J3" i="4"/>
  <c r="J41" i="4"/>
  <c r="J24" i="4"/>
  <c r="J7" i="4"/>
  <c r="J14" i="4"/>
  <c r="J30" i="4"/>
  <c r="J4" i="4"/>
  <c r="J50" i="4"/>
  <c r="J33" i="4"/>
  <c r="M4" i="4" a="1"/>
  <c r="M4" i="4" s="1"/>
  <c r="M9" i="3"/>
  <c r="M50" i="3"/>
  <c r="M17" i="3"/>
  <c r="M4" i="3"/>
  <c r="M31" i="3"/>
  <c r="M12" i="3"/>
  <c r="M28" i="3"/>
  <c r="M34" i="3"/>
  <c r="M39" i="3"/>
  <c r="M20" i="3"/>
  <c r="M27" i="3"/>
  <c r="M43" i="3"/>
  <c r="M3" i="3"/>
  <c r="H19" i="3"/>
  <c r="L19" i="3"/>
  <c r="M19" i="3" s="1"/>
  <c r="M40" i="3"/>
  <c r="H30" i="3"/>
  <c r="L30" i="3"/>
  <c r="M30" i="3" s="1"/>
  <c r="H38" i="3"/>
  <c r="L38" i="3"/>
  <c r="M38" i="3" s="1"/>
  <c r="H47" i="3"/>
  <c r="L47" i="3"/>
  <c r="M47" i="3" s="1"/>
  <c r="H11" i="3"/>
  <c r="L11" i="3"/>
  <c r="M11" i="3" s="1"/>
  <c r="H24" i="3"/>
  <c r="L24" i="3"/>
  <c r="M24" i="3" s="1"/>
  <c r="H22" i="3"/>
  <c r="L22" i="3"/>
  <c r="M22" i="3" s="1"/>
  <c r="M33" i="3"/>
  <c r="M51" i="3"/>
  <c r="M37" i="3"/>
  <c r="M2" i="3"/>
  <c r="M10" i="3"/>
  <c r="M41" i="3"/>
  <c r="H21" i="3"/>
  <c r="L21" i="3"/>
  <c r="M21" i="3" s="1"/>
  <c r="H12" i="3"/>
  <c r="H29" i="3"/>
  <c r="H36" i="3"/>
  <c r="H44" i="3"/>
  <c r="H6" i="3"/>
  <c r="H39" i="3"/>
  <c r="H27" i="3"/>
  <c r="H33" i="3"/>
  <c r="H15" i="3"/>
  <c r="H28" i="3"/>
  <c r="H9" i="3"/>
  <c r="H7" i="3"/>
  <c r="H48" i="3"/>
  <c r="H14" i="3"/>
  <c r="H17" i="3"/>
  <c r="H46" i="3"/>
  <c r="H51" i="3"/>
  <c r="H4" i="3"/>
  <c r="H5" i="3"/>
  <c r="H13" i="3"/>
  <c r="H32" i="3"/>
  <c r="H43" i="3"/>
  <c r="H41" i="3"/>
  <c r="H20" i="3"/>
  <c r="H35" i="3"/>
  <c r="H37" i="3"/>
  <c r="H3" i="3"/>
  <c r="H49" i="3"/>
  <c r="H40" i="3"/>
  <c r="H16" i="3"/>
  <c r="H25" i="3"/>
  <c r="H45" i="3"/>
  <c r="H31" i="3"/>
  <c r="H8" i="3"/>
  <c r="H23" i="3"/>
  <c r="K8" i="4"/>
  <c r="K16" i="4"/>
  <c r="K24" i="4"/>
  <c r="K32" i="4"/>
  <c r="K40" i="4"/>
  <c r="K48" i="4"/>
  <c r="K9" i="4"/>
  <c r="K17" i="4"/>
  <c r="K25" i="4"/>
  <c r="K33" i="4"/>
  <c r="K41" i="4"/>
  <c r="K49" i="4"/>
  <c r="K10" i="4"/>
  <c r="K18" i="4"/>
  <c r="K26" i="4"/>
  <c r="K34" i="4"/>
  <c r="K42" i="4"/>
  <c r="K50" i="4"/>
  <c r="K3" i="4"/>
  <c r="K11" i="4"/>
  <c r="K19" i="4"/>
  <c r="K27" i="4"/>
  <c r="K35" i="4"/>
  <c r="K43" i="4"/>
  <c r="K51" i="4"/>
  <c r="K4" i="4"/>
  <c r="K12" i="4"/>
  <c r="K20" i="4"/>
  <c r="K28" i="4"/>
  <c r="K36" i="4"/>
  <c r="K44" i="4"/>
  <c r="K5" i="4"/>
  <c r="K13" i="4"/>
  <c r="K21" i="4"/>
  <c r="K29" i="4"/>
  <c r="K37" i="4"/>
  <c r="K45" i="4"/>
  <c r="K7" i="4"/>
  <c r="K23" i="4"/>
  <c r="K39" i="4"/>
  <c r="K6" i="4"/>
  <c r="K14" i="4"/>
  <c r="K22" i="4"/>
  <c r="K30" i="4"/>
  <c r="K38" i="4"/>
  <c r="K46" i="4"/>
  <c r="K2" i="4"/>
  <c r="K15" i="4"/>
  <c r="K31" i="4"/>
  <c r="K47" i="4"/>
  <c r="G6" i="4"/>
  <c r="H10" i="3"/>
  <c r="H18" i="3"/>
  <c r="H26" i="3"/>
  <c r="H34" i="3"/>
  <c r="H42" i="3"/>
  <c r="H50" i="3"/>
  <c r="H2" i="3"/>
  <c r="O2" i="4" l="1"/>
  <c r="P2" i="4" s="1"/>
  <c r="Q2" i="4" s="1"/>
  <c r="U2" i="4"/>
  <c r="V2" i="4" s="1"/>
  <c r="W2" i="4" s="1"/>
  <c r="AA16" i="11"/>
  <c r="AB15" i="11"/>
  <c r="X18" i="11"/>
  <c r="Y17" i="11"/>
  <c r="L9" i="4"/>
  <c r="L17" i="4"/>
  <c r="L25" i="4"/>
  <c r="L33" i="4"/>
  <c r="L41" i="4"/>
  <c r="L49" i="4"/>
  <c r="L10" i="4"/>
  <c r="L18" i="4"/>
  <c r="L26" i="4"/>
  <c r="L34" i="4"/>
  <c r="L42" i="4"/>
  <c r="L50" i="4"/>
  <c r="L3" i="4"/>
  <c r="L11" i="4"/>
  <c r="L19" i="4"/>
  <c r="L27" i="4"/>
  <c r="L35" i="4"/>
  <c r="L43" i="4"/>
  <c r="L51" i="4"/>
  <c r="L4" i="4"/>
  <c r="L12" i="4"/>
  <c r="L20" i="4"/>
  <c r="L28" i="4"/>
  <c r="L36" i="4"/>
  <c r="L44" i="4"/>
  <c r="L5" i="4"/>
  <c r="L13" i="4"/>
  <c r="L21" i="4"/>
  <c r="L29" i="4"/>
  <c r="L37" i="4"/>
  <c r="L45" i="4"/>
  <c r="L6" i="4"/>
  <c r="L14" i="4"/>
  <c r="L22" i="4"/>
  <c r="L30" i="4"/>
  <c r="L38" i="4"/>
  <c r="L46" i="4"/>
  <c r="L2" i="4"/>
  <c r="L16" i="4"/>
  <c r="L24" i="4"/>
  <c r="L40" i="4"/>
  <c r="L7" i="4"/>
  <c r="L15" i="4"/>
  <c r="L23" i="4"/>
  <c r="L31" i="4"/>
  <c r="L39" i="4"/>
  <c r="L47" i="4"/>
  <c r="L8" i="4"/>
  <c r="L32" i="4"/>
  <c r="L48" i="4"/>
  <c r="AA17" i="11" l="1"/>
  <c r="AB16" i="11"/>
  <c r="X19" i="11"/>
  <c r="Y18" i="11"/>
  <c r="AA18" i="11" l="1"/>
  <c r="AB17" i="11"/>
  <c r="X20" i="11"/>
  <c r="Y19" i="11"/>
  <c r="AB18" i="11" l="1"/>
  <c r="AA19" i="11"/>
  <c r="X21" i="11"/>
  <c r="Y20" i="11"/>
  <c r="AA20" i="11" l="1"/>
  <c r="AB19" i="11"/>
  <c r="X22" i="11"/>
  <c r="Y21" i="11"/>
  <c r="AB20" i="11" l="1"/>
  <c r="AA21" i="11"/>
  <c r="X23" i="11"/>
  <c r="Y22" i="11"/>
  <c r="AA22" i="11" l="1"/>
  <c r="AB21" i="11"/>
  <c r="X24" i="11"/>
  <c r="Y23" i="11"/>
  <c r="AB22" i="11" l="1"/>
  <c r="AA23" i="11"/>
  <c r="X25" i="11"/>
  <c r="Y24" i="11"/>
  <c r="AB23" i="11" l="1"/>
  <c r="AA24" i="11"/>
  <c r="X26" i="11"/>
  <c r="Y25" i="11"/>
  <c r="AA25" i="11" l="1"/>
  <c r="AB24" i="11"/>
  <c r="X27" i="11"/>
  <c r="Y26" i="11"/>
  <c r="AA26" i="11" l="1"/>
  <c r="AB25" i="11"/>
  <c r="X28" i="11"/>
  <c r="Y27" i="11"/>
  <c r="AB26" i="11" l="1"/>
  <c r="AA27" i="11"/>
  <c r="X29" i="11"/>
  <c r="Y28" i="11"/>
  <c r="AA28" i="11" l="1"/>
  <c r="AB27" i="11"/>
  <c r="X30" i="11"/>
  <c r="Y29" i="11"/>
  <c r="AA29" i="11" l="1"/>
  <c r="AB28" i="11"/>
  <c r="X31" i="11"/>
  <c r="Y30" i="11"/>
  <c r="AA30" i="11" l="1"/>
  <c r="AB29" i="11"/>
  <c r="X32" i="11"/>
  <c r="Y31" i="11"/>
  <c r="AA31" i="11" l="1"/>
  <c r="AB30" i="11"/>
  <c r="X33" i="11"/>
  <c r="Y32" i="11"/>
  <c r="AA32" i="11" l="1"/>
  <c r="AB31" i="11"/>
  <c r="X34" i="11"/>
  <c r="Y33" i="11"/>
  <c r="AA33" i="11" l="1"/>
  <c r="AB32" i="11"/>
  <c r="X35" i="11"/>
  <c r="Y34" i="11"/>
  <c r="AA34" i="11" l="1"/>
  <c r="AB33" i="11"/>
  <c r="X36" i="11"/>
  <c r="Y35" i="11"/>
  <c r="AB34" i="11" l="1"/>
  <c r="AA35" i="11"/>
  <c r="X37" i="11"/>
  <c r="Y36" i="11"/>
  <c r="AA36" i="11" l="1"/>
  <c r="AB35" i="11"/>
  <c r="X38" i="11"/>
  <c r="Y37" i="11"/>
  <c r="AB36" i="11" l="1"/>
  <c r="AA37" i="11"/>
  <c r="X39" i="11"/>
  <c r="Y38" i="11"/>
  <c r="AA38" i="11" l="1"/>
  <c r="AB37" i="11"/>
  <c r="X40" i="11"/>
  <c r="Y39" i="11"/>
  <c r="AB38" i="11" l="1"/>
  <c r="AA39" i="11"/>
  <c r="X41" i="11"/>
  <c r="Y40" i="11"/>
  <c r="AB39" i="11" l="1"/>
  <c r="AA40" i="11"/>
  <c r="X42" i="11"/>
  <c r="Y42" i="11" s="1"/>
  <c r="Y41" i="11"/>
  <c r="AA41" i="11" l="1"/>
  <c r="AB40" i="11"/>
  <c r="AA42" i="11" l="1"/>
  <c r="AB42" i="11" s="1"/>
  <c r="AB41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<sst xmlns="http://schemas.openxmlformats.org/spreadsheetml/2006/main" count="525" uniqueCount="236">
  <si>
    <t>probability of fifth prize</t>
    <phoneticPr fontId="1" type="noConversion"/>
  </si>
  <si>
    <t>金額</t>
    <phoneticPr fontId="1" type="noConversion"/>
  </si>
  <si>
    <t>開獎日</t>
    <phoneticPr fontId="1" type="noConversion"/>
  </si>
  <si>
    <t>注數</t>
    <phoneticPr fontId="1" type="noConversion"/>
  </si>
  <si>
    <t>5獎中獎數</t>
    <phoneticPr fontId="1" type="noConversion"/>
  </si>
  <si>
    <t>sum(x_i)</t>
    <phoneticPr fontId="1" type="noConversion"/>
  </si>
  <si>
    <t>sum(n_i)</t>
    <phoneticPr fontId="1" type="noConversion"/>
  </si>
  <si>
    <t>p_MLE</t>
    <phoneticPr fontId="1" type="noConversion"/>
  </si>
  <si>
    <t>standard error</t>
    <phoneticPr fontId="1" type="noConversion"/>
  </si>
  <si>
    <t>p_0</t>
    <phoneticPr fontId="1" type="noConversion"/>
  </si>
  <si>
    <t>H_0</t>
    <phoneticPr fontId="1" type="noConversion"/>
  </si>
  <si>
    <t>p value</t>
    <phoneticPr fontId="1" type="noConversion"/>
  </si>
  <si>
    <t>n</t>
    <phoneticPr fontId="1" type="noConversion"/>
  </si>
  <si>
    <t>C^2</t>
    <phoneticPr fontId="1" type="noConversion"/>
  </si>
  <si>
    <t>d/n</t>
    <phoneticPr fontId="1" type="noConversion"/>
  </si>
  <si>
    <t>注數 n</t>
    <phoneticPr fontId="1" type="noConversion"/>
  </si>
  <si>
    <t>p_hat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</si>
  <si>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_(n_bar)</t>
    </r>
    <phoneticPr fontId="1" type="noConversion"/>
  </si>
  <si>
    <t>n_bar</t>
    <phoneticPr fontId="1" type="noConversion"/>
  </si>
  <si>
    <t>UCL</t>
    <phoneticPr fontId="1" type="noConversion"/>
  </si>
  <si>
    <t>LCL</t>
    <phoneticPr fontId="1" type="noConversion"/>
  </si>
  <si>
    <t>CL</t>
    <phoneticPr fontId="1" type="noConversion"/>
  </si>
  <si>
    <t>set</t>
    <phoneticPr fontId="1" type="noConversion"/>
  </si>
  <si>
    <t>B(n*LCL;n_bar,p_hat)</t>
    <phoneticPr fontId="1" type="noConversion"/>
  </si>
  <si>
    <t>binomial dist</t>
    <phoneticPr fontId="1" type="noConversion"/>
  </si>
  <si>
    <t>alpha</t>
    <phoneticPr fontId="1" type="noConversion"/>
  </si>
  <si>
    <t>1-B(n*UCL;n_bar,p_hat)</t>
    <phoneticPr fontId="1" type="noConversion"/>
  </si>
  <si>
    <t>ARL_0</t>
    <phoneticPr fontId="1" type="noConversion"/>
  </si>
  <si>
    <t>p_1</t>
    <phoneticPr fontId="1" type="noConversion"/>
  </si>
  <si>
    <t>n\p</t>
    <phoneticPr fontId="1" type="noConversion"/>
  </si>
  <si>
    <t>P_new(lb)</t>
    <phoneticPr fontId="1" type="noConversion"/>
  </si>
  <si>
    <t>P_new(ub)</t>
    <phoneticPr fontId="1" type="noConversion"/>
  </si>
  <si>
    <t>β</t>
    <phoneticPr fontId="1" type="noConversion"/>
  </si>
  <si>
    <t>ARL_1</t>
    <phoneticPr fontId="1" type="noConversion"/>
  </si>
  <si>
    <t>Binom_0.05(lb)</t>
    <phoneticPr fontId="1" type="noConversion"/>
  </si>
  <si>
    <t>Binom_0.95(ub)</t>
    <phoneticPr fontId="1" type="noConversion"/>
  </si>
  <si>
    <t>P_1(UCL)</t>
    <phoneticPr fontId="1" type="noConversion"/>
  </si>
  <si>
    <t>P_1(LCL)</t>
    <phoneticPr fontId="1" type="noConversion"/>
  </si>
  <si>
    <t>p1</t>
    <phoneticPr fontId="1" type="noConversion"/>
  </si>
  <si>
    <t>period</t>
    <phoneticPr fontId="6" type="noConversion"/>
  </si>
  <si>
    <t>Number of Deaths</t>
    <phoneticPr fontId="6" type="noConversion"/>
  </si>
  <si>
    <t>New Taipei</t>
    <phoneticPr fontId="6" type="noConversion"/>
  </si>
  <si>
    <t>Taipei</t>
    <phoneticPr fontId="6" type="noConversion"/>
  </si>
  <si>
    <t>Taoyuan</t>
    <phoneticPr fontId="6" type="noConversion"/>
  </si>
  <si>
    <t>Taichung</t>
    <phoneticPr fontId="6" type="noConversion"/>
  </si>
  <si>
    <t>Tainan</t>
    <phoneticPr fontId="6" type="noConversion"/>
  </si>
  <si>
    <t>Kaohsiung</t>
    <phoneticPr fontId="6" type="noConversion"/>
  </si>
  <si>
    <t>Yilan</t>
    <phoneticPr fontId="6" type="noConversion"/>
  </si>
  <si>
    <t>Hsinchu</t>
    <phoneticPr fontId="6" type="noConversion"/>
  </si>
  <si>
    <t>Miaoli</t>
    <phoneticPr fontId="6" type="noConversion"/>
  </si>
  <si>
    <t>Hualien</t>
    <phoneticPr fontId="6" type="noConversion"/>
  </si>
  <si>
    <t>Keelung</t>
    <phoneticPr fontId="6" type="noConversion"/>
  </si>
  <si>
    <t>total death</t>
    <phoneticPr fontId="1" type="noConversion"/>
  </si>
  <si>
    <t>death number</t>
    <phoneticPr fontId="1" type="noConversion"/>
  </si>
  <si>
    <t>max death number</t>
    <phoneticPr fontId="1" type="noConversion"/>
  </si>
  <si>
    <t>min death number</t>
    <phoneticPr fontId="1" type="noConversion"/>
  </si>
  <si>
    <t>x_i</t>
    <phoneticPr fontId="1" type="noConversion"/>
  </si>
  <si>
    <t>frequence</t>
    <phoneticPr fontId="1" type="noConversion"/>
  </si>
  <si>
    <r>
      <t xml:space="preserve">p_i(poisson, </t>
    </r>
    <r>
      <rPr>
        <b/>
        <sz val="10"/>
        <rFont val="微軟正黑體"/>
        <family val="1"/>
        <charset val="136"/>
      </rPr>
      <t>λ=10</t>
    </r>
    <r>
      <rPr>
        <b/>
        <sz val="10"/>
        <rFont val="微軟正黑體"/>
        <family val="2"/>
        <charset val="136"/>
      </rPr>
      <t>)</t>
    </r>
    <phoneticPr fontId="1" type="noConversion"/>
  </si>
  <si>
    <t>~63</t>
    <phoneticPr fontId="1" type="noConversion"/>
  </si>
  <si>
    <t>140~</t>
    <phoneticPr fontId="1" type="noConversion"/>
  </si>
  <si>
    <t>np_i</t>
    <phoneticPr fontId="1" type="noConversion"/>
  </si>
  <si>
    <t>(X_i-np_i)^2/np_i</t>
    <phoneticPr fontId="1" type="noConversion"/>
  </si>
  <si>
    <t>infinity</t>
    <phoneticPr fontId="1" type="noConversion"/>
  </si>
  <si>
    <t>chisq</t>
    <phoneticPr fontId="1" type="noConversion"/>
  </si>
  <si>
    <t>k</t>
    <phoneticPr fontId="1" type="noConversion"/>
  </si>
  <si>
    <t>death in Taoyuan</t>
    <phoneticPr fontId="1" type="noConversion"/>
  </si>
  <si>
    <t>average</t>
    <phoneticPr fontId="1" type="noConversion"/>
  </si>
  <si>
    <t>sample variance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</si>
  <si>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λ</t>
    </r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</si>
  <si>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Calibri"/>
        <family val="1"/>
      </rPr>
      <t>_0</t>
    </r>
    <phoneticPr fontId="1" type="noConversion"/>
  </si>
  <si>
    <t>p(4;10)</t>
    <phoneticPr fontId="1" type="noConversion"/>
  </si>
  <si>
    <t>ub</t>
    <phoneticPr fontId="1" type="noConversion"/>
  </si>
  <si>
    <t>p(16;10)</t>
    <phoneticPr fontId="1" type="noConversion"/>
  </si>
  <si>
    <t>p(17;10)</t>
    <phoneticPr fontId="1" type="noConversion"/>
  </si>
  <si>
    <t>1-α</t>
    <phoneticPr fontId="1" type="noConversion"/>
  </si>
  <si>
    <t>α</t>
    <phoneticPr fontId="1" type="noConversion"/>
  </si>
  <si>
    <t>lb</t>
    <phoneticPr fontId="1" type="noConversion"/>
  </si>
  <si>
    <t>p-value</t>
    <phoneticPr fontId="1" type="noConversion"/>
  </si>
  <si>
    <t>month</t>
    <phoneticPr fontId="1" type="noConversion"/>
  </si>
  <si>
    <t>p(3;10)</t>
    <phoneticPr fontId="1" type="noConversion"/>
  </si>
  <si>
    <t>changed λ</t>
    <phoneticPr fontId="1" type="noConversion"/>
  </si>
  <si>
    <t>P(17;13)</t>
    <phoneticPr fontId="1" type="noConversion"/>
  </si>
  <si>
    <t>P(4;13)</t>
    <phoneticPr fontId="1" type="noConversion"/>
  </si>
  <si>
    <t>total death c</t>
    <phoneticPr fontId="1" type="noConversion"/>
  </si>
  <si>
    <r>
      <rPr>
        <b/>
        <sz val="10"/>
        <rFont val="微軟正黑體"/>
        <family val="1"/>
        <charset val="136"/>
      </rPr>
      <t>λ</t>
    </r>
    <r>
      <rPr>
        <b/>
        <sz val="10"/>
        <rFont val="微軟正黑體"/>
        <family val="2"/>
        <charset val="136"/>
      </rPr>
      <t>_hat</t>
    </r>
    <phoneticPr fontId="1" type="noConversion"/>
  </si>
  <si>
    <t>σ</t>
    <phoneticPr fontId="1" type="noConversion"/>
  </si>
  <si>
    <t>c_i</t>
    <phoneticPr fontId="1" type="noConversion"/>
  </si>
  <si>
    <r>
      <t>P(LCL;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_hat)</t>
    </r>
    <phoneticPr fontId="1" type="noConversion"/>
  </si>
  <si>
    <r>
      <t>1-P(UCL;</t>
    </r>
    <r>
      <rPr>
        <sz val="12"/>
        <color theme="1"/>
        <rFont val="新細明體"/>
        <family val="1"/>
        <charset val="136"/>
      </rPr>
      <t>λ_hat)</t>
    </r>
    <phoneticPr fontId="1" type="noConversion"/>
  </si>
  <si>
    <t xml:space="preserve">                  Bottom Zone</t>
  </si>
  <si>
    <t>up</t>
  </si>
  <si>
    <t>middle</t>
  </si>
  <si>
    <t>down</t>
  </si>
  <si>
    <t>left</t>
  </si>
  <si>
    <t>right</t>
  </si>
  <si>
    <r>
      <t>H_0: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right=</t>
    </r>
    <r>
      <rPr>
        <sz val="12"/>
        <color theme="1"/>
        <rFont val="Calibri"/>
        <family val="1"/>
        <charset val="161"/>
      </rPr>
      <t>μ</t>
    </r>
    <r>
      <rPr>
        <sz val="12"/>
        <color theme="1"/>
        <rFont val="新細明體"/>
        <family val="1"/>
        <charset val="136"/>
      </rPr>
      <t>left</t>
    </r>
    <phoneticPr fontId="1" type="noConversion"/>
  </si>
  <si>
    <t>s_p</t>
    <phoneticPr fontId="1" type="noConversion"/>
  </si>
  <si>
    <t>t-test</t>
    <phoneticPr fontId="1" type="noConversion"/>
  </si>
  <si>
    <t>t_0.99</t>
    <phoneticPr fontId="1" type="noConversion"/>
  </si>
  <si>
    <t>t_0.01</t>
    <phoneticPr fontId="1" type="noConversion"/>
  </si>
  <si>
    <r>
      <t>H_0: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^2_middel=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^_right</t>
    </r>
    <phoneticPr fontId="1" type="noConversion"/>
  </si>
  <si>
    <t>s^2_m/s^2_r</t>
    <phoneticPr fontId="1" type="noConversion"/>
  </si>
  <si>
    <t>F_0.02</t>
    <phoneticPr fontId="1" type="noConversion"/>
  </si>
  <si>
    <t>thickness</t>
    <phoneticPr fontId="1" type="noConversion"/>
  </si>
  <si>
    <t>min thickness</t>
    <phoneticPr fontId="1" type="noConversion"/>
  </si>
  <si>
    <t>max thickness</t>
    <phoneticPr fontId="1" type="noConversion"/>
  </si>
  <si>
    <t>2st smallest</t>
    <phoneticPr fontId="1" type="noConversion"/>
  </si>
  <si>
    <t>2st largest</t>
    <phoneticPr fontId="1" type="noConversion"/>
  </si>
  <si>
    <t>&lt;334</t>
    <phoneticPr fontId="1" type="noConversion"/>
  </si>
  <si>
    <t>&gt;358</t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</si>
  <si>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</si>
  <si>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estimated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</si>
  <si>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percentile</t>
    <phoneticPr fontId="1" type="noConversion"/>
  </si>
  <si>
    <t>new average</t>
    <phoneticPr fontId="1" type="noConversion"/>
  </si>
  <si>
    <t>new sample variance</t>
    <phoneticPr fontId="1" type="noConversion"/>
  </si>
  <si>
    <t>new standard error</t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</si>
  <si>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α</t>
    </r>
    <phoneticPr fontId="1" type="noConversion"/>
  </si>
  <si>
    <r>
      <t xml:space="preserve">new estimate </t>
    </r>
    <r>
      <rPr>
        <sz val="12"/>
        <color theme="1"/>
        <rFont val="Calibri"/>
        <family val="1"/>
        <charset val="161"/>
      </rPr>
      <t>β</t>
    </r>
    <phoneticPr fontId="1" type="noConversion"/>
  </si>
  <si>
    <t>new Gama.dist</t>
    <phoneticPr fontId="1" type="noConversion"/>
  </si>
  <si>
    <t>Gama.dist</t>
    <phoneticPr fontId="1" type="noConversion"/>
  </si>
  <si>
    <t>number x_i</t>
    <phoneticPr fontId="1" type="noConversion"/>
  </si>
  <si>
    <t>p_i (gamma.dist)</t>
    <phoneticPr fontId="1" type="noConversion"/>
  </si>
  <si>
    <t>sum</t>
    <phoneticPr fontId="1" type="noConversion"/>
  </si>
  <si>
    <t>(x_i-np_i)^2/(np_i)</t>
    <phoneticPr fontId="1" type="noConversion"/>
  </si>
  <si>
    <t>X^2</t>
    <phoneticPr fontId="1" type="noConversion"/>
  </si>
  <si>
    <t>4獎中獎數</t>
    <phoneticPr fontId="1" type="noConversion"/>
  </si>
  <si>
    <t>wafer number</t>
    <phoneticPr fontId="1" type="noConversion"/>
  </si>
  <si>
    <t>average X_bar</t>
    <phoneticPr fontId="1" type="noConversion"/>
  </si>
  <si>
    <t>range R</t>
    <phoneticPr fontId="1" type="noConversion"/>
  </si>
  <si>
    <t>X_bar_bar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</si>
  <si>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phoneticPr fontId="1" type="noConversion"/>
  </si>
  <si>
    <t>R_bar</t>
    <phoneticPr fontId="1" type="noConversion"/>
  </si>
  <si>
    <t>first</t>
    <phoneticPr fontId="1" type="noConversion"/>
  </si>
  <si>
    <t>revision_1</t>
    <phoneticPr fontId="1" type="noConversion"/>
  </si>
  <si>
    <r>
      <t xml:space="preserve">standard error </t>
    </r>
    <r>
      <rPr>
        <sz val="12"/>
        <color theme="1"/>
        <rFont val="Calibri"/>
        <family val="2"/>
        <charset val="161"/>
      </rPr>
      <t>σ</t>
    </r>
    <phoneticPr fontId="1" type="noConversion"/>
  </si>
  <si>
    <t>waffer number</t>
    <phoneticPr fontId="1" type="noConversion"/>
  </si>
  <si>
    <t>mu_0</t>
    <phoneticPr fontId="1" type="noConversion"/>
  </si>
  <si>
    <t>mu_1</t>
    <phoneticPr fontId="1" type="noConversion"/>
  </si>
  <si>
    <t>Δ</t>
    <phoneticPr fontId="1" type="noConversion"/>
  </si>
  <si>
    <t>accept H_0 (if higher)</t>
    <phoneticPr fontId="1" type="noConversion"/>
  </si>
  <si>
    <t>accept H_1 (if lower)</t>
    <phoneticPr fontId="1" type="noConversion"/>
  </si>
  <si>
    <t>C_t</t>
    <phoneticPr fontId="1" type="noConversion"/>
  </si>
  <si>
    <t>x_i-(mu_0+mu_1)/2</t>
    <phoneticPr fontId="1" type="noConversion"/>
  </si>
  <si>
    <t>accept H_0</t>
    <phoneticPr fontId="1" type="noConversion"/>
  </si>
  <si>
    <t>accept H_1</t>
    <phoneticPr fontId="1" type="noConversion"/>
  </si>
  <si>
    <t>K</t>
    <phoneticPr fontId="1" type="noConversion"/>
  </si>
  <si>
    <t>H</t>
    <phoneticPr fontId="1" type="noConversion"/>
  </si>
  <si>
    <t>h</t>
    <phoneticPr fontId="1" type="noConversion"/>
  </si>
  <si>
    <t>sequential likelihood ratio test</t>
    <phoneticPr fontId="1" type="noConversion"/>
  </si>
  <si>
    <t>x_i-(mu_0+K)</t>
    <phoneticPr fontId="1" type="noConversion"/>
  </si>
  <si>
    <t>x_i-(mu_0-K)</t>
    <phoneticPr fontId="1" type="noConversion"/>
  </si>
  <si>
    <t>C^+_i</t>
    <phoneticPr fontId="1" type="noConversion"/>
  </si>
  <si>
    <t>C^-_i</t>
    <phoneticPr fontId="1" type="noConversion"/>
  </si>
  <si>
    <t>N^+</t>
    <phoneticPr fontId="1" type="noConversion"/>
  </si>
  <si>
    <t>N^-</t>
    <phoneticPr fontId="1" type="noConversion"/>
  </si>
  <si>
    <t>(k,h)=(0.8,6)</t>
    <phoneticPr fontId="1" type="noConversion"/>
  </si>
  <si>
    <t>(k,h)=(0.5,5)</t>
    <phoneticPr fontId="1" type="noConversion"/>
  </si>
  <si>
    <t>New process mean</t>
    <phoneticPr fontId="1" type="noConversion"/>
  </si>
  <si>
    <t>δ</t>
    <phoneticPr fontId="1" type="noConversion"/>
  </si>
  <si>
    <t>h'</t>
    <phoneticPr fontId="1" type="noConversion"/>
  </si>
  <si>
    <t>k*</t>
    <phoneticPr fontId="1" type="noConversion"/>
  </si>
  <si>
    <t>δ*</t>
    <phoneticPr fontId="1" type="noConversion"/>
  </si>
  <si>
    <t>h*</t>
    <phoneticPr fontId="1" type="noConversion"/>
  </si>
  <si>
    <t>shift</t>
    <phoneticPr fontId="1" type="noConversion"/>
  </si>
  <si>
    <r>
      <t>0.5</t>
    </r>
    <r>
      <rPr>
        <sz val="12"/>
        <color theme="1"/>
        <rFont val="Calibri"/>
        <family val="1"/>
        <charset val="161"/>
      </rPr>
      <t>σ</t>
    </r>
    <phoneticPr fontId="1" type="noConversion"/>
  </si>
  <si>
    <r>
      <t>1.0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</si>
  <si>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1.5</t>
    </r>
    <r>
      <rPr>
        <sz val="12"/>
        <color theme="1"/>
        <rFont val="Calibri"/>
        <family val="2"/>
        <charset val="161"/>
      </rPr>
      <t>σ</t>
    </r>
    <phoneticPr fontId="1" type="noConversion"/>
  </si>
  <si>
    <r>
      <t>2.0</t>
    </r>
    <r>
      <rPr>
        <sz val="12"/>
        <color theme="1"/>
        <rFont val="Calibri"/>
        <family val="2"/>
        <charset val="161"/>
      </rPr>
      <t>σ</t>
    </r>
    <phoneticPr fontId="1" type="noConversion"/>
  </si>
  <si>
    <t>c_i^+</t>
    <phoneticPr fontId="1" type="noConversion"/>
  </si>
  <si>
    <t>c_i^-</t>
    <phoneticPr fontId="1" type="noConversion"/>
  </si>
  <si>
    <t>new process mean</t>
    <phoneticPr fontId="1" type="noConversion"/>
  </si>
  <si>
    <t>b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</si>
  <si>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*</t>
    </r>
    <phoneticPr fontId="1" type="noConversion"/>
  </si>
  <si>
    <t>L*</t>
    <phoneticPr fontId="1" type="noConversion"/>
  </si>
  <si>
    <t>g</t>
    <phoneticPr fontId="1" type="noConversion"/>
  </si>
  <si>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2"/>
        <charset val="136"/>
        <scheme val="minor"/>
      </rPr>
      <t>*</t>
    </r>
    <phoneticPr fontId="1" type="noConversion"/>
  </si>
  <si>
    <t>w</t>
    <phoneticPr fontId="1" type="noConversion"/>
  </si>
  <si>
    <t>φ(w)</t>
    <phoneticPr fontId="1" type="noConversion"/>
  </si>
  <si>
    <t>Φ(w)</t>
    <phoneticPr fontId="1" type="noConversion"/>
  </si>
  <si>
    <t>Z_0</t>
    <phoneticPr fontId="1" type="noConversion"/>
  </si>
  <si>
    <t>Z_i</t>
    <phoneticPr fontId="1" type="noConversion"/>
  </si>
  <si>
    <r>
      <t xml:space="preserve">standard error 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_x</t>
    </r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</si>
  <si>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^~</t>
    </r>
    <phoneticPr fontId="1" type="noConversion"/>
  </si>
  <si>
    <t>C_p</t>
    <phoneticPr fontId="1" type="noConversion"/>
  </si>
  <si>
    <t>C_pk</t>
    <phoneticPr fontId="1" type="noConversion"/>
  </si>
  <si>
    <t>C_pm</t>
    <phoneticPr fontId="1" type="noConversion"/>
  </si>
  <si>
    <t>C*_pm</t>
    <phoneticPr fontId="1" type="noConversion"/>
  </si>
  <si>
    <t>USL</t>
    <phoneticPr fontId="1" type="noConversion"/>
  </si>
  <si>
    <t>LSL</t>
    <phoneticPr fontId="1" type="noConversion"/>
  </si>
  <si>
    <t>Z_U</t>
    <phoneticPr fontId="1" type="noConversion"/>
  </si>
  <si>
    <t>Z_L</t>
    <phoneticPr fontId="1" type="noConversion"/>
  </si>
  <si>
    <t>out-of-spec%</t>
    <phoneticPr fontId="1" type="noConversion"/>
  </si>
  <si>
    <t>X-LSL</t>
    <phoneticPr fontId="1" type="noConversion"/>
  </si>
  <si>
    <t>USL-X</t>
    <phoneticPr fontId="1" type="noConversion"/>
  </si>
  <si>
    <t>USL-T</t>
    <phoneticPr fontId="1" type="noConversion"/>
  </si>
  <si>
    <t>T-LSL</t>
    <phoneticPr fontId="1" type="noConversion"/>
  </si>
  <si>
    <t>X_bar</t>
    <phoneticPr fontId="1" type="noConversion"/>
  </si>
  <si>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Calibri"/>
        <family val="1"/>
      </rPr>
      <t>_X</t>
    </r>
    <phoneticPr fontId="1" type="noConversion"/>
  </si>
  <si>
    <t>σ^~</t>
    <phoneticPr fontId="1" type="noConversion"/>
  </si>
  <si>
    <t>T=mu_0</t>
    <phoneticPr fontId="1" type="noConversion"/>
  </si>
  <si>
    <t>change</t>
    <phoneticPr fontId="1" type="noConversion"/>
  </si>
  <si>
    <t>333&lt;x&lt;=334</t>
    <phoneticPr fontId="1" type="noConversion"/>
  </si>
  <si>
    <t>334&lt;x&lt;=335</t>
    <phoneticPr fontId="1" type="noConversion"/>
  </si>
  <si>
    <t>335&lt;x&lt;=336</t>
    <phoneticPr fontId="1" type="noConversion"/>
  </si>
  <si>
    <t>336&lt;x&lt;=337</t>
    <phoneticPr fontId="1" type="noConversion"/>
  </si>
  <si>
    <t>337&lt;x&lt;=338</t>
    <phoneticPr fontId="1" type="noConversion"/>
  </si>
  <si>
    <t>338&lt;x&lt;=339</t>
    <phoneticPr fontId="1" type="noConversion"/>
  </si>
  <si>
    <t>339&lt;x&lt;=340</t>
    <phoneticPr fontId="1" type="noConversion"/>
  </si>
  <si>
    <t>340&lt;x&lt;=341</t>
    <phoneticPr fontId="1" type="noConversion"/>
  </si>
  <si>
    <t>331&lt;x&lt;=342</t>
    <phoneticPr fontId="1" type="noConversion"/>
  </si>
  <si>
    <t>342&lt;x&lt;=343</t>
    <phoneticPr fontId="1" type="noConversion"/>
  </si>
  <si>
    <t>343&lt;x&lt;=344</t>
    <phoneticPr fontId="1" type="noConversion"/>
  </si>
  <si>
    <t>344&lt;x&lt;=345</t>
    <phoneticPr fontId="1" type="noConversion"/>
  </si>
  <si>
    <t>345&lt;x&lt;=346</t>
    <phoneticPr fontId="1" type="noConversion"/>
  </si>
  <si>
    <t>346&lt;x&lt;=347</t>
    <phoneticPr fontId="1" type="noConversion"/>
  </si>
  <si>
    <t>347&lt;x&lt;=348</t>
    <phoneticPr fontId="1" type="noConversion"/>
  </si>
  <si>
    <t>348&lt;x&lt;=349</t>
    <phoneticPr fontId="1" type="noConversion"/>
  </si>
  <si>
    <t>349&lt;x&lt;=350</t>
    <phoneticPr fontId="1" type="noConversion"/>
  </si>
  <si>
    <t>350&lt;x&lt;=351</t>
    <phoneticPr fontId="1" type="noConversion"/>
  </si>
  <si>
    <t>351&lt;x&lt;=352</t>
    <phoneticPr fontId="1" type="noConversion"/>
  </si>
  <si>
    <t>352&lt;x&lt;=353</t>
    <phoneticPr fontId="1" type="noConversion"/>
  </si>
  <si>
    <t>353&lt;x&lt;=354</t>
    <phoneticPr fontId="1" type="noConversion"/>
  </si>
  <si>
    <t>354&lt;x&lt;=355</t>
    <phoneticPr fontId="1" type="noConversion"/>
  </si>
  <si>
    <t>355&lt;x&lt;=356</t>
    <phoneticPr fontId="1" type="noConversion"/>
  </si>
  <si>
    <t>356&lt;x&lt;=357</t>
    <phoneticPr fontId="1" type="noConversion"/>
  </si>
  <si>
    <t>357&lt;x&lt;=358</t>
    <phoneticPr fontId="1" type="noConversion"/>
  </si>
  <si>
    <t>358&lt;x</t>
    <phoneticPr fontId="1" type="noConversion"/>
  </si>
  <si>
    <t>x&lt;=333</t>
    <phoneticPr fontId="1" type="noConversion"/>
  </si>
  <si>
    <t>(LSL+USL)/2</t>
    <phoneticPr fontId="1" type="noConversion"/>
  </si>
  <si>
    <t>T</t>
    <phoneticPr fontId="1" type="noConversion"/>
  </si>
  <si>
    <r>
      <t xml:space="preserve">p_i(poisson </t>
    </r>
    <r>
      <rPr>
        <sz val="12"/>
        <color theme="1"/>
        <rFont val="Calibri"/>
        <family val="1"/>
        <charset val="161"/>
      </rPr>
      <t>λ</t>
    </r>
    <r>
      <rPr>
        <sz val="12"/>
        <color theme="1"/>
        <rFont val="新細明體"/>
        <family val="1"/>
        <charset val="136"/>
      </rPr>
      <t>=10)</t>
    </r>
    <phoneticPr fontId="1" type="noConversion"/>
  </si>
  <si>
    <t>~3</t>
    <phoneticPr fontId="1" type="noConversion"/>
  </si>
  <si>
    <t>18~</t>
    <phoneticPr fontId="1" type="noConversion"/>
  </si>
  <si>
    <t>X^2_0.1,15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</si>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</sst>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&quot;月&quot;d&quot;日&quot;"/>
    <numFmt numFmtId="177" formatCode="&quot;$&quot;#,##0.00_);[Red]\(&quot;$&quot;#,##0.00\)"/>
    <numFmt numFmtId="178" formatCode="0.00_);[Red]\(0.00\)"/>
    <numFmt numFmtId="179" formatCode="###,###,##0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  <font>
      <sz val="12"/>
      <color theme="1"/>
      <name val="Calibri"/>
      <family val="1"/>
    </font>
    <font>
      <sz val="10"/>
      <name val="微軟正黑體"/>
      <family val="2"/>
      <charset val="136"/>
    </font>
    <font>
      <sz val="9"/>
      <name val="細明體"/>
      <family val="3"/>
      <charset val="136"/>
    </font>
    <font>
      <b/>
      <sz val="10"/>
      <name val="微軟正黑體"/>
      <family val="2"/>
      <charset val="136"/>
    </font>
    <font>
      <b/>
      <sz val="10"/>
      <name val="微軟正黑體"/>
      <family val="1"/>
      <charset val="136"/>
    </font>
    <font>
      <sz val="12"/>
      <color theme="1"/>
      <name val="Calibri"/>
      <family val="2"/>
    </font>
    <font>
      <sz val="12"/>
      <color theme="1"/>
      <name val="Calibri"/>
      <family val="2"/>
      <charset val="161"/>
    </font>
    <font>
      <sz val="12"/>
      <color theme="1"/>
      <name val="新細明體"/>
      <family val="1"/>
      <charset val="161"/>
    </font>
    <font>
      <sz val="12"/>
      <color theme="1"/>
      <name val="新細明體"/>
      <family val="1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F6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7" fillId="2" borderId="5" xfId="0" applyFont="1" applyFill="1" applyBorder="1" applyAlignment="1">
      <alignment horizontal="center" vertical="top" wrapText="1"/>
    </xf>
    <xf numFmtId="17" fontId="5" fillId="0" borderId="4" xfId="0" applyNumberFormat="1" applyFont="1" applyBorder="1" applyAlignment="1">
      <alignment vertical="top"/>
    </xf>
    <xf numFmtId="179" fontId="5" fillId="0" borderId="5" xfId="0" applyNumberFormat="1" applyFont="1" applyBorder="1" applyAlignment="1">
      <alignment vertical="top"/>
    </xf>
    <xf numFmtId="0" fontId="5" fillId="0" borderId="5" xfId="0" applyFont="1" applyBorder="1" applyAlignment="1">
      <alignment horizontal="right" vertical="top"/>
    </xf>
    <xf numFmtId="0" fontId="7" fillId="2" borderId="6" xfId="0" applyFont="1" applyFill="1" applyBorder="1" applyAlignment="1">
      <alignment horizontal="center" vertical="top" wrapText="1"/>
    </xf>
    <xf numFmtId="179" fontId="0" fillId="0" borderId="0" xfId="0" applyNumberFormat="1">
      <alignment vertical="center"/>
    </xf>
    <xf numFmtId="179" fontId="5" fillId="0" borderId="0" xfId="0" applyNumberFormat="1" applyFont="1" applyFill="1" applyBorder="1" applyAlignment="1">
      <alignment vertical="top"/>
    </xf>
    <xf numFmtId="0" fontId="7" fillId="2" borderId="0" xfId="0" applyFont="1" applyFill="1" applyBorder="1" applyAlignment="1">
      <alignment horizontal="center" vertical="top" wrapText="1"/>
    </xf>
    <xf numFmtId="179" fontId="5" fillId="3" borderId="5" xfId="0" applyNumberFormat="1" applyFont="1" applyFill="1" applyBorder="1" applyAlignment="1">
      <alignment vertical="top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0" fillId="0" borderId="6" xfId="0" applyBorder="1">
      <alignment vertical="center"/>
    </xf>
    <xf numFmtId="0" fontId="3" fillId="0" borderId="9" xfId="0" applyFont="1" applyBorder="1">
      <alignment vertical="center"/>
    </xf>
    <xf numFmtId="0" fontId="0" fillId="0" borderId="5" xfId="0" applyBorder="1">
      <alignment vertical="center"/>
    </xf>
    <xf numFmtId="0" fontId="9" fillId="0" borderId="1" xfId="0" applyFont="1" applyBorder="1">
      <alignment vertical="center"/>
    </xf>
    <xf numFmtId="0" fontId="9" fillId="0" borderId="9" xfId="0" applyFont="1" applyBorder="1">
      <alignment vertical="center"/>
    </xf>
    <xf numFmtId="17" fontId="5" fillId="3" borderId="4" xfId="0" applyNumberFormat="1" applyFont="1" applyFill="1" applyBorder="1" applyAlignment="1">
      <alignment vertical="top"/>
    </xf>
    <xf numFmtId="16" fontId="0" fillId="0" borderId="0" xfId="0" applyNumberFormat="1">
      <alignment vertical="center"/>
    </xf>
    <xf numFmtId="0" fontId="9" fillId="0" borderId="1" xfId="0" applyFont="1" applyFill="1" applyBorder="1">
      <alignment vertical="center"/>
    </xf>
    <xf numFmtId="0" fontId="8" fillId="2" borderId="0" xfId="0" applyFont="1" applyFill="1" applyBorder="1" applyAlignment="1">
      <alignment horizontal="center" vertical="top" wrapText="1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9" fontId="5" fillId="0" borderId="0" xfId="0" applyNumberFormat="1" applyFont="1" applyBorder="1" applyAlignment="1">
      <alignment vertical="top"/>
    </xf>
    <xf numFmtId="0" fontId="0" fillId="0" borderId="0" xfId="0" applyAlignment="1">
      <alignment horizontal="center" vertical="center"/>
    </xf>
    <xf numFmtId="0" fontId="5" fillId="2" borderId="2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7" fillId="2" borderId="3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 vertical="center"/>
    </xf>
  </cellXfs>
  <cellStyles count="1">
    <cellStyle name="一般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'1-3,1-6'!$R$1:$R$51</c:f>
              <c:numCache>
                <c:formatCode>General</c:formatCode>
                <c:ptCount val="51"/>
                <c:pt idx="0">
                  <c:v>0.2</c:v>
                </c:pt>
                <c:pt idx="1">
                  <c:v>1.7840596158824487E-4</c:v>
                </c:pt>
                <c:pt idx="2">
                  <c:v>1.0927365147280013E-3</c:v>
                </c:pt>
                <c:pt idx="3">
                  <c:v>4.3709460589120034E-3</c:v>
                </c:pt>
                <c:pt idx="4">
                  <c:v>1.2839654048054015E-2</c:v>
                </c:pt>
                <c:pt idx="5">
                  <c:v>2.9531204310524199E-2</c:v>
                </c:pt>
                <c:pt idx="6">
                  <c:v>5.53710080822329E-2</c:v>
                </c:pt>
                <c:pt idx="7">
                  <c:v>8.7011584129223107E-2</c:v>
                </c:pt>
                <c:pt idx="8">
                  <c:v>0.11692181617364354</c:v>
                </c:pt>
                <c:pt idx="9">
                  <c:v>0.13640878553591748</c:v>
                </c:pt>
                <c:pt idx="10">
                  <c:v>0.13981900517431542</c:v>
                </c:pt>
                <c:pt idx="11">
                  <c:v>0.12710818652210495</c:v>
                </c:pt>
                <c:pt idx="12">
                  <c:v>0.10327540154921026</c:v>
                </c:pt>
                <c:pt idx="13">
                  <c:v>7.547048574749983E-2</c:v>
                </c:pt>
                <c:pt idx="14">
                  <c:v>4.9864428083169536E-2</c:v>
                </c:pt>
                <c:pt idx="15">
                  <c:v>2.9918656849901724E-2</c:v>
                </c:pt>
                <c:pt idx="16">
                  <c:v>1.6361765464789978E-2</c:v>
                </c:pt>
                <c:pt idx="17">
                  <c:v>8.1808827323950027E-3</c:v>
                </c:pt>
                <c:pt idx="18">
                  <c:v>3.749571252347708E-3</c:v>
                </c:pt>
                <c:pt idx="19">
                  <c:v>1.5787668430937724E-3</c:v>
                </c:pt>
                <c:pt idx="20">
                  <c:v>6.1177215169883688E-4</c:v>
                </c:pt>
                <c:pt idx="21">
                  <c:v>2.1849005417815619E-4</c:v>
                </c:pt>
                <c:pt idx="22">
                  <c:v>7.2002404217801246E-5</c:v>
                </c:pt>
                <c:pt idx="23">
                  <c:v>2.1913775196722255E-5</c:v>
                </c:pt>
                <c:pt idx="24">
                  <c:v>6.1632492740781163E-6</c:v>
                </c:pt>
                <c:pt idx="25">
                  <c:v>1.6024448112603061E-6</c:v>
                </c:pt>
                <c:pt idx="26">
                  <c:v>3.8520307962988147E-7</c:v>
                </c:pt>
                <c:pt idx="27">
                  <c:v>8.5600684362195939E-8</c:v>
                </c:pt>
                <c:pt idx="28">
                  <c:v>1.7578711967236712E-8</c:v>
                </c:pt>
                <c:pt idx="29">
                  <c:v>3.3338936489586804E-9</c:v>
                </c:pt>
                <c:pt idx="30">
                  <c:v>5.834313885677679E-10</c:v>
                </c:pt>
                <c:pt idx="31">
                  <c:v>9.4101836865768811E-11</c:v>
                </c:pt>
                <c:pt idx="32">
                  <c:v>1.3968241409762566E-11</c:v>
                </c:pt>
                <c:pt idx="33">
                  <c:v>1.9047601922403541E-12</c:v>
                </c:pt>
                <c:pt idx="34">
                  <c:v>2.3809502403004492E-13</c:v>
                </c:pt>
                <c:pt idx="35">
                  <c:v>2.7210859889147774E-14</c:v>
                </c:pt>
                <c:pt idx="36">
                  <c:v>2.8344645717862579E-15</c:v>
                </c:pt>
                <c:pt idx="37">
                  <c:v>2.6812502706085961E-16</c:v>
                </c:pt>
                <c:pt idx="38">
                  <c:v>2.2931745735468461E-17</c:v>
                </c:pt>
                <c:pt idx="39">
                  <c:v>1.7639804411898832E-18</c:v>
                </c:pt>
                <c:pt idx="40">
                  <c:v>1.212736553318041E-19</c:v>
                </c:pt>
                <c:pt idx="41">
                  <c:v>7.394735081207581E-21</c:v>
                </c:pt>
                <c:pt idx="42">
                  <c:v>3.9614652220754442E-22</c:v>
                </c:pt>
                <c:pt idx="43">
                  <c:v>1.8425419637560397E-23</c:v>
                </c:pt>
                <c:pt idx="44">
                  <c:v>7.3282919013024146E-25</c:v>
                </c:pt>
                <c:pt idx="45">
                  <c:v>2.4427639671008029E-26</c:v>
                </c:pt>
                <c:pt idx="46">
                  <c:v>6.6379455627738944E-28</c:v>
                </c:pt>
                <c:pt idx="47">
                  <c:v>1.4123288431433983E-29</c:v>
                </c:pt>
                <c:pt idx="48">
                  <c:v>2.2067638174115406E-31</c:v>
                </c:pt>
                <c:pt idx="49">
                  <c:v>2.2517998136852455E-33</c:v>
                </c:pt>
                <c:pt idx="50">
                  <c:v>1.1258999068426267E-35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8-416A-987D-ADEE3178D8F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'1-3,1-6'!$S$1:$S$51</c:f>
              <c:numCache>
                <c:formatCode>General</c:formatCode>
                <c:ptCount val="51"/>
                <c:pt idx="0">
                  <c:v>0.5</c:v>
                </c:pt>
                <c:pt idx="1">
                  <c:v>4.4408920985006533E-14</c:v>
                </c:pt>
                <c:pt idx="2">
                  <c:v>1.0880185641326522E-12</c:v>
                </c:pt>
                <c:pt idx="3">
                  <c:v>1.7408297026122522E-11</c:v>
                </c:pt>
                <c:pt idx="4">
                  <c:v>2.0454749005693866E-10</c:v>
                </c:pt>
                <c:pt idx="5">
                  <c:v>1.8818369085238295E-9</c:v>
                </c:pt>
                <c:pt idx="6">
                  <c:v>1.411377681392873E-8</c:v>
                </c:pt>
                <c:pt idx="7">
                  <c:v>8.8715168544695043E-8</c:v>
                </c:pt>
                <c:pt idx="8">
                  <c:v>4.7684403092773685E-7</c:v>
                </c:pt>
                <c:pt idx="9">
                  <c:v>2.225272144329444E-6</c:v>
                </c:pt>
                <c:pt idx="10">
                  <c:v>9.1236157917506673E-6</c:v>
                </c:pt>
                <c:pt idx="11">
                  <c:v>3.3176784697275137E-5</c:v>
                </c:pt>
                <c:pt idx="12">
                  <c:v>1.0782455026614464E-4</c:v>
                </c:pt>
                <c:pt idx="13">
                  <c:v>3.1517945462411457E-4</c:v>
                </c:pt>
                <c:pt idx="14">
                  <c:v>8.3297427293515961E-4</c:v>
                </c:pt>
                <c:pt idx="15">
                  <c:v>1.9991382550443907E-3</c:v>
                </c:pt>
                <c:pt idx="16">
                  <c:v>4.3731149329095925E-3</c:v>
                </c:pt>
                <c:pt idx="17">
                  <c:v>8.7462298658191901E-3</c:v>
                </c:pt>
                <c:pt idx="18">
                  <c:v>1.6034754754001845E-2</c:v>
                </c:pt>
                <c:pt idx="19">
                  <c:v>2.7005902743582024E-2</c:v>
                </c:pt>
                <c:pt idx="20">
                  <c:v>4.1859149252552186E-2</c:v>
                </c:pt>
                <c:pt idx="21">
                  <c:v>5.9798784646503088E-2</c:v>
                </c:pt>
                <c:pt idx="22">
                  <c:v>7.882567067039048E-2</c:v>
                </c:pt>
                <c:pt idx="23">
                  <c:v>9.5961686033518831E-2</c:v>
                </c:pt>
                <c:pt idx="24">
                  <c:v>0.10795689678770866</c:v>
                </c:pt>
                <c:pt idx="25">
                  <c:v>0.11227517265921706</c:v>
                </c:pt>
                <c:pt idx="26">
                  <c:v>0.10795689678770866</c:v>
                </c:pt>
                <c:pt idx="27">
                  <c:v>9.5961686033518831E-2</c:v>
                </c:pt>
                <c:pt idx="28">
                  <c:v>7.882567067039048E-2</c:v>
                </c:pt>
                <c:pt idx="29">
                  <c:v>5.9798784646503088E-2</c:v>
                </c:pt>
                <c:pt idx="30">
                  <c:v>4.1859149252552186E-2</c:v>
                </c:pt>
                <c:pt idx="31">
                  <c:v>2.7005902743582024E-2</c:v>
                </c:pt>
                <c:pt idx="32">
                  <c:v>1.6034754754001845E-2</c:v>
                </c:pt>
                <c:pt idx="33">
                  <c:v>8.7462298658191901E-3</c:v>
                </c:pt>
                <c:pt idx="34">
                  <c:v>4.3731149329095925E-3</c:v>
                </c:pt>
                <c:pt idx="35">
                  <c:v>1.9991382550443907E-3</c:v>
                </c:pt>
                <c:pt idx="36">
                  <c:v>8.3297427293516015E-4</c:v>
                </c:pt>
                <c:pt idx="37">
                  <c:v>3.1517945462411457E-4</c:v>
                </c:pt>
                <c:pt idx="38">
                  <c:v>1.0782455026614464E-4</c:v>
                </c:pt>
                <c:pt idx="39">
                  <c:v>3.3176784697275137E-5</c:v>
                </c:pt>
                <c:pt idx="40">
                  <c:v>9.1236157917506673E-6</c:v>
                </c:pt>
                <c:pt idx="41">
                  <c:v>2.225272144329444E-6</c:v>
                </c:pt>
                <c:pt idx="42">
                  <c:v>4.7684403092773685E-7</c:v>
                </c:pt>
                <c:pt idx="43">
                  <c:v>8.8715168544695043E-8</c:v>
                </c:pt>
                <c:pt idx="44">
                  <c:v>1.411377681392873E-8</c:v>
                </c:pt>
                <c:pt idx="45">
                  <c:v>1.8818369085238295E-9</c:v>
                </c:pt>
                <c:pt idx="46">
                  <c:v>2.0454749005693866E-10</c:v>
                </c:pt>
                <c:pt idx="47">
                  <c:v>1.7408297026122522E-11</c:v>
                </c:pt>
                <c:pt idx="48">
                  <c:v>1.088018564132656E-12</c:v>
                </c:pt>
                <c:pt idx="49">
                  <c:v>4.4408920985006533E-14</c:v>
                </c:pt>
                <c:pt idx="50">
                  <c:v>8.8817841970012444E-16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8-416A-987D-ADEE3178D8F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'1-3,1-6'!$T$1:$T$51</c:f>
              <c:numCache>
                <c:formatCode>General</c:formatCode>
                <c:ptCount val="51"/>
                <c:pt idx="0">
                  <c:v>0.8</c:v>
                </c:pt>
                <c:pt idx="1">
                  <c:v>2.2517998136852134E-33</c:v>
                </c:pt>
                <c:pt idx="2">
                  <c:v>2.2067638174115406E-31</c:v>
                </c:pt>
                <c:pt idx="3">
                  <c:v>1.4123288431433782E-29</c:v>
                </c:pt>
                <c:pt idx="4">
                  <c:v>6.6379455627738944E-28</c:v>
                </c:pt>
                <c:pt idx="5">
                  <c:v>2.4427639671007857E-26</c:v>
                </c:pt>
                <c:pt idx="6">
                  <c:v>7.3282919013024146E-25</c:v>
                </c:pt>
                <c:pt idx="7">
                  <c:v>1.8425419637560265E-23</c:v>
                </c:pt>
                <c:pt idx="8">
                  <c:v>3.961465222075416E-22</c:v>
                </c:pt>
                <c:pt idx="9">
                  <c:v>7.3947350812074757E-21</c:v>
                </c:pt>
                <c:pt idx="10">
                  <c:v>1.2127365533180323E-19</c:v>
                </c:pt>
                <c:pt idx="11">
                  <c:v>1.7639804411898705E-18</c:v>
                </c:pt>
                <c:pt idx="12">
                  <c:v>2.2931745735468298E-17</c:v>
                </c:pt>
                <c:pt idx="13">
                  <c:v>2.6812502706086153E-16</c:v>
                </c:pt>
                <c:pt idx="14">
                  <c:v>2.8344645717862373E-15</c:v>
                </c:pt>
                <c:pt idx="15">
                  <c:v>2.7210859889147774E-14</c:v>
                </c:pt>
                <c:pt idx="16">
                  <c:v>2.3809502403004321E-13</c:v>
                </c:pt>
                <c:pt idx="17">
                  <c:v>1.9047601922403404E-12</c:v>
                </c:pt>
                <c:pt idx="18">
                  <c:v>1.3968241409762516E-11</c:v>
                </c:pt>
                <c:pt idx="19">
                  <c:v>9.4101836865768152E-11</c:v>
                </c:pt>
                <c:pt idx="20">
                  <c:v>5.834313885677679E-10</c:v>
                </c:pt>
                <c:pt idx="21">
                  <c:v>3.3338936489586684E-9</c:v>
                </c:pt>
                <c:pt idx="22">
                  <c:v>1.757871196723646E-8</c:v>
                </c:pt>
                <c:pt idx="23">
                  <c:v>8.560068436219533E-8</c:v>
                </c:pt>
                <c:pt idx="24">
                  <c:v>3.852030796298801E-7</c:v>
                </c:pt>
                <c:pt idx="25">
                  <c:v>1.6024448112603033E-6</c:v>
                </c:pt>
                <c:pt idx="26">
                  <c:v>6.1632492740781053E-6</c:v>
                </c:pt>
                <c:pt idx="27">
                  <c:v>2.1913775196722137E-5</c:v>
                </c:pt>
                <c:pt idx="28">
                  <c:v>7.2002404217801381E-5</c:v>
                </c:pt>
                <c:pt idx="29">
                  <c:v>2.184900541781554E-4</c:v>
                </c:pt>
                <c:pt idx="30">
                  <c:v>6.1177215169883525E-4</c:v>
                </c:pt>
                <c:pt idx="31">
                  <c:v>1.57876684309377E-3</c:v>
                </c:pt>
                <c:pt idx="32">
                  <c:v>3.7495712523477015E-3</c:v>
                </c:pt>
                <c:pt idx="33">
                  <c:v>8.1808827323949888E-3</c:v>
                </c:pt>
                <c:pt idx="34">
                  <c:v>1.6361765464789978E-2</c:v>
                </c:pt>
                <c:pt idx="35">
                  <c:v>2.9918656849901699E-2</c:v>
                </c:pt>
                <c:pt idx="36">
                  <c:v>4.9864428083169501E-2</c:v>
                </c:pt>
                <c:pt idx="37">
                  <c:v>7.5470485747499816E-2</c:v>
                </c:pt>
                <c:pt idx="38">
                  <c:v>0.10327540154921024</c:v>
                </c:pt>
                <c:pt idx="39">
                  <c:v>0.12710818652210493</c:v>
                </c:pt>
                <c:pt idx="40">
                  <c:v>0.13981900517431542</c:v>
                </c:pt>
                <c:pt idx="41">
                  <c:v>0.13640878553591751</c:v>
                </c:pt>
                <c:pt idx="42">
                  <c:v>0.11692181617364357</c:v>
                </c:pt>
                <c:pt idx="43">
                  <c:v>8.7011584129223191E-2</c:v>
                </c:pt>
                <c:pt idx="44">
                  <c:v>5.5371008082232921E-2</c:v>
                </c:pt>
                <c:pt idx="45">
                  <c:v>2.9531204310524212E-2</c:v>
                </c:pt>
                <c:pt idx="46">
                  <c:v>1.2839654048054027E-2</c:v>
                </c:pt>
                <c:pt idx="47">
                  <c:v>4.3709460589120069E-3</c:v>
                </c:pt>
                <c:pt idx="48">
                  <c:v>1.0927365147280032E-3</c:v>
                </c:pt>
                <c:pt idx="49">
                  <c:v>1.784059615882452E-4</c:v>
                </c:pt>
                <c:pt idx="50">
                  <c:v>1.4272476927059631E-5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78-416A-987D-ADEE3178D8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231007"/>
        <c:axId val="684231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'1-3,1-6'!$Q$1:$Q$51</c15:sqref>
                        </c15:formulaRef>
                      </c:ext>
                    </c:extLst>
                    <c:numCache>
                      <c:formatCode>General</c:formatCode>
                      <c:ptCount val="5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478-416A-987D-ADEE3178D8F2}"/>
                  </c:ext>
                </c:extLst>
              </c15:ser>
            </c15:filteredBarSeries>
          </c:ext>
        </c:extLst>
      </c:barChart>
      <c:catAx>
        <c:axId val="684231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423"/>
        <c:crosses val="autoZero"/>
        <c:auto val="1"/>
        <c:lblAlgn val="ctr"/>
        <c:lblOffset val="100"/>
        <c:noMultiLvlLbl val="0"/>
      </c:catAx>
      <c:valAx>
        <c:axId val="6842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231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 ch</a:t>
            </a:r>
            <a:r>
              <a:rPr lang="en-US" altLang="zh-TW" baseline="0"/>
              <a:t>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'1-4,1-7'!$J$1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'1-4,1-7'!$J$2:$J$51</c:f>
              <c:numCache>
                <c:formatCode>General</c:formatCode>
                <c:ptCount val="50"/>
                <c:pt idx="0">
                  <c:v>4.4184483411577548E-5</c:v>
                </c:pt>
                <c:pt idx="1">
                  <c:v>4.4184483411577548E-5</c:v>
                </c:pt>
                <c:pt idx="2">
                  <c:v>4.4184483411577548E-5</c:v>
                </c:pt>
                <c:pt idx="3">
                  <c:v>4.4184483411577548E-5</c:v>
                </c:pt>
                <c:pt idx="4">
                  <c:v>4.4184483411577548E-5</c:v>
                </c:pt>
                <c:pt idx="5">
                  <c:v>4.4184483411577548E-5</c:v>
                </c:pt>
                <c:pt idx="6">
                  <c:v>4.4184483411577548E-5</c:v>
                </c:pt>
                <c:pt idx="7">
                  <c:v>4.4184483411577548E-5</c:v>
                </c:pt>
                <c:pt idx="8">
                  <c:v>4.4184483411577548E-5</c:v>
                </c:pt>
                <c:pt idx="9">
                  <c:v>4.4184483411577548E-5</c:v>
                </c:pt>
                <c:pt idx="10">
                  <c:v>4.4184483411577548E-5</c:v>
                </c:pt>
                <c:pt idx="11">
                  <c:v>4.4184483411577548E-5</c:v>
                </c:pt>
                <c:pt idx="12">
                  <c:v>4.4184483411577548E-5</c:v>
                </c:pt>
                <c:pt idx="13">
                  <c:v>4.4184483411577548E-5</c:v>
                </c:pt>
                <c:pt idx="14">
                  <c:v>4.4184483411577548E-5</c:v>
                </c:pt>
                <c:pt idx="15">
                  <c:v>4.4184483411577548E-5</c:v>
                </c:pt>
                <c:pt idx="16">
                  <c:v>4.4184483411577548E-5</c:v>
                </c:pt>
                <c:pt idx="17">
                  <c:v>4.4184483411577548E-5</c:v>
                </c:pt>
                <c:pt idx="18">
                  <c:v>4.4184483411577548E-5</c:v>
                </c:pt>
                <c:pt idx="19">
                  <c:v>4.4184483411577548E-5</c:v>
                </c:pt>
                <c:pt idx="20">
                  <c:v>4.4184483411577548E-5</c:v>
                </c:pt>
                <c:pt idx="21">
                  <c:v>4.4184483411577548E-5</c:v>
                </c:pt>
                <c:pt idx="22">
                  <c:v>4.4184483411577548E-5</c:v>
                </c:pt>
                <c:pt idx="23">
                  <c:v>4.4184483411577548E-5</c:v>
                </c:pt>
                <c:pt idx="24">
                  <c:v>4.4184483411577548E-5</c:v>
                </c:pt>
                <c:pt idx="25">
                  <c:v>4.4184483411577548E-5</c:v>
                </c:pt>
                <c:pt idx="26">
                  <c:v>4.4184483411577548E-5</c:v>
                </c:pt>
                <c:pt idx="27">
                  <c:v>4.4184483411577548E-5</c:v>
                </c:pt>
                <c:pt idx="28">
                  <c:v>4.4184483411577548E-5</c:v>
                </c:pt>
                <c:pt idx="29">
                  <c:v>4.4184483411577548E-5</c:v>
                </c:pt>
                <c:pt idx="30">
                  <c:v>4.4184483411577548E-5</c:v>
                </c:pt>
                <c:pt idx="31">
                  <c:v>4.4184483411577548E-5</c:v>
                </c:pt>
                <c:pt idx="32">
                  <c:v>4.4184483411577548E-5</c:v>
                </c:pt>
                <c:pt idx="33">
                  <c:v>4.4184483411577548E-5</c:v>
                </c:pt>
                <c:pt idx="34">
                  <c:v>4.4184483411577548E-5</c:v>
                </c:pt>
                <c:pt idx="35">
                  <c:v>4.4184483411577548E-5</c:v>
                </c:pt>
                <c:pt idx="36">
                  <c:v>4.4184483411577548E-5</c:v>
                </c:pt>
                <c:pt idx="37">
                  <c:v>4.4184483411577548E-5</c:v>
                </c:pt>
                <c:pt idx="38">
                  <c:v>4.4184483411577548E-5</c:v>
                </c:pt>
                <c:pt idx="39">
                  <c:v>4.4184483411577548E-5</c:v>
                </c:pt>
                <c:pt idx="40">
                  <c:v>4.4184483411577548E-5</c:v>
                </c:pt>
                <c:pt idx="41">
                  <c:v>4.4184483411577548E-5</c:v>
                </c:pt>
                <c:pt idx="42">
                  <c:v>4.4184483411577548E-5</c:v>
                </c:pt>
                <c:pt idx="43">
                  <c:v>4.4184483411577548E-5</c:v>
                </c:pt>
                <c:pt idx="44">
                  <c:v>4.4184483411577548E-5</c:v>
                </c:pt>
                <c:pt idx="45">
                  <c:v>4.4184483411577548E-5</c:v>
                </c:pt>
                <c:pt idx="46">
                  <c:v>4.4184483411577548E-5</c:v>
                </c:pt>
                <c:pt idx="47">
                  <c:v>4.4184483411577548E-5</c:v>
                </c:pt>
                <c:pt idx="48">
                  <c:v>4.4184483411577548E-5</c:v>
                </c:pt>
                <c:pt idx="49">
                  <c:v>4.4184483411577548E-5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50-43C7-9668-6303D879894B}"/>
            </c:ext>
          </c:extLst>
        </c:ser>
        <c:ser>
          <c:idx val="1"/>
          <c:order val="1"/>
          <c:tx>
            <c:strRef>
              <c:f>'1-4,1-7'!$K$1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'1-4,1-7'!$K$2:$K$51</c:f>
              <c:numCache>
                <c:formatCode>General</c:formatCode>
                <c:ptCount val="50"/>
                <c:pt idx="0">
                  <c:v>5.608883172918657E-5</c:v>
                </c:pt>
                <c:pt idx="1">
                  <c:v>5.608883172918657E-5</c:v>
                </c:pt>
                <c:pt idx="2">
                  <c:v>5.608883172918657E-5</c:v>
                </c:pt>
                <c:pt idx="3">
                  <c:v>5.608883172918657E-5</c:v>
                </c:pt>
                <c:pt idx="4">
                  <c:v>5.608883172918657E-5</c:v>
                </c:pt>
                <c:pt idx="5">
                  <c:v>5.608883172918657E-5</c:v>
                </c:pt>
                <c:pt idx="6">
                  <c:v>5.608883172918657E-5</c:v>
                </c:pt>
                <c:pt idx="7">
                  <c:v>5.608883172918657E-5</c:v>
                </c:pt>
                <c:pt idx="8">
                  <c:v>5.608883172918657E-5</c:v>
                </c:pt>
                <c:pt idx="9">
                  <c:v>5.608883172918657E-5</c:v>
                </c:pt>
                <c:pt idx="10">
                  <c:v>5.608883172918657E-5</c:v>
                </c:pt>
                <c:pt idx="11">
                  <c:v>5.608883172918657E-5</c:v>
                </c:pt>
                <c:pt idx="12">
                  <c:v>5.608883172918657E-5</c:v>
                </c:pt>
                <c:pt idx="13">
                  <c:v>5.608883172918657E-5</c:v>
                </c:pt>
                <c:pt idx="14">
                  <c:v>5.608883172918657E-5</c:v>
                </c:pt>
                <c:pt idx="15">
                  <c:v>5.608883172918657E-5</c:v>
                </c:pt>
                <c:pt idx="16">
                  <c:v>5.608883172918657E-5</c:v>
                </c:pt>
                <c:pt idx="17">
                  <c:v>5.608883172918657E-5</c:v>
                </c:pt>
                <c:pt idx="18">
                  <c:v>5.608883172918657E-5</c:v>
                </c:pt>
                <c:pt idx="19">
                  <c:v>5.608883172918657E-5</c:v>
                </c:pt>
                <c:pt idx="20">
                  <c:v>5.608883172918657E-5</c:v>
                </c:pt>
                <c:pt idx="21">
                  <c:v>5.608883172918657E-5</c:v>
                </c:pt>
                <c:pt idx="22">
                  <c:v>5.608883172918657E-5</c:v>
                </c:pt>
                <c:pt idx="23">
                  <c:v>5.608883172918657E-5</c:v>
                </c:pt>
                <c:pt idx="24">
                  <c:v>5.608883172918657E-5</c:v>
                </c:pt>
                <c:pt idx="25">
                  <c:v>5.608883172918657E-5</c:v>
                </c:pt>
                <c:pt idx="26">
                  <c:v>5.608883172918657E-5</c:v>
                </c:pt>
                <c:pt idx="27">
                  <c:v>5.608883172918657E-5</c:v>
                </c:pt>
                <c:pt idx="28">
                  <c:v>5.608883172918657E-5</c:v>
                </c:pt>
                <c:pt idx="29">
                  <c:v>5.608883172918657E-5</c:v>
                </c:pt>
                <c:pt idx="30">
                  <c:v>5.608883172918657E-5</c:v>
                </c:pt>
                <c:pt idx="31">
                  <c:v>5.608883172918657E-5</c:v>
                </c:pt>
                <c:pt idx="32">
                  <c:v>5.608883172918657E-5</c:v>
                </c:pt>
                <c:pt idx="33">
                  <c:v>5.608883172918657E-5</c:v>
                </c:pt>
                <c:pt idx="34">
                  <c:v>5.608883172918657E-5</c:v>
                </c:pt>
                <c:pt idx="35">
                  <c:v>5.608883172918657E-5</c:v>
                </c:pt>
                <c:pt idx="36">
                  <c:v>5.608883172918657E-5</c:v>
                </c:pt>
                <c:pt idx="37">
                  <c:v>5.608883172918657E-5</c:v>
                </c:pt>
                <c:pt idx="38">
                  <c:v>5.608883172918657E-5</c:v>
                </c:pt>
                <c:pt idx="39">
                  <c:v>5.608883172918657E-5</c:v>
                </c:pt>
                <c:pt idx="40">
                  <c:v>5.608883172918657E-5</c:v>
                </c:pt>
                <c:pt idx="41">
                  <c:v>5.608883172918657E-5</c:v>
                </c:pt>
                <c:pt idx="42">
                  <c:v>5.608883172918657E-5</c:v>
                </c:pt>
                <c:pt idx="43">
                  <c:v>5.608883172918657E-5</c:v>
                </c:pt>
                <c:pt idx="44">
                  <c:v>5.608883172918657E-5</c:v>
                </c:pt>
                <c:pt idx="45">
                  <c:v>5.608883172918657E-5</c:v>
                </c:pt>
                <c:pt idx="46">
                  <c:v>5.608883172918657E-5</c:v>
                </c:pt>
                <c:pt idx="47">
                  <c:v>5.608883172918657E-5</c:v>
                </c:pt>
                <c:pt idx="48">
                  <c:v>5.608883172918657E-5</c:v>
                </c:pt>
                <c:pt idx="49">
                  <c:v>5.608883172918657E-5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50-43C7-9668-6303D879894B}"/>
            </c:ext>
          </c:extLst>
        </c:ser>
        <c:ser>
          <c:idx val="2"/>
          <c:order val="2"/>
          <c:tx>
            <c:strRef>
              <c:f>'1-4,1-7'!$L$1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'1-4,1-7'!$L$2:$L$51</c:f>
              <c:numCache>
                <c:formatCode>General</c:formatCode>
                <c:ptCount val="50"/>
                <c:pt idx="0">
                  <c:v>3.2280135093968526E-5</c:v>
                </c:pt>
                <c:pt idx="1">
                  <c:v>3.2280135093968526E-5</c:v>
                </c:pt>
                <c:pt idx="2">
                  <c:v>3.2280135093968526E-5</c:v>
                </c:pt>
                <c:pt idx="3">
                  <c:v>3.2280135093968526E-5</c:v>
                </c:pt>
                <c:pt idx="4">
                  <c:v>3.2280135093968526E-5</c:v>
                </c:pt>
                <c:pt idx="5">
                  <c:v>3.2280135093968526E-5</c:v>
                </c:pt>
                <c:pt idx="6">
                  <c:v>3.2280135093968526E-5</c:v>
                </c:pt>
                <c:pt idx="7">
                  <c:v>3.2280135093968526E-5</c:v>
                </c:pt>
                <c:pt idx="8">
                  <c:v>3.2280135093968526E-5</c:v>
                </c:pt>
                <c:pt idx="9">
                  <c:v>3.2280135093968526E-5</c:v>
                </c:pt>
                <c:pt idx="10">
                  <c:v>3.2280135093968526E-5</c:v>
                </c:pt>
                <c:pt idx="11">
                  <c:v>3.2280135093968526E-5</c:v>
                </c:pt>
                <c:pt idx="12">
                  <c:v>3.2280135093968526E-5</c:v>
                </c:pt>
                <c:pt idx="13">
                  <c:v>3.2280135093968526E-5</c:v>
                </c:pt>
                <c:pt idx="14">
                  <c:v>3.2280135093968526E-5</c:v>
                </c:pt>
                <c:pt idx="15">
                  <c:v>3.2280135093968526E-5</c:v>
                </c:pt>
                <c:pt idx="16">
                  <c:v>3.2280135093968526E-5</c:v>
                </c:pt>
                <c:pt idx="17">
                  <c:v>3.2280135093968526E-5</c:v>
                </c:pt>
                <c:pt idx="18">
                  <c:v>3.2280135093968526E-5</c:v>
                </c:pt>
                <c:pt idx="19">
                  <c:v>3.2280135093968526E-5</c:v>
                </c:pt>
                <c:pt idx="20">
                  <c:v>3.2280135093968526E-5</c:v>
                </c:pt>
                <c:pt idx="21">
                  <c:v>3.2280135093968526E-5</c:v>
                </c:pt>
                <c:pt idx="22">
                  <c:v>3.2280135093968526E-5</c:v>
                </c:pt>
                <c:pt idx="23">
                  <c:v>3.2280135093968526E-5</c:v>
                </c:pt>
                <c:pt idx="24">
                  <c:v>3.2280135093968526E-5</c:v>
                </c:pt>
                <c:pt idx="25">
                  <c:v>3.2280135093968526E-5</c:v>
                </c:pt>
                <c:pt idx="26">
                  <c:v>3.2280135093968526E-5</c:v>
                </c:pt>
                <c:pt idx="27">
                  <c:v>3.2280135093968526E-5</c:v>
                </c:pt>
                <c:pt idx="28">
                  <c:v>3.2280135093968526E-5</c:v>
                </c:pt>
                <c:pt idx="29">
                  <c:v>3.2280135093968526E-5</c:v>
                </c:pt>
                <c:pt idx="30">
                  <c:v>3.2280135093968526E-5</c:v>
                </c:pt>
                <c:pt idx="31">
                  <c:v>3.2280135093968526E-5</c:v>
                </c:pt>
                <c:pt idx="32">
                  <c:v>3.2280135093968526E-5</c:v>
                </c:pt>
                <c:pt idx="33">
                  <c:v>3.2280135093968526E-5</c:v>
                </c:pt>
                <c:pt idx="34">
                  <c:v>3.2280135093968526E-5</c:v>
                </c:pt>
                <c:pt idx="35">
                  <c:v>3.2280135093968526E-5</c:v>
                </c:pt>
                <c:pt idx="36">
                  <c:v>3.2280135093968526E-5</c:v>
                </c:pt>
                <c:pt idx="37">
                  <c:v>3.2280135093968526E-5</c:v>
                </c:pt>
                <c:pt idx="38">
                  <c:v>3.2280135093968526E-5</c:v>
                </c:pt>
                <c:pt idx="39">
                  <c:v>3.2280135093968526E-5</c:v>
                </c:pt>
                <c:pt idx="40">
                  <c:v>3.2280135093968526E-5</c:v>
                </c:pt>
                <c:pt idx="41">
                  <c:v>3.2280135093968526E-5</c:v>
                </c:pt>
                <c:pt idx="42">
                  <c:v>3.2280135093968526E-5</c:v>
                </c:pt>
                <c:pt idx="43">
                  <c:v>3.2280135093968526E-5</c:v>
                </c:pt>
                <c:pt idx="44">
                  <c:v>3.2280135093968526E-5</c:v>
                </c:pt>
                <c:pt idx="45">
                  <c:v>3.2280135093968526E-5</c:v>
                </c:pt>
                <c:pt idx="46">
                  <c:v>3.2280135093968526E-5</c:v>
                </c:pt>
                <c:pt idx="47">
                  <c:v>3.2280135093968526E-5</c:v>
                </c:pt>
                <c:pt idx="48">
                  <c:v>3.2280135093968526E-5</c:v>
                </c:pt>
                <c:pt idx="49">
                  <c:v>3.2280135093968526E-5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50-43C7-9668-6303D879894B}"/>
            </c:ext>
          </c:extLst>
        </c:ser>
        <c:ser>
          <c:idx val="3"/>
          <c:order val="3"/>
          <c:tx>
            <c:strRef>
              <c:f>'1-4,1-7'!$I$1</c:f>
              <c:strCache>
                <c:ptCount val="1"/>
                <c:pt idx="0">
                  <c:v>d/n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'1-4,1-7'!$I$2:$I$51</c:f>
              <c:numCache>
                <c:formatCode>General</c:formatCode>
                <c:ptCount val="50"/>
                <c:pt idx="0">
                  <c:v>4.125539096887757E-5</c:v>
                </c:pt>
                <c:pt idx="1">
                  <c:v>4.5474094832663551E-5</c:v>
                </c:pt>
                <c:pt idx="2">
                  <c:v>4.2645491758492186E-5</c:v>
                </c:pt>
                <c:pt idx="3">
                  <c:v>4.6881609187531177E-5</c:v>
                </c:pt>
                <c:pt idx="4">
                  <c:v>6.2692899059471201E-5</c:v>
                </c:pt>
                <c:pt idx="5">
                  <c:v>3.7564700253462869E-5</c:v>
                </c:pt>
                <c:pt idx="6">
                  <c:v>3.76573232489956E-5</c:v>
                </c:pt>
                <c:pt idx="7">
                  <c:v>4.7381219612971857E-5</c:v>
                </c:pt>
                <c:pt idx="8">
                  <c:v>4.4080875740064705E-5</c:v>
                </c:pt>
                <c:pt idx="9">
                  <c:v>4.4594701059421446E-5</c:v>
                </c:pt>
                <c:pt idx="10">
                  <c:v>5.3960900223378682E-5</c:v>
                </c:pt>
                <c:pt idx="11">
                  <c:v>4.8720715804756601E-5</c:v>
                </c:pt>
                <c:pt idx="12">
                  <c:v>3.3946244085715625E-5</c:v>
                </c:pt>
                <c:pt idx="13">
                  <c:v>3.7710732285854896E-5</c:v>
                </c:pt>
                <c:pt idx="14">
                  <c:v>5.3098422939706924E-5</c:v>
                </c:pt>
                <c:pt idx="15">
                  <c:v>3.7119710649770111E-5</c:v>
                </c:pt>
                <c:pt idx="16">
                  <c:v>4.6819818522882855E-5</c:v>
                </c:pt>
                <c:pt idx="17">
                  <c:v>5.3288996887922582E-5</c:v>
                </c:pt>
                <c:pt idx="18">
                  <c:v>4.9420695772334039E-5</c:v>
                </c:pt>
                <c:pt idx="19">
                  <c:v>4.6353866879724127E-5</c:v>
                </c:pt>
                <c:pt idx="20">
                  <c:v>4.2918222752789234E-5</c:v>
                </c:pt>
                <c:pt idx="21">
                  <c:v>4.6764085438624703E-5</c:v>
                </c:pt>
                <c:pt idx="22">
                  <c:v>4.4884636360200218E-5</c:v>
                </c:pt>
                <c:pt idx="23">
                  <c:v>3.9549596017355679E-5</c:v>
                </c:pt>
                <c:pt idx="24">
                  <c:v>4.4893936558194223E-5</c:v>
                </c:pt>
                <c:pt idx="25">
                  <c:v>4.0095113042993377E-5</c:v>
                </c:pt>
                <c:pt idx="26">
                  <c:v>4.7381116471399033E-5</c:v>
                </c:pt>
                <c:pt idx="27">
                  <c:v>4.2830654027763454E-5</c:v>
                </c:pt>
                <c:pt idx="28">
                  <c:v>3.4147299894195906E-5</c:v>
                </c:pt>
                <c:pt idx="29">
                  <c:v>3.8167471230264156E-5</c:v>
                </c:pt>
                <c:pt idx="30">
                  <c:v>3.2831212523078682E-5</c:v>
                </c:pt>
                <c:pt idx="31">
                  <c:v>5.523084244374642E-5</c:v>
                </c:pt>
                <c:pt idx="32">
                  <c:v>4.6864642978751294E-5</c:v>
                </c:pt>
                <c:pt idx="33">
                  <c:v>4.3015682483279012E-5</c:v>
                </c:pt>
                <c:pt idx="34">
                  <c:v>3.7047283890277503E-5</c:v>
                </c:pt>
                <c:pt idx="35">
                  <c:v>5.0130280708684354E-5</c:v>
                </c:pt>
                <c:pt idx="36">
                  <c:v>3.7157718919747129E-5</c:v>
                </c:pt>
                <c:pt idx="37">
                  <c:v>3.6519640777830895E-5</c:v>
                </c:pt>
                <c:pt idx="38">
                  <c:v>3.3685156074556477E-5</c:v>
                </c:pt>
                <c:pt idx="39">
                  <c:v>5.6453251868602638E-5</c:v>
                </c:pt>
                <c:pt idx="40">
                  <c:v>3.4983127928925944E-5</c:v>
                </c:pt>
                <c:pt idx="41">
                  <c:v>4.3026379951619223E-5</c:v>
                </c:pt>
                <c:pt idx="42">
                  <c:v>4.3436857844529463E-5</c:v>
                </c:pt>
                <c:pt idx="43">
                  <c:v>3.3045217351325258E-5</c:v>
                </c:pt>
                <c:pt idx="44">
                  <c:v>3.9990777435524745E-5</c:v>
                </c:pt>
                <c:pt idx="45">
                  <c:v>4.7794166456460842E-5</c:v>
                </c:pt>
                <c:pt idx="46">
                  <c:v>4.9421154725280155E-5</c:v>
                </c:pt>
                <c:pt idx="47">
                  <c:v>6.5939963963042953E-5</c:v>
                </c:pt>
                <c:pt idx="48">
                  <c:v>3.2996909109202456E-5</c:v>
                </c:pt>
                <c:pt idx="49">
                  <c:v>6.3408970186349607E-5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50-43C7-9668-6303D879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123695"/>
        <c:axId val="681121615"/>
      </c:scatterChart>
      <c:valAx>
        <c:axId val="681123695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sets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1615"/>
        <c:crosses val="autoZero"/>
        <c:crossBetween val="midCat"/>
      </c:valAx>
      <c:valAx>
        <c:axId val="68112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d/n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112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'2-4'!$AK$2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'2-4'!$AK$3:$AK$53</c:f>
              <c:numCache>
                <c:formatCode>###,###,##0</c:formatCode>
                <c:ptCount val="51"/>
                <c:pt idx="0">
                  <c:v>9.8571428571428577</c:v>
                </c:pt>
                <c:pt idx="1">
                  <c:v>9.8571428571428577</c:v>
                </c:pt>
                <c:pt idx="2">
                  <c:v>9.8571428571428577</c:v>
                </c:pt>
                <c:pt idx="3">
                  <c:v>9.8571428571428577</c:v>
                </c:pt>
                <c:pt idx="4">
                  <c:v>9.8571428571428577</c:v>
                </c:pt>
                <c:pt idx="5">
                  <c:v>9.8571428571428577</c:v>
                </c:pt>
                <c:pt idx="6">
                  <c:v>9.8571428571428577</c:v>
                </c:pt>
                <c:pt idx="7">
                  <c:v>9.8571428571428577</c:v>
                </c:pt>
                <c:pt idx="8">
                  <c:v>9.8571428571428577</c:v>
                </c:pt>
                <c:pt idx="9">
                  <c:v>9.8571428571428577</c:v>
                </c:pt>
                <c:pt idx="10">
                  <c:v>9.8571428571428577</c:v>
                </c:pt>
                <c:pt idx="11">
                  <c:v>9.8571428571428577</c:v>
                </c:pt>
                <c:pt idx="12">
                  <c:v>9.8571428571428577</c:v>
                </c:pt>
                <c:pt idx="13">
                  <c:v>9.8571428571428577</c:v>
                </c:pt>
                <c:pt idx="14">
                  <c:v>9.8571428571428577</c:v>
                </c:pt>
                <c:pt idx="15">
                  <c:v>9.8571428571428577</c:v>
                </c:pt>
                <c:pt idx="16">
                  <c:v>9.8571428571428577</c:v>
                </c:pt>
                <c:pt idx="17">
                  <c:v>9.8571428571428577</c:v>
                </c:pt>
                <c:pt idx="18">
                  <c:v>9.8571428571428577</c:v>
                </c:pt>
                <c:pt idx="19">
                  <c:v>9.8571428571428577</c:v>
                </c:pt>
                <c:pt idx="20">
                  <c:v>9.8571428571428577</c:v>
                </c:pt>
                <c:pt idx="21">
                  <c:v>9.8571428571428577</c:v>
                </c:pt>
                <c:pt idx="22">
                  <c:v>9.8571428571428577</c:v>
                </c:pt>
                <c:pt idx="23">
                  <c:v>9.8571428571428577</c:v>
                </c:pt>
                <c:pt idx="24">
                  <c:v>9.8571428571428577</c:v>
                </c:pt>
                <c:pt idx="25">
                  <c:v>9.8571428571428577</c:v>
                </c:pt>
                <c:pt idx="26">
                  <c:v>9.8571428571428577</c:v>
                </c:pt>
                <c:pt idx="27">
                  <c:v>9.8571428571428577</c:v>
                </c:pt>
                <c:pt idx="28">
                  <c:v>9.8571428571428577</c:v>
                </c:pt>
                <c:pt idx="29">
                  <c:v>9.8571428571428577</c:v>
                </c:pt>
                <c:pt idx="30">
                  <c:v>9.8571428571428577</c:v>
                </c:pt>
                <c:pt idx="31">
                  <c:v>9.8571428571428577</c:v>
                </c:pt>
                <c:pt idx="32">
                  <c:v>9.8571428571428577</c:v>
                </c:pt>
                <c:pt idx="33">
                  <c:v>9.8571428571428577</c:v>
                </c:pt>
                <c:pt idx="34">
                  <c:v>9.8571428571428577</c:v>
                </c:pt>
                <c:pt idx="35">
                  <c:v>9.8571428571428577</c:v>
                </c:pt>
                <c:pt idx="36">
                  <c:v>9.8571428571428577</c:v>
                </c:pt>
                <c:pt idx="37">
                  <c:v>9.8571428571428577</c:v>
                </c:pt>
                <c:pt idx="38">
                  <c:v>9.8571428571428577</c:v>
                </c:pt>
                <c:pt idx="39">
                  <c:v>9.8571428571428577</c:v>
                </c:pt>
                <c:pt idx="40">
                  <c:v>9.8571428571428577</c:v>
                </c:pt>
                <c:pt idx="41">
                  <c:v>9.8571428571428577</c:v>
                </c:pt>
                <c:pt idx="42">
                  <c:v>9.8571428571428577</c:v>
                </c:pt>
                <c:pt idx="43">
                  <c:v>9.8571428571428577</c:v>
                </c:pt>
                <c:pt idx="44">
                  <c:v>9.8571428571428577</c:v>
                </c:pt>
                <c:pt idx="45">
                  <c:v>9.8571428571428577</c:v>
                </c:pt>
                <c:pt idx="46">
                  <c:v>9.8571428571428577</c:v>
                </c:pt>
                <c:pt idx="47">
                  <c:v>9.8571428571428577</c:v>
                </c:pt>
                <c:pt idx="48">
                  <c:v>9.8571428571428577</c:v>
                </c:pt>
                <c:pt idx="49">
                  <c:v>9.8571428571428577</c:v>
                </c:pt>
                <c:pt idx="50">
                  <c:v>9.8571428571428577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47-4BA3-8451-C78AB3B10F99}"/>
            </c:ext>
          </c:extLst>
        </c:ser>
        <c:ser>
          <c:idx val="1"/>
          <c:order val="1"/>
          <c:tx>
            <c:strRef>
              <c:f>'2-4'!$AL$2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'2-4'!$AL$3:$AL$53</c:f>
              <c:numCache>
                <c:formatCode>General</c:formatCode>
                <c:ptCount val="51"/>
                <c:pt idx="0">
                  <c:v>19.275968989643964</c:v>
                </c:pt>
                <c:pt idx="1">
                  <c:v>19.275968989643964</c:v>
                </c:pt>
                <c:pt idx="2">
                  <c:v>19.275968989643964</c:v>
                </c:pt>
                <c:pt idx="3">
                  <c:v>19.275968989643964</c:v>
                </c:pt>
                <c:pt idx="4">
                  <c:v>19.275968989643964</c:v>
                </c:pt>
                <c:pt idx="5">
                  <c:v>19.275968989643964</c:v>
                </c:pt>
                <c:pt idx="6">
                  <c:v>19.275968989643964</c:v>
                </c:pt>
                <c:pt idx="7">
                  <c:v>19.275968989643964</c:v>
                </c:pt>
                <c:pt idx="8">
                  <c:v>19.275968989643964</c:v>
                </c:pt>
                <c:pt idx="9">
                  <c:v>19.275968989643964</c:v>
                </c:pt>
                <c:pt idx="10">
                  <c:v>19.275968989643964</c:v>
                </c:pt>
                <c:pt idx="11">
                  <c:v>19.275968989643964</c:v>
                </c:pt>
                <c:pt idx="12">
                  <c:v>19.275968989643964</c:v>
                </c:pt>
                <c:pt idx="13">
                  <c:v>19.275968989643964</c:v>
                </c:pt>
                <c:pt idx="14">
                  <c:v>19.275968989643964</c:v>
                </c:pt>
                <c:pt idx="15">
                  <c:v>19.275968989643964</c:v>
                </c:pt>
                <c:pt idx="16">
                  <c:v>19.275968989643964</c:v>
                </c:pt>
                <c:pt idx="17">
                  <c:v>19.275968989643964</c:v>
                </c:pt>
                <c:pt idx="18">
                  <c:v>19.275968989643964</c:v>
                </c:pt>
                <c:pt idx="19">
                  <c:v>19.275968989643964</c:v>
                </c:pt>
                <c:pt idx="20">
                  <c:v>19.275968989643964</c:v>
                </c:pt>
                <c:pt idx="21">
                  <c:v>19.275968989643964</c:v>
                </c:pt>
                <c:pt idx="22">
                  <c:v>19.275968989643964</c:v>
                </c:pt>
                <c:pt idx="23">
                  <c:v>19.275968989643964</c:v>
                </c:pt>
                <c:pt idx="24">
                  <c:v>19.275968989643964</c:v>
                </c:pt>
                <c:pt idx="25">
                  <c:v>19.275968989643964</c:v>
                </c:pt>
                <c:pt idx="26">
                  <c:v>19.275968989643964</c:v>
                </c:pt>
                <c:pt idx="27">
                  <c:v>19.275968989643964</c:v>
                </c:pt>
                <c:pt idx="28">
                  <c:v>19.275968989643964</c:v>
                </c:pt>
                <c:pt idx="29">
                  <c:v>19.275968989643964</c:v>
                </c:pt>
                <c:pt idx="30">
                  <c:v>19.275968989643964</c:v>
                </c:pt>
                <c:pt idx="31">
                  <c:v>19.275968989643964</c:v>
                </c:pt>
                <c:pt idx="32">
                  <c:v>19.275968989643964</c:v>
                </c:pt>
                <c:pt idx="33">
                  <c:v>19.275968989643964</c:v>
                </c:pt>
                <c:pt idx="34">
                  <c:v>19.275968989643964</c:v>
                </c:pt>
                <c:pt idx="35">
                  <c:v>19.275968989643964</c:v>
                </c:pt>
                <c:pt idx="36">
                  <c:v>19.275968989643964</c:v>
                </c:pt>
                <c:pt idx="37">
                  <c:v>19.275968989643964</c:v>
                </c:pt>
                <c:pt idx="38">
                  <c:v>19.275968989643964</c:v>
                </c:pt>
                <c:pt idx="39">
                  <c:v>19.275968989643964</c:v>
                </c:pt>
                <c:pt idx="40">
                  <c:v>19.275968989643964</c:v>
                </c:pt>
                <c:pt idx="41">
                  <c:v>19.275968989643964</c:v>
                </c:pt>
                <c:pt idx="42">
                  <c:v>19.275968989643964</c:v>
                </c:pt>
                <c:pt idx="43">
                  <c:v>19.275968989643964</c:v>
                </c:pt>
                <c:pt idx="44">
                  <c:v>19.275968989643964</c:v>
                </c:pt>
                <c:pt idx="45">
                  <c:v>19.275968989643964</c:v>
                </c:pt>
                <c:pt idx="46">
                  <c:v>19.275968989643964</c:v>
                </c:pt>
                <c:pt idx="47">
                  <c:v>19.275968989643964</c:v>
                </c:pt>
                <c:pt idx="48">
                  <c:v>19.275968989643964</c:v>
                </c:pt>
                <c:pt idx="49">
                  <c:v>19.275968989643964</c:v>
                </c:pt>
                <c:pt idx="50">
                  <c:v>19.275968989643964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47-4BA3-8451-C78AB3B10F99}"/>
            </c:ext>
          </c:extLst>
        </c:ser>
        <c:ser>
          <c:idx val="2"/>
          <c:order val="2"/>
          <c:tx>
            <c:strRef>
              <c:f>'2-4'!$AM$2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'2-4'!$AM$3:$AM$53</c:f>
              <c:numCache>
                <c:formatCode>General</c:formatCode>
                <c:ptCount val="51"/>
                <c:pt idx="0">
                  <c:v>0.4383167246417532</c:v>
                </c:pt>
                <c:pt idx="1">
                  <c:v>0.4383167246417532</c:v>
                </c:pt>
                <c:pt idx="2">
                  <c:v>0.4383167246417532</c:v>
                </c:pt>
                <c:pt idx="3">
                  <c:v>0.4383167246417532</c:v>
                </c:pt>
                <c:pt idx="4">
                  <c:v>0.4383167246417532</c:v>
                </c:pt>
                <c:pt idx="5">
                  <c:v>0.4383167246417532</c:v>
                </c:pt>
                <c:pt idx="6">
                  <c:v>0.4383167246417532</c:v>
                </c:pt>
                <c:pt idx="7">
                  <c:v>0.4383167246417532</c:v>
                </c:pt>
                <c:pt idx="8">
                  <c:v>0.4383167246417532</c:v>
                </c:pt>
                <c:pt idx="9">
                  <c:v>0.4383167246417532</c:v>
                </c:pt>
                <c:pt idx="10">
                  <c:v>0.4383167246417532</c:v>
                </c:pt>
                <c:pt idx="11">
                  <c:v>0.4383167246417532</c:v>
                </c:pt>
                <c:pt idx="12">
                  <c:v>0.4383167246417532</c:v>
                </c:pt>
                <c:pt idx="13">
                  <c:v>0.4383167246417532</c:v>
                </c:pt>
                <c:pt idx="14">
                  <c:v>0.4383167246417532</c:v>
                </c:pt>
                <c:pt idx="15">
                  <c:v>0.4383167246417532</c:v>
                </c:pt>
                <c:pt idx="16">
                  <c:v>0.4383167246417532</c:v>
                </c:pt>
                <c:pt idx="17">
                  <c:v>0.4383167246417532</c:v>
                </c:pt>
                <c:pt idx="18">
                  <c:v>0.4383167246417532</c:v>
                </c:pt>
                <c:pt idx="19">
                  <c:v>0.4383167246417532</c:v>
                </c:pt>
                <c:pt idx="20">
                  <c:v>0.4383167246417532</c:v>
                </c:pt>
                <c:pt idx="21">
                  <c:v>0.4383167246417532</c:v>
                </c:pt>
                <c:pt idx="22">
                  <c:v>0.4383167246417532</c:v>
                </c:pt>
                <c:pt idx="23">
                  <c:v>0.4383167246417532</c:v>
                </c:pt>
                <c:pt idx="24">
                  <c:v>0.4383167246417532</c:v>
                </c:pt>
                <c:pt idx="25">
                  <c:v>0.4383167246417532</c:v>
                </c:pt>
                <c:pt idx="26">
                  <c:v>0.4383167246417532</c:v>
                </c:pt>
                <c:pt idx="27">
                  <c:v>0.4383167246417532</c:v>
                </c:pt>
                <c:pt idx="28">
                  <c:v>0.4383167246417532</c:v>
                </c:pt>
                <c:pt idx="29">
                  <c:v>0.4383167246417532</c:v>
                </c:pt>
                <c:pt idx="30">
                  <c:v>0.4383167246417532</c:v>
                </c:pt>
                <c:pt idx="31">
                  <c:v>0.4383167246417532</c:v>
                </c:pt>
                <c:pt idx="32">
                  <c:v>0.4383167246417532</c:v>
                </c:pt>
                <c:pt idx="33">
                  <c:v>0.4383167246417532</c:v>
                </c:pt>
                <c:pt idx="34">
                  <c:v>0.4383167246417532</c:v>
                </c:pt>
                <c:pt idx="35">
                  <c:v>0.4383167246417532</c:v>
                </c:pt>
                <c:pt idx="36">
                  <c:v>0.4383167246417532</c:v>
                </c:pt>
                <c:pt idx="37">
                  <c:v>0.4383167246417532</c:v>
                </c:pt>
                <c:pt idx="38">
                  <c:v>0.4383167246417532</c:v>
                </c:pt>
                <c:pt idx="39">
                  <c:v>0.4383167246417532</c:v>
                </c:pt>
                <c:pt idx="40">
                  <c:v>0.4383167246417532</c:v>
                </c:pt>
                <c:pt idx="41">
                  <c:v>0.4383167246417532</c:v>
                </c:pt>
                <c:pt idx="42">
                  <c:v>0.4383167246417532</c:v>
                </c:pt>
                <c:pt idx="43">
                  <c:v>0.4383167246417532</c:v>
                </c:pt>
                <c:pt idx="44">
                  <c:v>0.4383167246417532</c:v>
                </c:pt>
                <c:pt idx="45">
                  <c:v>0.4383167246417532</c:v>
                </c:pt>
                <c:pt idx="46">
                  <c:v>0.4383167246417532</c:v>
                </c:pt>
                <c:pt idx="47">
                  <c:v>0.4383167246417532</c:v>
                </c:pt>
                <c:pt idx="48">
                  <c:v>0.4383167246417532</c:v>
                </c:pt>
                <c:pt idx="49">
                  <c:v>0.4383167246417532</c:v>
                </c:pt>
                <c:pt idx="50">
                  <c:v>0.4383167246417532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47-4BA3-8451-C78AB3B10F99}"/>
            </c:ext>
          </c:extLst>
        </c:ser>
        <c:ser>
          <c:idx val="3"/>
          <c:order val="3"/>
          <c:tx>
            <c:strRef>
              <c:f>'2-4'!$AJ$2</c:f>
              <c:strCache>
                <c:ptCount val="1"/>
                <c:pt idx="0">
                  <c:v>c_i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'2-4'!$AJ$3:$AJ$53</c:f>
              <c:numCache>
                <c:formatCode>###,###,##0</c:formatCode>
                <c:ptCount val="51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10</c:v>
                </c:pt>
                <c:pt idx="4">
                  <c:v>11</c:v>
                </c:pt>
                <c:pt idx="5">
                  <c:v>8</c:v>
                </c:pt>
                <c:pt idx="6">
                  <c:v>9</c:v>
                </c:pt>
                <c:pt idx="7">
                  <c:v>16</c:v>
                </c:pt>
                <c:pt idx="8">
                  <c:v>9</c:v>
                </c:pt>
                <c:pt idx="9">
                  <c:v>8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11</c:v>
                </c:pt>
                <c:pt idx="14">
                  <c:v>13</c:v>
                </c:pt>
                <c:pt idx="15">
                  <c:v>10</c:v>
                </c:pt>
                <c:pt idx="16">
                  <c:v>9</c:v>
                </c:pt>
                <c:pt idx="17">
                  <c:v>13</c:v>
                </c:pt>
                <c:pt idx="18">
                  <c:v>12</c:v>
                </c:pt>
                <c:pt idx="19">
                  <c:v>17</c:v>
                </c:pt>
                <c:pt idx="20">
                  <c:v>9</c:v>
                </c:pt>
                <c:pt idx="21">
                  <c:v>12</c:v>
                </c:pt>
                <c:pt idx="22">
                  <c:v>13</c:v>
                </c:pt>
                <c:pt idx="23">
                  <c:v>14</c:v>
                </c:pt>
                <c:pt idx="24">
                  <c:v>16</c:v>
                </c:pt>
                <c:pt idx="25">
                  <c:v>21</c:v>
                </c:pt>
                <c:pt idx="26">
                  <c:v>12</c:v>
                </c:pt>
                <c:pt idx="27">
                  <c:v>10</c:v>
                </c:pt>
                <c:pt idx="28">
                  <c:v>17</c:v>
                </c:pt>
                <c:pt idx="29">
                  <c:v>20</c:v>
                </c:pt>
                <c:pt idx="30">
                  <c:v>10</c:v>
                </c:pt>
                <c:pt idx="31">
                  <c:v>8</c:v>
                </c:pt>
                <c:pt idx="32">
                  <c:v>8</c:v>
                </c:pt>
                <c:pt idx="33">
                  <c:v>14</c:v>
                </c:pt>
                <c:pt idx="34">
                  <c:v>11</c:v>
                </c:pt>
                <c:pt idx="35">
                  <c:v>20</c:v>
                </c:pt>
                <c:pt idx="36">
                  <c:v>13</c:v>
                </c:pt>
                <c:pt idx="37">
                  <c:v>16</c:v>
                </c:pt>
                <c:pt idx="38">
                  <c:v>9</c:v>
                </c:pt>
                <c:pt idx="39">
                  <c:v>16</c:v>
                </c:pt>
                <c:pt idx="40">
                  <c:v>14</c:v>
                </c:pt>
                <c:pt idx="41">
                  <c:v>16</c:v>
                </c:pt>
                <c:pt idx="42">
                  <c:v>16</c:v>
                </c:pt>
                <c:pt idx="43">
                  <c:v>14</c:v>
                </c:pt>
                <c:pt idx="44">
                  <c:v>19</c:v>
                </c:pt>
                <c:pt idx="45">
                  <c:v>7</c:v>
                </c:pt>
                <c:pt idx="46">
                  <c:v>15</c:v>
                </c:pt>
                <c:pt idx="47">
                  <c:v>13</c:v>
                </c:pt>
                <c:pt idx="48">
                  <c:v>17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47-4BA3-8451-C78AB3B10F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3578384"/>
        <c:axId val="1913579216"/>
      </c:scatterChart>
      <c:valAx>
        <c:axId val="1913578384"/>
        <c:scaling>
          <c:orientation val="minMax"/>
          <c:max val="5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n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9216"/>
        <c:crosses val="autoZero"/>
        <c:crossBetween val="midCat"/>
      </c:valAx>
      <c:valAx>
        <c:axId val="191357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death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###,##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1357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number of thickness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'3-3'!$F$1</c:f>
              <c:strCache>
                <c:ptCount val="1"/>
                <c:pt idx="0">
                  <c:v>number x_i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'3-3'!$D$2:$D$28</c:f>
              <c:strCache>
                <c:ptCount val="27"/>
                <c:pt idx="0">
                  <c:v>x&lt;=333</c:v>
                </c:pt>
                <c:pt idx="1">
                  <c:v>333&lt;x&lt;=334</c:v>
                </c:pt>
                <c:pt idx="2">
                  <c:v>334&lt;x&lt;=335</c:v>
                </c:pt>
                <c:pt idx="3">
                  <c:v>335&lt;x&lt;=336</c:v>
                </c:pt>
                <c:pt idx="4">
                  <c:v>336&lt;x&lt;=337</c:v>
                </c:pt>
                <c:pt idx="5">
                  <c:v>337&lt;x&lt;=338</c:v>
                </c:pt>
                <c:pt idx="6">
                  <c:v>338&lt;x&lt;=339</c:v>
                </c:pt>
                <c:pt idx="7">
                  <c:v>339&lt;x&lt;=340</c:v>
                </c:pt>
                <c:pt idx="8">
                  <c:v>340&lt;x&lt;=341</c:v>
                </c:pt>
                <c:pt idx="9">
                  <c:v>331&lt;x&lt;=342</c:v>
                </c:pt>
                <c:pt idx="10">
                  <c:v>342&lt;x&lt;=343</c:v>
                </c:pt>
                <c:pt idx="11">
                  <c:v>343&lt;x&lt;=344</c:v>
                </c:pt>
                <c:pt idx="12">
                  <c:v>344&lt;x&lt;=345</c:v>
                </c:pt>
                <c:pt idx="13">
                  <c:v>345&lt;x&lt;=346</c:v>
                </c:pt>
                <c:pt idx="14">
                  <c:v>346&lt;x&lt;=347</c:v>
                </c:pt>
                <c:pt idx="15">
                  <c:v>347&lt;x&lt;=348</c:v>
                </c:pt>
                <c:pt idx="16">
                  <c:v>348&lt;x&lt;=349</c:v>
                </c:pt>
                <c:pt idx="17">
                  <c:v>349&lt;x&lt;=350</c:v>
                </c:pt>
                <c:pt idx="18">
                  <c:v>350&lt;x&lt;=351</c:v>
                </c:pt>
                <c:pt idx="19">
                  <c:v>351&lt;x&lt;=352</c:v>
                </c:pt>
                <c:pt idx="20">
                  <c:v>352&lt;x&lt;=353</c:v>
                </c:pt>
                <c:pt idx="21">
                  <c:v>353&lt;x&lt;=354</c:v>
                </c:pt>
                <c:pt idx="22">
                  <c:v>354&lt;x&lt;=355</c:v>
                </c:pt>
                <c:pt idx="23">
                  <c:v>355&lt;x&lt;=356</c:v>
                </c:pt>
                <c:pt idx="24">
                  <c:v>356&lt;x&lt;=357</c:v>
                </c:pt>
                <c:pt idx="25">
                  <c:v>357&lt;x&lt;=358</c:v>
                </c:pt>
                <c:pt idx="26">
                  <c:v>358&lt;x</c:v>
                </c:pt>
              </c:strCache>
            </c:strRef>
          </c:cat>
          <c:val>
            <c:numRef>
              <c:f>'3-3'!$F$2:$F$28</c:f>
              <c:numCache>
                <c:formatCode>General</c:formatCode>
                <c:ptCount val="2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2</c:v>
                </c:pt>
                <c:pt idx="16">
                  <c:v>10</c:v>
                </c:pt>
                <c:pt idx="17">
                  <c:v>6</c:v>
                </c:pt>
                <c:pt idx="18">
                  <c:v>12</c:v>
                </c:pt>
                <c:pt idx="19">
                  <c:v>9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4</c:v>
                </c:pt>
                <c:pt idx="24">
                  <c:v>4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2-48CE-B1A1-3FCB0EE37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878128"/>
        <c:axId val="244881456"/>
      </c:barChart>
      <c:catAx>
        <c:axId val="244878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81456"/>
        <c:crosses val="autoZero"/>
        <c:auto val="1"/>
        <c:lblAlgn val="ctr"/>
        <c:lblOffset val="100"/>
        <c:noMultiLvlLbl val="0"/>
      </c:catAx>
      <c:valAx>
        <c:axId val="2448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44878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r>
              <a:rPr lang="en-US" altLang="zh-TW" baseline="0"/>
              <a:t> (gama distribution)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'3-3'!$L$2:$L$86</c:f>
              <c:numCache>
                <c:formatCode>General</c:formatCode>
                <c:ptCount val="85"/>
                <c:pt idx="0">
                  <c:v>353.25168979037204</c:v>
                </c:pt>
                <c:pt idx="1">
                  <c:v>353.25168979037204</c:v>
                </c:pt>
                <c:pt idx="2">
                  <c:v>353.25168979037204</c:v>
                </c:pt>
                <c:pt idx="3">
                  <c:v>361.71829720993651</c:v>
                </c:pt>
                <c:pt idx="4">
                  <c:v>356.93117050452503</c:v>
                </c:pt>
                <c:pt idx="5">
                  <c:v>348.95585503195002</c:v>
                </c:pt>
                <c:pt idx="6">
                  <c:v>356.93117050452503</c:v>
                </c:pt>
                <c:pt idx="7">
                  <c:v>346.87269553472817</c:v>
                </c:pt>
                <c:pt idx="8">
                  <c:v>353.25168979037204</c:v>
                </c:pt>
                <c:pt idx="9">
                  <c:v>348.95585503195002</c:v>
                </c:pt>
                <c:pt idx="10">
                  <c:v>348.95585503195002</c:v>
                </c:pt>
                <c:pt idx="11">
                  <c:v>353.25168979037204</c:v>
                </c:pt>
                <c:pt idx="12">
                  <c:v>346.87269553472817</c:v>
                </c:pt>
                <c:pt idx="13">
                  <c:v>348.95585503195002</c:v>
                </c:pt>
                <c:pt idx="14">
                  <c:v>348.95585503195002</c:v>
                </c:pt>
                <c:pt idx="15">
                  <c:v>348.95585503195002</c:v>
                </c:pt>
                <c:pt idx="16">
                  <c:v>379.06044555365037</c:v>
                </c:pt>
                <c:pt idx="17">
                  <c:v>366.73667029094275</c:v>
                </c:pt>
                <c:pt idx="18">
                  <c:v>363.11116917367622</c:v>
                </c:pt>
                <c:pt idx="19">
                  <c:v>356.93117050452503</c:v>
                </c:pt>
                <c:pt idx="20">
                  <c:v>359.37122323493179</c:v>
                </c:pt>
                <c:pt idx="21">
                  <c:v>363.11116917367622</c:v>
                </c:pt>
                <c:pt idx="22">
                  <c:v>366.73667029094275</c:v>
                </c:pt>
                <c:pt idx="23">
                  <c:v>366.73667029094275</c:v>
                </c:pt>
                <c:pt idx="24">
                  <c:v>363.11116917367622</c:v>
                </c:pt>
                <c:pt idx="25">
                  <c:v>326.87073238623287</c:v>
                </c:pt>
                <c:pt idx="26">
                  <c:v>348.95585503195002</c:v>
                </c:pt>
                <c:pt idx="27">
                  <c:v>343.25561520735636</c:v>
                </c:pt>
                <c:pt idx="28">
                  <c:v>359.37122323493179</c:v>
                </c:pt>
                <c:pt idx="29">
                  <c:v>356.93117050452503</c:v>
                </c:pt>
                <c:pt idx="30">
                  <c:v>359.37122323493179</c:v>
                </c:pt>
                <c:pt idx="31">
                  <c:v>353.25168979037204</c:v>
                </c:pt>
                <c:pt idx="32">
                  <c:v>348.95585503195002</c:v>
                </c:pt>
                <c:pt idx="33">
                  <c:v>343.25561520735636</c:v>
                </c:pt>
                <c:pt idx="34">
                  <c:v>343.25561520735636</c:v>
                </c:pt>
                <c:pt idx="35">
                  <c:v>343.25561520735636</c:v>
                </c:pt>
                <c:pt idx="36">
                  <c:v>332.96294728542796</c:v>
                </c:pt>
                <c:pt idx="37">
                  <c:v>361.71829720993651</c:v>
                </c:pt>
                <c:pt idx="38">
                  <c:v>346.87269553472817</c:v>
                </c:pt>
                <c:pt idx="39">
                  <c:v>373.93746794309965</c:v>
                </c:pt>
                <c:pt idx="40">
                  <c:v>353.25168979037204</c:v>
                </c:pt>
                <c:pt idx="41">
                  <c:v>324.45116492342908</c:v>
                </c:pt>
                <c:pt idx="42">
                  <c:v>343.25561520735636</c:v>
                </c:pt>
                <c:pt idx="43">
                  <c:v>353.25168979037204</c:v>
                </c:pt>
                <c:pt idx="44">
                  <c:v>348.95585503195002</c:v>
                </c:pt>
                <c:pt idx="45">
                  <c:v>353.25168979037204</c:v>
                </c:pt>
                <c:pt idx="46">
                  <c:v>356.93117050452503</c:v>
                </c:pt>
                <c:pt idx="47">
                  <c:v>319.83402873144468</c:v>
                </c:pt>
                <c:pt idx="48">
                  <c:v>363.11116917367622</c:v>
                </c:pt>
                <c:pt idx="49">
                  <c:v>348.95585503195002</c:v>
                </c:pt>
                <c:pt idx="50">
                  <c:v>348.95585503195002</c:v>
                </c:pt>
                <c:pt idx="51">
                  <c:v>359.37122323493179</c:v>
                </c:pt>
                <c:pt idx="52">
                  <c:v>342.4820856874357</c:v>
                </c:pt>
                <c:pt idx="53">
                  <c:v>346.87269553472817</c:v>
                </c:pt>
                <c:pt idx="54">
                  <c:v>343.25561520735636</c:v>
                </c:pt>
                <c:pt idx="55">
                  <c:v>343.25561520735636</c:v>
                </c:pt>
                <c:pt idx="56">
                  <c:v>346.87269553472817</c:v>
                </c:pt>
                <c:pt idx="57">
                  <c:v>338.56643985285092</c:v>
                </c:pt>
                <c:pt idx="58">
                  <c:v>338.56643985285092</c:v>
                </c:pt>
                <c:pt idx="59">
                  <c:v>343.25561520735636</c:v>
                </c:pt>
                <c:pt idx="60">
                  <c:v>346.87269553472817</c:v>
                </c:pt>
                <c:pt idx="61">
                  <c:v>348.95585503195002</c:v>
                </c:pt>
                <c:pt idx="62">
                  <c:v>332.96294728542796</c:v>
                </c:pt>
                <c:pt idx="63">
                  <c:v>342.4820856874357</c:v>
                </c:pt>
                <c:pt idx="64">
                  <c:v>343.25561520735636</c:v>
                </c:pt>
                <c:pt idx="65">
                  <c:v>329.94848601695355</c:v>
                </c:pt>
                <c:pt idx="66">
                  <c:v>338.56643985285092</c:v>
                </c:pt>
                <c:pt idx="67">
                  <c:v>340.41740016646418</c:v>
                </c:pt>
                <c:pt idx="68">
                  <c:v>336.42360535677733</c:v>
                </c:pt>
                <c:pt idx="69">
                  <c:v>336.42360535677733</c:v>
                </c:pt>
                <c:pt idx="70">
                  <c:v>340.41740016646418</c:v>
                </c:pt>
                <c:pt idx="71">
                  <c:v>328.58850254444394</c:v>
                </c:pt>
                <c:pt idx="72">
                  <c:v>336.42360535677733</c:v>
                </c:pt>
                <c:pt idx="73">
                  <c:v>332.96294728542796</c:v>
                </c:pt>
                <c:pt idx="74">
                  <c:v>331.08897528765721</c:v>
                </c:pt>
                <c:pt idx="75">
                  <c:v>366.73667029094275</c:v>
                </c:pt>
                <c:pt idx="76">
                  <c:v>331.08897528765721</c:v>
                </c:pt>
                <c:pt idx="77">
                  <c:v>336.42360535677733</c:v>
                </c:pt>
                <c:pt idx="78">
                  <c:v>340.41740016646418</c:v>
                </c:pt>
                <c:pt idx="79">
                  <c:v>338.56643985285092</c:v>
                </c:pt>
                <c:pt idx="80">
                  <c:v>340.41740016646418</c:v>
                </c:pt>
                <c:pt idx="81">
                  <c:v>340.41740016646418</c:v>
                </c:pt>
                <c:pt idx="82">
                  <c:v>332.96294728542796</c:v>
                </c:pt>
                <c:pt idx="83">
                  <c:v>343.25561520735636</c:v>
                </c:pt>
                <c:pt idx="84">
                  <c:v>332.96294728542796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2-42BE-AE37-B4C935D6459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xVal>
          <c:yVal>
            <c:numRef>
              <c:f>'3-3'!$A$2:$A$86</c:f>
              <c:numCache>
                <c:formatCode>General</c:formatCode>
                <c:ptCount val="85"/>
                <c:pt idx="0">
                  <c:v>352</c:v>
                </c:pt>
                <c:pt idx="1">
                  <c:v>352</c:v>
                </c:pt>
                <c:pt idx="2">
                  <c:v>352</c:v>
                </c:pt>
                <c:pt idx="3">
                  <c:v>355</c:v>
                </c:pt>
                <c:pt idx="4">
                  <c:v>353</c:v>
                </c:pt>
                <c:pt idx="5">
                  <c:v>351</c:v>
                </c:pt>
                <c:pt idx="6">
                  <c:v>353</c:v>
                </c:pt>
                <c:pt idx="7">
                  <c:v>350</c:v>
                </c:pt>
                <c:pt idx="8">
                  <c:v>352</c:v>
                </c:pt>
                <c:pt idx="9">
                  <c:v>351</c:v>
                </c:pt>
                <c:pt idx="10">
                  <c:v>351</c:v>
                </c:pt>
                <c:pt idx="11">
                  <c:v>352</c:v>
                </c:pt>
                <c:pt idx="12">
                  <c:v>350</c:v>
                </c:pt>
                <c:pt idx="13">
                  <c:v>351</c:v>
                </c:pt>
                <c:pt idx="14">
                  <c:v>351</c:v>
                </c:pt>
                <c:pt idx="15">
                  <c:v>351</c:v>
                </c:pt>
                <c:pt idx="16">
                  <c:v>369</c:v>
                </c:pt>
                <c:pt idx="17">
                  <c:v>357</c:v>
                </c:pt>
                <c:pt idx="18">
                  <c:v>356</c:v>
                </c:pt>
                <c:pt idx="19">
                  <c:v>353</c:v>
                </c:pt>
                <c:pt idx="20">
                  <c:v>354</c:v>
                </c:pt>
                <c:pt idx="21">
                  <c:v>356</c:v>
                </c:pt>
                <c:pt idx="22">
                  <c:v>357</c:v>
                </c:pt>
                <c:pt idx="23">
                  <c:v>357</c:v>
                </c:pt>
                <c:pt idx="24">
                  <c:v>356</c:v>
                </c:pt>
                <c:pt idx="25">
                  <c:v>335</c:v>
                </c:pt>
                <c:pt idx="26">
                  <c:v>351</c:v>
                </c:pt>
                <c:pt idx="27">
                  <c:v>349</c:v>
                </c:pt>
                <c:pt idx="28">
                  <c:v>354</c:v>
                </c:pt>
                <c:pt idx="29">
                  <c:v>353</c:v>
                </c:pt>
                <c:pt idx="30">
                  <c:v>354</c:v>
                </c:pt>
                <c:pt idx="31">
                  <c:v>352</c:v>
                </c:pt>
                <c:pt idx="32">
                  <c:v>351</c:v>
                </c:pt>
                <c:pt idx="33">
                  <c:v>349</c:v>
                </c:pt>
                <c:pt idx="34">
                  <c:v>349</c:v>
                </c:pt>
                <c:pt idx="35">
                  <c:v>349</c:v>
                </c:pt>
                <c:pt idx="36">
                  <c:v>344</c:v>
                </c:pt>
                <c:pt idx="37">
                  <c:v>355</c:v>
                </c:pt>
                <c:pt idx="38">
                  <c:v>350</c:v>
                </c:pt>
                <c:pt idx="39">
                  <c:v>358</c:v>
                </c:pt>
                <c:pt idx="40">
                  <c:v>352</c:v>
                </c:pt>
                <c:pt idx="41">
                  <c:v>334</c:v>
                </c:pt>
                <c:pt idx="42">
                  <c:v>349</c:v>
                </c:pt>
                <c:pt idx="43">
                  <c:v>352</c:v>
                </c:pt>
                <c:pt idx="44">
                  <c:v>351</c:v>
                </c:pt>
                <c:pt idx="45">
                  <c:v>352</c:v>
                </c:pt>
                <c:pt idx="46">
                  <c:v>353</c:v>
                </c:pt>
                <c:pt idx="47">
                  <c:v>252</c:v>
                </c:pt>
                <c:pt idx="48">
                  <c:v>356</c:v>
                </c:pt>
                <c:pt idx="49">
                  <c:v>351</c:v>
                </c:pt>
                <c:pt idx="50">
                  <c:v>351</c:v>
                </c:pt>
                <c:pt idx="51">
                  <c:v>354</c:v>
                </c:pt>
                <c:pt idx="52">
                  <c:v>348</c:v>
                </c:pt>
                <c:pt idx="53">
                  <c:v>350</c:v>
                </c:pt>
                <c:pt idx="54">
                  <c:v>349</c:v>
                </c:pt>
                <c:pt idx="55">
                  <c:v>349</c:v>
                </c:pt>
                <c:pt idx="56">
                  <c:v>350</c:v>
                </c:pt>
                <c:pt idx="57">
                  <c:v>346</c:v>
                </c:pt>
                <c:pt idx="58">
                  <c:v>346</c:v>
                </c:pt>
                <c:pt idx="59">
                  <c:v>349</c:v>
                </c:pt>
                <c:pt idx="60">
                  <c:v>350</c:v>
                </c:pt>
                <c:pt idx="61">
                  <c:v>351</c:v>
                </c:pt>
                <c:pt idx="62">
                  <c:v>344</c:v>
                </c:pt>
                <c:pt idx="63">
                  <c:v>348</c:v>
                </c:pt>
                <c:pt idx="64">
                  <c:v>349</c:v>
                </c:pt>
                <c:pt idx="65">
                  <c:v>341</c:v>
                </c:pt>
                <c:pt idx="66">
                  <c:v>346</c:v>
                </c:pt>
                <c:pt idx="67">
                  <c:v>347</c:v>
                </c:pt>
                <c:pt idx="68">
                  <c:v>345</c:v>
                </c:pt>
                <c:pt idx="69">
                  <c:v>345</c:v>
                </c:pt>
                <c:pt idx="70">
                  <c:v>347</c:v>
                </c:pt>
                <c:pt idx="71">
                  <c:v>340</c:v>
                </c:pt>
                <c:pt idx="72">
                  <c:v>345</c:v>
                </c:pt>
                <c:pt idx="73">
                  <c:v>344</c:v>
                </c:pt>
                <c:pt idx="74">
                  <c:v>343</c:v>
                </c:pt>
                <c:pt idx="75">
                  <c:v>357</c:v>
                </c:pt>
                <c:pt idx="76">
                  <c:v>343</c:v>
                </c:pt>
                <c:pt idx="77">
                  <c:v>345</c:v>
                </c:pt>
                <c:pt idx="78">
                  <c:v>347</c:v>
                </c:pt>
                <c:pt idx="79">
                  <c:v>346</c:v>
                </c:pt>
                <c:pt idx="80">
                  <c:v>347</c:v>
                </c:pt>
                <c:pt idx="81">
                  <c:v>347</c:v>
                </c:pt>
                <c:pt idx="82">
                  <c:v>344</c:v>
                </c:pt>
                <c:pt idx="83">
                  <c:v>349</c:v>
                </c:pt>
                <c:pt idx="84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242-42BE-AE37-B4C935D64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797136"/>
        <c:axId val="251794224"/>
      </c:scatterChart>
      <c:valAx>
        <c:axId val="251797136"/>
        <c:scaling>
          <c:orientation val="minMax"/>
          <c:min val="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4224"/>
        <c:crosses val="autoZero"/>
        <c:crossBetween val="midCat"/>
      </c:valAx>
      <c:valAx>
        <c:axId val="25179422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179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'3-4'!$I$3:$I$47</c:f>
              <c:numCache>
                <c:formatCode>General</c:formatCode>
                <c:ptCount val="45"/>
                <c:pt idx="0">
                  <c:v>354.39111111111112</c:v>
                </c:pt>
                <c:pt idx="1">
                  <c:v>354.39111111111112</c:v>
                </c:pt>
                <c:pt idx="2">
                  <c:v>354.39111111111112</c:v>
                </c:pt>
                <c:pt idx="3">
                  <c:v>354.39111111111112</c:v>
                </c:pt>
                <c:pt idx="4">
                  <c:v>354.39111111111112</c:v>
                </c:pt>
                <c:pt idx="5">
                  <c:v>354.39111111111112</c:v>
                </c:pt>
                <c:pt idx="6">
                  <c:v>354.39111111111112</c:v>
                </c:pt>
                <c:pt idx="7">
                  <c:v>354.39111111111112</c:v>
                </c:pt>
                <c:pt idx="8">
                  <c:v>354.39111111111112</c:v>
                </c:pt>
                <c:pt idx="9">
                  <c:v>354.39111111111112</c:v>
                </c:pt>
                <c:pt idx="10">
                  <c:v>354.39111111111112</c:v>
                </c:pt>
                <c:pt idx="11">
                  <c:v>354.39111111111112</c:v>
                </c:pt>
                <c:pt idx="12">
                  <c:v>354.39111111111112</c:v>
                </c:pt>
                <c:pt idx="13">
                  <c:v>354.39111111111112</c:v>
                </c:pt>
                <c:pt idx="14">
                  <c:v>354.39111111111112</c:v>
                </c:pt>
                <c:pt idx="15">
                  <c:v>354.39111111111112</c:v>
                </c:pt>
                <c:pt idx="16">
                  <c:v>354.39111111111112</c:v>
                </c:pt>
                <c:pt idx="17">
                  <c:v>354.39111111111112</c:v>
                </c:pt>
                <c:pt idx="18">
                  <c:v>354.39111111111112</c:v>
                </c:pt>
                <c:pt idx="19">
                  <c:v>354.39111111111112</c:v>
                </c:pt>
                <c:pt idx="20">
                  <c:v>354.39111111111112</c:v>
                </c:pt>
                <c:pt idx="21">
                  <c:v>354.39111111111112</c:v>
                </c:pt>
                <c:pt idx="22">
                  <c:v>354.39111111111112</c:v>
                </c:pt>
                <c:pt idx="23">
                  <c:v>354.39111111111112</c:v>
                </c:pt>
                <c:pt idx="24">
                  <c:v>354.39111111111112</c:v>
                </c:pt>
                <c:pt idx="25">
                  <c:v>354.39111111111112</c:v>
                </c:pt>
                <c:pt idx="26">
                  <c:v>354.39111111111112</c:v>
                </c:pt>
                <c:pt idx="27">
                  <c:v>354.39111111111112</c:v>
                </c:pt>
                <c:pt idx="28">
                  <c:v>354.39111111111112</c:v>
                </c:pt>
                <c:pt idx="29">
                  <c:v>354.39111111111112</c:v>
                </c:pt>
                <c:pt idx="30">
                  <c:v>354.39111111111112</c:v>
                </c:pt>
                <c:pt idx="31">
                  <c:v>354.39111111111112</c:v>
                </c:pt>
                <c:pt idx="32">
                  <c:v>354.39111111111112</c:v>
                </c:pt>
                <c:pt idx="33">
                  <c:v>354.39111111111112</c:v>
                </c:pt>
                <c:pt idx="34">
                  <c:v>354.39111111111112</c:v>
                </c:pt>
                <c:pt idx="35">
                  <c:v>354.39111111111112</c:v>
                </c:pt>
                <c:pt idx="36">
                  <c:v>354.39111111111112</c:v>
                </c:pt>
                <c:pt idx="37">
                  <c:v>354.39111111111112</c:v>
                </c:pt>
                <c:pt idx="38">
                  <c:v>354.39111111111112</c:v>
                </c:pt>
                <c:pt idx="39">
                  <c:v>354.39111111111112</c:v>
                </c:pt>
                <c:pt idx="40">
                  <c:v>354.39111111111112</c:v>
                </c:pt>
                <c:pt idx="41">
                  <c:v>354.39111111111112</c:v>
                </c:pt>
                <c:pt idx="42">
                  <c:v>354.39111111111112</c:v>
                </c:pt>
                <c:pt idx="43">
                  <c:v>354.39111111111112</c:v>
                </c:pt>
                <c:pt idx="44">
                  <c:v>354.39111111111112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C8-4BA3-AD14-23A966F92748}"/>
            </c:ext>
          </c:extLst>
        </c:ser>
        <c:ser>
          <c:idx val="1"/>
          <c:order val="1"/>
          <c:tx>
            <c:strRef>
              <c:f>'3-4'!$J$2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'3-4'!$J$3:$J$47</c:f>
              <c:numCache>
                <c:formatCode>General</c:formatCode>
                <c:ptCount val="45"/>
                <c:pt idx="0">
                  <c:v>369.78837178837563</c:v>
                </c:pt>
                <c:pt idx="1">
                  <c:v>369.78837178837563</c:v>
                </c:pt>
                <c:pt idx="2">
                  <c:v>369.78837178837563</c:v>
                </c:pt>
                <c:pt idx="3">
                  <c:v>369.78837178837563</c:v>
                </c:pt>
                <c:pt idx="4">
                  <c:v>369.78837178837563</c:v>
                </c:pt>
                <c:pt idx="5">
                  <c:v>369.78837178837563</c:v>
                </c:pt>
                <c:pt idx="6">
                  <c:v>369.78837178837563</c:v>
                </c:pt>
                <c:pt idx="7">
                  <c:v>369.78837178837563</c:v>
                </c:pt>
                <c:pt idx="8">
                  <c:v>369.78837178837563</c:v>
                </c:pt>
                <c:pt idx="9">
                  <c:v>369.78837178837563</c:v>
                </c:pt>
                <c:pt idx="10">
                  <c:v>369.78837178837563</c:v>
                </c:pt>
                <c:pt idx="11">
                  <c:v>369.78837178837563</c:v>
                </c:pt>
                <c:pt idx="12">
                  <c:v>369.78837178837563</c:v>
                </c:pt>
                <c:pt idx="13">
                  <c:v>369.78837178837563</c:v>
                </c:pt>
                <c:pt idx="14">
                  <c:v>369.78837178837563</c:v>
                </c:pt>
                <c:pt idx="15">
                  <c:v>369.78837178837563</c:v>
                </c:pt>
                <c:pt idx="16">
                  <c:v>369.78837178837563</c:v>
                </c:pt>
                <c:pt idx="17">
                  <c:v>369.78837178837563</c:v>
                </c:pt>
                <c:pt idx="18">
                  <c:v>369.78837178837563</c:v>
                </c:pt>
                <c:pt idx="19">
                  <c:v>369.78837178837563</c:v>
                </c:pt>
                <c:pt idx="20">
                  <c:v>369.78837178837563</c:v>
                </c:pt>
                <c:pt idx="21">
                  <c:v>369.78837178837563</c:v>
                </c:pt>
                <c:pt idx="22">
                  <c:v>369.78837178837563</c:v>
                </c:pt>
                <c:pt idx="23">
                  <c:v>369.78837178837563</c:v>
                </c:pt>
                <c:pt idx="24">
                  <c:v>369.78837178837563</c:v>
                </c:pt>
                <c:pt idx="25">
                  <c:v>369.78837178837563</c:v>
                </c:pt>
                <c:pt idx="26">
                  <c:v>369.78837178837563</c:v>
                </c:pt>
                <c:pt idx="27">
                  <c:v>369.78837178837563</c:v>
                </c:pt>
                <c:pt idx="28">
                  <c:v>369.78837178837563</c:v>
                </c:pt>
                <c:pt idx="29">
                  <c:v>369.78837178837563</c:v>
                </c:pt>
                <c:pt idx="30">
                  <c:v>369.78837178837563</c:v>
                </c:pt>
                <c:pt idx="31">
                  <c:v>369.78837178837563</c:v>
                </c:pt>
                <c:pt idx="32">
                  <c:v>369.78837178837563</c:v>
                </c:pt>
                <c:pt idx="33">
                  <c:v>369.78837178837563</c:v>
                </c:pt>
                <c:pt idx="34">
                  <c:v>369.78837178837563</c:v>
                </c:pt>
                <c:pt idx="35">
                  <c:v>369.78837178837563</c:v>
                </c:pt>
                <c:pt idx="36">
                  <c:v>369.78837178837563</c:v>
                </c:pt>
                <c:pt idx="37">
                  <c:v>369.78837178837563</c:v>
                </c:pt>
                <c:pt idx="38">
                  <c:v>369.78837178837563</c:v>
                </c:pt>
                <c:pt idx="39">
                  <c:v>369.78837178837563</c:v>
                </c:pt>
                <c:pt idx="40">
                  <c:v>369.78837178837563</c:v>
                </c:pt>
                <c:pt idx="41">
                  <c:v>369.78837178837563</c:v>
                </c:pt>
                <c:pt idx="42">
                  <c:v>369.78837178837563</c:v>
                </c:pt>
                <c:pt idx="43">
                  <c:v>369.78837178837563</c:v>
                </c:pt>
                <c:pt idx="44">
                  <c:v>369.78837178837563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C8-4BA3-AD14-23A966F92748}"/>
            </c:ext>
          </c:extLst>
        </c:ser>
        <c:ser>
          <c:idx val="2"/>
          <c:order val="2"/>
          <c:tx>
            <c:strRef>
              <c:f>'3-4'!$K$2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'3-4'!$K$3:$K$47</c:f>
              <c:numCache>
                <c:formatCode>General</c:formatCode>
                <c:ptCount val="45"/>
                <c:pt idx="0">
                  <c:v>338.9938504338466</c:v>
                </c:pt>
                <c:pt idx="1">
                  <c:v>338.9938504338466</c:v>
                </c:pt>
                <c:pt idx="2">
                  <c:v>338.9938504338466</c:v>
                </c:pt>
                <c:pt idx="3">
                  <c:v>338.9938504338466</c:v>
                </c:pt>
                <c:pt idx="4">
                  <c:v>338.9938504338466</c:v>
                </c:pt>
                <c:pt idx="5">
                  <c:v>338.9938504338466</c:v>
                </c:pt>
                <c:pt idx="6">
                  <c:v>338.9938504338466</c:v>
                </c:pt>
                <c:pt idx="7">
                  <c:v>338.9938504338466</c:v>
                </c:pt>
                <c:pt idx="8">
                  <c:v>338.9938504338466</c:v>
                </c:pt>
                <c:pt idx="9">
                  <c:v>338.9938504338466</c:v>
                </c:pt>
                <c:pt idx="10">
                  <c:v>338.9938504338466</c:v>
                </c:pt>
                <c:pt idx="11">
                  <c:v>338.9938504338466</c:v>
                </c:pt>
                <c:pt idx="12">
                  <c:v>338.9938504338466</c:v>
                </c:pt>
                <c:pt idx="13">
                  <c:v>338.9938504338466</c:v>
                </c:pt>
                <c:pt idx="14">
                  <c:v>338.9938504338466</c:v>
                </c:pt>
                <c:pt idx="15">
                  <c:v>338.9938504338466</c:v>
                </c:pt>
                <c:pt idx="16">
                  <c:v>338.9938504338466</c:v>
                </c:pt>
                <c:pt idx="17">
                  <c:v>338.9938504338466</c:v>
                </c:pt>
                <c:pt idx="18">
                  <c:v>338.9938504338466</c:v>
                </c:pt>
                <c:pt idx="19">
                  <c:v>338.9938504338466</c:v>
                </c:pt>
                <c:pt idx="20">
                  <c:v>338.9938504338466</c:v>
                </c:pt>
                <c:pt idx="21">
                  <c:v>338.9938504338466</c:v>
                </c:pt>
                <c:pt idx="22">
                  <c:v>338.9938504338466</c:v>
                </c:pt>
                <c:pt idx="23">
                  <c:v>338.9938504338466</c:v>
                </c:pt>
                <c:pt idx="24">
                  <c:v>338.9938504338466</c:v>
                </c:pt>
                <c:pt idx="25">
                  <c:v>338.9938504338466</c:v>
                </c:pt>
                <c:pt idx="26">
                  <c:v>338.9938504338466</c:v>
                </c:pt>
                <c:pt idx="27">
                  <c:v>338.9938504338466</c:v>
                </c:pt>
                <c:pt idx="28">
                  <c:v>338.9938504338466</c:v>
                </c:pt>
                <c:pt idx="29">
                  <c:v>338.9938504338466</c:v>
                </c:pt>
                <c:pt idx="30">
                  <c:v>338.9938504338466</c:v>
                </c:pt>
                <c:pt idx="31">
                  <c:v>338.9938504338466</c:v>
                </c:pt>
                <c:pt idx="32">
                  <c:v>338.9938504338466</c:v>
                </c:pt>
                <c:pt idx="33">
                  <c:v>338.9938504338466</c:v>
                </c:pt>
                <c:pt idx="34">
                  <c:v>338.9938504338466</c:v>
                </c:pt>
                <c:pt idx="35">
                  <c:v>338.9938504338466</c:v>
                </c:pt>
                <c:pt idx="36">
                  <c:v>338.9938504338466</c:v>
                </c:pt>
                <c:pt idx="37">
                  <c:v>338.9938504338466</c:v>
                </c:pt>
                <c:pt idx="38">
                  <c:v>338.9938504338466</c:v>
                </c:pt>
                <c:pt idx="39">
                  <c:v>338.9938504338466</c:v>
                </c:pt>
                <c:pt idx="40">
                  <c:v>338.9938504338466</c:v>
                </c:pt>
                <c:pt idx="41">
                  <c:v>338.9938504338466</c:v>
                </c:pt>
                <c:pt idx="42">
                  <c:v>338.9938504338466</c:v>
                </c:pt>
                <c:pt idx="43">
                  <c:v>338.9938504338466</c:v>
                </c:pt>
                <c:pt idx="44">
                  <c:v>338.9938504338466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8-4BA3-AD14-23A966F92748}"/>
            </c:ext>
          </c:extLst>
        </c:ser>
        <c:ser>
          <c:idx val="3"/>
          <c:order val="3"/>
          <c:tx>
            <c:strRef>
              <c:f>'3-4'!$G$2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'3-4'!$G$3:$G$47</c:f>
              <c:numCache>
                <c:formatCode>General</c:formatCode>
                <c:ptCount val="4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C8-4BA3-AD14-23A966F92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397376"/>
        <c:axId val="293961488"/>
      </c:scatterChart>
      <c:valAx>
        <c:axId val="50439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3961488"/>
        <c:crosses val="autoZero"/>
        <c:crossBetween val="midCat"/>
      </c:valAx>
      <c:valAx>
        <c:axId val="29396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439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'3-4'!$L$3:$L$47</c:f>
              <c:numCache>
                <c:formatCode>General</c:formatCode>
                <c:ptCount val="45"/>
                <c:pt idx="0">
                  <c:v>9.8222222222222229</c:v>
                </c:pt>
                <c:pt idx="1">
                  <c:v>9.8222222222222229</c:v>
                </c:pt>
                <c:pt idx="2">
                  <c:v>9.8222222222222229</c:v>
                </c:pt>
                <c:pt idx="3">
                  <c:v>9.8222222222222229</c:v>
                </c:pt>
                <c:pt idx="4">
                  <c:v>9.8222222222222229</c:v>
                </c:pt>
                <c:pt idx="5">
                  <c:v>9.8222222222222229</c:v>
                </c:pt>
                <c:pt idx="6">
                  <c:v>9.8222222222222229</c:v>
                </c:pt>
                <c:pt idx="7">
                  <c:v>9.8222222222222229</c:v>
                </c:pt>
                <c:pt idx="8">
                  <c:v>9.8222222222222229</c:v>
                </c:pt>
                <c:pt idx="9">
                  <c:v>9.8222222222222229</c:v>
                </c:pt>
                <c:pt idx="10">
                  <c:v>9.8222222222222229</c:v>
                </c:pt>
                <c:pt idx="11">
                  <c:v>9.8222222222222229</c:v>
                </c:pt>
                <c:pt idx="12">
                  <c:v>9.8222222222222229</c:v>
                </c:pt>
                <c:pt idx="13">
                  <c:v>9.8222222222222229</c:v>
                </c:pt>
                <c:pt idx="14">
                  <c:v>9.8222222222222229</c:v>
                </c:pt>
                <c:pt idx="15">
                  <c:v>9.8222222222222229</c:v>
                </c:pt>
                <c:pt idx="16">
                  <c:v>9.8222222222222229</c:v>
                </c:pt>
                <c:pt idx="17">
                  <c:v>9.8222222222222229</c:v>
                </c:pt>
                <c:pt idx="18">
                  <c:v>9.8222222222222229</c:v>
                </c:pt>
                <c:pt idx="19">
                  <c:v>9.8222222222222229</c:v>
                </c:pt>
                <c:pt idx="20">
                  <c:v>9.8222222222222229</c:v>
                </c:pt>
                <c:pt idx="21">
                  <c:v>9.8222222222222229</c:v>
                </c:pt>
                <c:pt idx="22">
                  <c:v>9.8222222222222229</c:v>
                </c:pt>
                <c:pt idx="23">
                  <c:v>9.8222222222222229</c:v>
                </c:pt>
                <c:pt idx="24">
                  <c:v>9.8222222222222229</c:v>
                </c:pt>
                <c:pt idx="25">
                  <c:v>9.8222222222222229</c:v>
                </c:pt>
                <c:pt idx="26">
                  <c:v>9.8222222222222229</c:v>
                </c:pt>
                <c:pt idx="27">
                  <c:v>9.8222222222222229</c:v>
                </c:pt>
                <c:pt idx="28">
                  <c:v>9.8222222222222229</c:v>
                </c:pt>
                <c:pt idx="29">
                  <c:v>9.8222222222222229</c:v>
                </c:pt>
                <c:pt idx="30">
                  <c:v>9.8222222222222229</c:v>
                </c:pt>
                <c:pt idx="31">
                  <c:v>9.8222222222222229</c:v>
                </c:pt>
                <c:pt idx="32">
                  <c:v>9.8222222222222229</c:v>
                </c:pt>
                <c:pt idx="33">
                  <c:v>9.8222222222222229</c:v>
                </c:pt>
                <c:pt idx="34">
                  <c:v>9.8222222222222229</c:v>
                </c:pt>
                <c:pt idx="35">
                  <c:v>9.8222222222222229</c:v>
                </c:pt>
                <c:pt idx="36">
                  <c:v>9.8222222222222229</c:v>
                </c:pt>
                <c:pt idx="37">
                  <c:v>9.8222222222222229</c:v>
                </c:pt>
                <c:pt idx="38">
                  <c:v>9.8222222222222229</c:v>
                </c:pt>
                <c:pt idx="39">
                  <c:v>9.8222222222222229</c:v>
                </c:pt>
                <c:pt idx="40">
                  <c:v>9.8222222222222229</c:v>
                </c:pt>
                <c:pt idx="41">
                  <c:v>9.8222222222222229</c:v>
                </c:pt>
                <c:pt idx="42">
                  <c:v>9.8222222222222229</c:v>
                </c:pt>
                <c:pt idx="43">
                  <c:v>9.8222222222222229</c:v>
                </c:pt>
                <c:pt idx="44">
                  <c:v>9.8222222222222229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4-4787-9730-B4FDDBD49462}"/>
            </c:ext>
          </c:extLst>
        </c:ser>
        <c:ser>
          <c:idx val="1"/>
          <c:order val="1"/>
          <c:tx>
            <c:strRef>
              <c:f>'3-4'!$M$2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'3-4'!$M$3:$M$47</c:f>
              <c:numCache>
                <c:formatCode>General</c:formatCode>
                <c:ptCount val="45"/>
                <c:pt idx="0">
                  <c:v>17.610908655995015</c:v>
                </c:pt>
                <c:pt idx="1">
                  <c:v>17.610908655995015</c:v>
                </c:pt>
                <c:pt idx="2">
                  <c:v>17.610908655995015</c:v>
                </c:pt>
                <c:pt idx="3">
                  <c:v>17.610908655995015</c:v>
                </c:pt>
                <c:pt idx="4">
                  <c:v>17.610908655995015</c:v>
                </c:pt>
                <c:pt idx="5">
                  <c:v>17.610908655995015</c:v>
                </c:pt>
                <c:pt idx="6">
                  <c:v>17.610908655995015</c:v>
                </c:pt>
                <c:pt idx="7">
                  <c:v>17.610908655995015</c:v>
                </c:pt>
                <c:pt idx="8">
                  <c:v>17.610908655995015</c:v>
                </c:pt>
                <c:pt idx="9">
                  <c:v>17.610908655995015</c:v>
                </c:pt>
                <c:pt idx="10">
                  <c:v>17.610908655995015</c:v>
                </c:pt>
                <c:pt idx="11">
                  <c:v>17.610908655995015</c:v>
                </c:pt>
                <c:pt idx="12">
                  <c:v>17.610908655995015</c:v>
                </c:pt>
                <c:pt idx="13">
                  <c:v>17.610908655995015</c:v>
                </c:pt>
                <c:pt idx="14">
                  <c:v>17.610908655995015</c:v>
                </c:pt>
                <c:pt idx="15">
                  <c:v>17.610908655995015</c:v>
                </c:pt>
                <c:pt idx="16">
                  <c:v>17.610908655995015</c:v>
                </c:pt>
                <c:pt idx="17">
                  <c:v>17.610908655995015</c:v>
                </c:pt>
                <c:pt idx="18">
                  <c:v>17.610908655995015</c:v>
                </c:pt>
                <c:pt idx="19">
                  <c:v>17.610908655995015</c:v>
                </c:pt>
                <c:pt idx="20">
                  <c:v>17.610908655995015</c:v>
                </c:pt>
                <c:pt idx="21">
                  <c:v>17.610908655995015</c:v>
                </c:pt>
                <c:pt idx="22">
                  <c:v>17.610908655995015</c:v>
                </c:pt>
                <c:pt idx="23">
                  <c:v>17.610908655995015</c:v>
                </c:pt>
                <c:pt idx="24">
                  <c:v>17.610908655995015</c:v>
                </c:pt>
                <c:pt idx="25">
                  <c:v>17.610908655995015</c:v>
                </c:pt>
                <c:pt idx="26">
                  <c:v>17.610908655995015</c:v>
                </c:pt>
                <c:pt idx="27">
                  <c:v>17.610908655995015</c:v>
                </c:pt>
                <c:pt idx="28">
                  <c:v>17.610908655995015</c:v>
                </c:pt>
                <c:pt idx="29">
                  <c:v>17.610908655995015</c:v>
                </c:pt>
                <c:pt idx="30">
                  <c:v>17.610908655995015</c:v>
                </c:pt>
                <c:pt idx="31">
                  <c:v>17.610908655995015</c:v>
                </c:pt>
                <c:pt idx="32">
                  <c:v>17.610908655995015</c:v>
                </c:pt>
                <c:pt idx="33">
                  <c:v>17.610908655995015</c:v>
                </c:pt>
                <c:pt idx="34">
                  <c:v>17.610908655995015</c:v>
                </c:pt>
                <c:pt idx="35">
                  <c:v>17.610908655995015</c:v>
                </c:pt>
                <c:pt idx="36">
                  <c:v>17.610908655995015</c:v>
                </c:pt>
                <c:pt idx="37">
                  <c:v>17.610908655995015</c:v>
                </c:pt>
                <c:pt idx="38">
                  <c:v>17.610908655995015</c:v>
                </c:pt>
                <c:pt idx="39">
                  <c:v>17.610908655995015</c:v>
                </c:pt>
                <c:pt idx="40">
                  <c:v>17.610908655995015</c:v>
                </c:pt>
                <c:pt idx="41">
                  <c:v>17.610908655995015</c:v>
                </c:pt>
                <c:pt idx="42">
                  <c:v>17.610908655995015</c:v>
                </c:pt>
                <c:pt idx="43">
                  <c:v>17.610908655995015</c:v>
                </c:pt>
                <c:pt idx="44">
                  <c:v>17.610908655995015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44-4787-9730-B4FDDBD49462}"/>
            </c:ext>
          </c:extLst>
        </c:ser>
        <c:ser>
          <c:idx val="2"/>
          <c:order val="2"/>
          <c:tx>
            <c:strRef>
              <c:f>'3-4'!$N$2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'3-4'!$N$3:$N$47</c:f>
              <c:numCache>
                <c:formatCode>General</c:formatCode>
                <c:ptCount val="45"/>
                <c:pt idx="0">
                  <c:v>2.0335357884494316</c:v>
                </c:pt>
                <c:pt idx="1">
                  <c:v>2.0335357884494316</c:v>
                </c:pt>
                <c:pt idx="2">
                  <c:v>2.0335357884494316</c:v>
                </c:pt>
                <c:pt idx="3">
                  <c:v>2.0335357884494316</c:v>
                </c:pt>
                <c:pt idx="4">
                  <c:v>2.0335357884494316</c:v>
                </c:pt>
                <c:pt idx="5">
                  <c:v>2.0335357884494316</c:v>
                </c:pt>
                <c:pt idx="6">
                  <c:v>2.0335357884494316</c:v>
                </c:pt>
                <c:pt idx="7">
                  <c:v>2.0335357884494316</c:v>
                </c:pt>
                <c:pt idx="8">
                  <c:v>2.0335357884494316</c:v>
                </c:pt>
                <c:pt idx="9">
                  <c:v>2.0335357884494316</c:v>
                </c:pt>
                <c:pt idx="10">
                  <c:v>2.0335357884494316</c:v>
                </c:pt>
                <c:pt idx="11">
                  <c:v>2.0335357884494316</c:v>
                </c:pt>
                <c:pt idx="12">
                  <c:v>2.0335357884494316</c:v>
                </c:pt>
                <c:pt idx="13">
                  <c:v>2.0335357884494316</c:v>
                </c:pt>
                <c:pt idx="14">
                  <c:v>2.0335357884494316</c:v>
                </c:pt>
                <c:pt idx="15">
                  <c:v>2.0335357884494316</c:v>
                </c:pt>
                <c:pt idx="16">
                  <c:v>2.0335357884494316</c:v>
                </c:pt>
                <c:pt idx="17">
                  <c:v>2.0335357884494316</c:v>
                </c:pt>
                <c:pt idx="18">
                  <c:v>2.0335357884494316</c:v>
                </c:pt>
                <c:pt idx="19">
                  <c:v>2.0335357884494316</c:v>
                </c:pt>
                <c:pt idx="20">
                  <c:v>2.0335357884494316</c:v>
                </c:pt>
                <c:pt idx="21">
                  <c:v>2.0335357884494316</c:v>
                </c:pt>
                <c:pt idx="22">
                  <c:v>2.0335357884494316</c:v>
                </c:pt>
                <c:pt idx="23">
                  <c:v>2.0335357884494316</c:v>
                </c:pt>
                <c:pt idx="24">
                  <c:v>2.0335357884494316</c:v>
                </c:pt>
                <c:pt idx="25">
                  <c:v>2.0335357884494316</c:v>
                </c:pt>
                <c:pt idx="26">
                  <c:v>2.0335357884494316</c:v>
                </c:pt>
                <c:pt idx="27">
                  <c:v>2.0335357884494316</c:v>
                </c:pt>
                <c:pt idx="28">
                  <c:v>2.0335357884494316</c:v>
                </c:pt>
                <c:pt idx="29">
                  <c:v>2.0335357884494316</c:v>
                </c:pt>
                <c:pt idx="30">
                  <c:v>2.0335357884494316</c:v>
                </c:pt>
                <c:pt idx="31">
                  <c:v>2.0335357884494316</c:v>
                </c:pt>
                <c:pt idx="32">
                  <c:v>2.0335357884494316</c:v>
                </c:pt>
                <c:pt idx="33">
                  <c:v>2.0335357884494316</c:v>
                </c:pt>
                <c:pt idx="34">
                  <c:v>2.0335357884494316</c:v>
                </c:pt>
                <c:pt idx="35">
                  <c:v>2.0335357884494316</c:v>
                </c:pt>
                <c:pt idx="36">
                  <c:v>2.0335357884494316</c:v>
                </c:pt>
                <c:pt idx="37">
                  <c:v>2.0335357884494316</c:v>
                </c:pt>
                <c:pt idx="38">
                  <c:v>2.0335357884494316</c:v>
                </c:pt>
                <c:pt idx="39">
                  <c:v>2.0335357884494316</c:v>
                </c:pt>
                <c:pt idx="40">
                  <c:v>2.0335357884494316</c:v>
                </c:pt>
                <c:pt idx="41">
                  <c:v>2.0335357884494316</c:v>
                </c:pt>
                <c:pt idx="42">
                  <c:v>2.0335357884494316</c:v>
                </c:pt>
                <c:pt idx="43">
                  <c:v>2.0335357884494316</c:v>
                </c:pt>
                <c:pt idx="44">
                  <c:v>2.0335357884494316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44-4787-9730-B4FDDBD49462}"/>
            </c:ext>
          </c:extLst>
        </c:ser>
        <c:ser>
          <c:idx val="3"/>
          <c:order val="3"/>
          <c:tx>
            <c:strRef>
              <c:f>'3-4'!$H$2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'3-4'!$H$3:$H$47</c:f>
              <c:numCache>
                <c:formatCode>General</c:formatCode>
                <c:ptCount val="45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8</c:v>
                </c:pt>
                <c:pt idx="17">
                  <c:v>10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6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12</c:v>
                </c:pt>
                <c:pt idx="27">
                  <c:v>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14</c:v>
                </c:pt>
                <c:pt idx="32">
                  <c:v>13</c:v>
                </c:pt>
                <c:pt idx="33">
                  <c:v>14</c:v>
                </c:pt>
                <c:pt idx="34">
                  <c:v>13</c:v>
                </c:pt>
                <c:pt idx="35">
                  <c:v>5</c:v>
                </c:pt>
                <c:pt idx="36">
                  <c:v>10</c:v>
                </c:pt>
                <c:pt idx="37">
                  <c:v>10</c:v>
                </c:pt>
                <c:pt idx="38">
                  <c:v>11</c:v>
                </c:pt>
                <c:pt idx="39">
                  <c:v>8</c:v>
                </c:pt>
                <c:pt idx="40">
                  <c:v>10</c:v>
                </c:pt>
                <c:pt idx="41">
                  <c:v>13</c:v>
                </c:pt>
                <c:pt idx="42">
                  <c:v>11</c:v>
                </c:pt>
                <c:pt idx="43">
                  <c:v>11</c:v>
                </c:pt>
                <c:pt idx="44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44-4787-9730-B4FDDBD49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824176"/>
        <c:axId val="621821680"/>
      </c:scatterChart>
      <c:valAx>
        <c:axId val="62182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1680"/>
        <c:crosses val="autoZero"/>
        <c:crossBetween val="midCat"/>
      </c:valAx>
      <c:valAx>
        <c:axId val="62182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2182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'3-4'!$P$2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'3-4'!$P$3:$P$43</c:f>
              <c:numCache>
                <c:formatCode>General</c:formatCode>
                <c:ptCount val="41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  <c:pt idx="40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E5-4E72-8747-4A6AA59E6D27}"/>
            </c:ext>
          </c:extLst>
        </c:ser>
        <c:ser>
          <c:idx val="1"/>
          <c:order val="1"/>
          <c:tx>
            <c:strRef>
              <c:f>'3-4'!$Q$2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'3-4'!$Q$3:$Q$43</c:f>
              <c:numCache>
                <c:formatCode>General</c:formatCode>
                <c:ptCount val="41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  <c:pt idx="40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E5-4E72-8747-4A6AA59E6D27}"/>
            </c:ext>
          </c:extLst>
        </c:ser>
        <c:ser>
          <c:idx val="2"/>
          <c:order val="2"/>
          <c:tx>
            <c:strRef>
              <c:f>'3-4'!$R$2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'3-4'!$R$3:$R$43</c:f>
              <c:numCache>
                <c:formatCode>General</c:formatCode>
                <c:ptCount val="41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  <c:pt idx="40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E5-4E72-8747-4A6AA59E6D27}"/>
            </c:ext>
          </c:extLst>
        </c:ser>
        <c:ser>
          <c:idx val="3"/>
          <c:order val="3"/>
          <c:tx>
            <c:strRef>
              <c:f>'3-4'!$O$2</c:f>
              <c:strCache>
                <c:ptCount val="1"/>
                <c:pt idx="0">
                  <c:v>X_bar_bar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'3-4'!$O$3:$O$43</c:f>
              <c:numCache>
                <c:formatCode>General</c:formatCode>
                <c:ptCount val="41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357.2</c:v>
                </c:pt>
                <c:pt idx="17">
                  <c:v>359.4</c:v>
                </c:pt>
                <c:pt idx="18">
                  <c:v>356.6</c:v>
                </c:pt>
                <c:pt idx="19">
                  <c:v>357.8</c:v>
                </c:pt>
                <c:pt idx="20">
                  <c:v>356.8</c:v>
                </c:pt>
                <c:pt idx="21">
                  <c:v>360.6</c:v>
                </c:pt>
                <c:pt idx="22">
                  <c:v>360.2</c:v>
                </c:pt>
                <c:pt idx="23">
                  <c:v>358.8</c:v>
                </c:pt>
                <c:pt idx="24">
                  <c:v>354.6</c:v>
                </c:pt>
                <c:pt idx="25">
                  <c:v>356.6</c:v>
                </c:pt>
                <c:pt idx="26">
                  <c:v>357</c:v>
                </c:pt>
                <c:pt idx="27">
                  <c:v>356.8</c:v>
                </c:pt>
                <c:pt idx="28">
                  <c:v>355.4</c:v>
                </c:pt>
                <c:pt idx="29">
                  <c:v>354.8</c:v>
                </c:pt>
                <c:pt idx="30">
                  <c:v>352.6</c:v>
                </c:pt>
                <c:pt idx="31">
                  <c:v>351</c:v>
                </c:pt>
                <c:pt idx="32">
                  <c:v>351.2</c:v>
                </c:pt>
                <c:pt idx="33">
                  <c:v>348</c:v>
                </c:pt>
                <c:pt idx="34">
                  <c:v>357.8</c:v>
                </c:pt>
                <c:pt idx="35">
                  <c:v>354.6</c:v>
                </c:pt>
                <c:pt idx="36">
                  <c:v>352.4</c:v>
                </c:pt>
                <c:pt idx="37">
                  <c:v>354.6</c:v>
                </c:pt>
                <c:pt idx="38">
                  <c:v>352.6</c:v>
                </c:pt>
                <c:pt idx="39">
                  <c:v>356</c:v>
                </c:pt>
                <c:pt idx="40">
                  <c:v>353.4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EE5-4E72-8747-4A6AA59E6D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989216"/>
        <c:axId val="683977568"/>
      </c:scatterChart>
      <c:valAx>
        <c:axId val="68398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77568"/>
        <c:crosses val="autoZero"/>
        <c:crossBetween val="midCat"/>
      </c:valAx>
      <c:valAx>
        <c:axId val="683977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3989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</a:t>
            </a:r>
            <a:r>
              <a:rPr lang="en-US" altLang="zh-TW" baseline="0"/>
              <a:t> </a:t>
            </a:r>
            <a:r>
              <a:rPr lang="en-US" altLang="zh-TW"/>
              <a:t>chart revision1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'3-4'!$T$2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'3-4'!$T$3:$T$43</c:f>
              <c:numCache>
                <c:formatCode>General</c:formatCode>
                <c:ptCount val="41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  <c:pt idx="40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68-4CC3-A586-F19E3F04724A}"/>
            </c:ext>
          </c:extLst>
        </c:ser>
        <c:ser>
          <c:idx val="1"/>
          <c:order val="1"/>
          <c:tx>
            <c:strRef>
              <c:f>'3-4'!$U$2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'3-4'!$U$3:$U$43</c:f>
              <c:numCache>
                <c:formatCode>General</c:formatCode>
                <c:ptCount val="41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  <c:pt idx="40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68-4CC3-A586-F19E3F04724A}"/>
            </c:ext>
          </c:extLst>
        </c:ser>
        <c:ser>
          <c:idx val="2"/>
          <c:order val="2"/>
          <c:tx>
            <c:strRef>
              <c:f>'3-4'!$V$2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'3-4'!$V$3:$V$43</c:f>
              <c:numCache>
                <c:formatCode>General</c:formatCode>
                <c:ptCount val="41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  <c:pt idx="40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68-4CC3-A586-F19E3F04724A}"/>
            </c:ext>
          </c:extLst>
        </c:ser>
        <c:ser>
          <c:idx val="3"/>
          <c:order val="3"/>
          <c:tx>
            <c:strRef>
              <c:f>'3-4'!$S$2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'3-4'!$S$3:$S$43</c:f>
              <c:numCache>
                <c:formatCode>General</c:formatCode>
                <c:ptCount val="41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11</c:v>
                </c:pt>
                <c:pt idx="7">
                  <c:v>7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10</c:v>
                </c:pt>
                <c:pt idx="12">
                  <c:v>11</c:v>
                </c:pt>
                <c:pt idx="13">
                  <c:v>11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14</c:v>
                </c:pt>
                <c:pt idx="29">
                  <c:v>13</c:v>
                </c:pt>
                <c:pt idx="30">
                  <c:v>14</c:v>
                </c:pt>
                <c:pt idx="31">
                  <c:v>13</c:v>
                </c:pt>
                <c:pt idx="32">
                  <c:v>5</c:v>
                </c:pt>
                <c:pt idx="33">
                  <c:v>10</c:v>
                </c:pt>
                <c:pt idx="34">
                  <c:v>10</c:v>
                </c:pt>
                <c:pt idx="35">
                  <c:v>11</c:v>
                </c:pt>
                <c:pt idx="36">
                  <c:v>8</c:v>
                </c:pt>
                <c:pt idx="37">
                  <c:v>10</c:v>
                </c:pt>
                <c:pt idx="38">
                  <c:v>11</c:v>
                </c:pt>
                <c:pt idx="39">
                  <c:v>11</c:v>
                </c:pt>
                <c:pt idx="40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68-4CC3-A586-F19E3F047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4831248"/>
        <c:axId val="684832912"/>
      </c:scatterChart>
      <c:valAx>
        <c:axId val="68483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2912"/>
        <c:crosses val="autoZero"/>
        <c:crossBetween val="midCat"/>
      </c:valAx>
      <c:valAx>
        <c:axId val="68483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4831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'3-4'!$AH$2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'3-4'!$AH$3:$AH$42</c:f>
              <c:numCache>
                <c:formatCode>General</c:formatCode>
                <c:ptCount val="40"/>
                <c:pt idx="0">
                  <c:v>354.97073170731704</c:v>
                </c:pt>
                <c:pt idx="1">
                  <c:v>354.97073170731704</c:v>
                </c:pt>
                <c:pt idx="2">
                  <c:v>354.97073170731704</c:v>
                </c:pt>
                <c:pt idx="3">
                  <c:v>354.97073170731704</c:v>
                </c:pt>
                <c:pt idx="4">
                  <c:v>354.97073170731704</c:v>
                </c:pt>
                <c:pt idx="5">
                  <c:v>354.97073170731704</c:v>
                </c:pt>
                <c:pt idx="6">
                  <c:v>354.97073170731704</c:v>
                </c:pt>
                <c:pt idx="7">
                  <c:v>354.97073170731704</c:v>
                </c:pt>
                <c:pt idx="8">
                  <c:v>354.97073170731704</c:v>
                </c:pt>
                <c:pt idx="9">
                  <c:v>354.97073170731704</c:v>
                </c:pt>
                <c:pt idx="10">
                  <c:v>354.97073170731704</c:v>
                </c:pt>
                <c:pt idx="11">
                  <c:v>354.97073170731704</c:v>
                </c:pt>
                <c:pt idx="12">
                  <c:v>354.97073170731704</c:v>
                </c:pt>
                <c:pt idx="13">
                  <c:v>354.97073170731704</c:v>
                </c:pt>
                <c:pt idx="14">
                  <c:v>354.97073170731704</c:v>
                </c:pt>
                <c:pt idx="15">
                  <c:v>354.97073170731704</c:v>
                </c:pt>
                <c:pt idx="16">
                  <c:v>354.97073170731704</c:v>
                </c:pt>
                <c:pt idx="17">
                  <c:v>354.97073170731704</c:v>
                </c:pt>
                <c:pt idx="18">
                  <c:v>354.97073170731704</c:v>
                </c:pt>
                <c:pt idx="19">
                  <c:v>354.97073170731704</c:v>
                </c:pt>
                <c:pt idx="20">
                  <c:v>354.97073170731704</c:v>
                </c:pt>
                <c:pt idx="21">
                  <c:v>354.97073170731704</c:v>
                </c:pt>
                <c:pt idx="22">
                  <c:v>354.97073170731704</c:v>
                </c:pt>
                <c:pt idx="23">
                  <c:v>354.97073170731704</c:v>
                </c:pt>
                <c:pt idx="24">
                  <c:v>354.97073170731704</c:v>
                </c:pt>
                <c:pt idx="25">
                  <c:v>354.97073170731704</c:v>
                </c:pt>
                <c:pt idx="26">
                  <c:v>354.97073170731704</c:v>
                </c:pt>
                <c:pt idx="27">
                  <c:v>354.97073170731704</c:v>
                </c:pt>
                <c:pt idx="28">
                  <c:v>354.97073170731704</c:v>
                </c:pt>
                <c:pt idx="29">
                  <c:v>354.97073170731704</c:v>
                </c:pt>
                <c:pt idx="30">
                  <c:v>354.97073170731704</c:v>
                </c:pt>
                <c:pt idx="31">
                  <c:v>354.97073170731704</c:v>
                </c:pt>
                <c:pt idx="32">
                  <c:v>354.97073170731704</c:v>
                </c:pt>
                <c:pt idx="33">
                  <c:v>354.97073170731704</c:v>
                </c:pt>
                <c:pt idx="34">
                  <c:v>354.97073170731704</c:v>
                </c:pt>
                <c:pt idx="35">
                  <c:v>354.97073170731704</c:v>
                </c:pt>
                <c:pt idx="36">
                  <c:v>354.97073170731704</c:v>
                </c:pt>
                <c:pt idx="37">
                  <c:v>354.97073170731704</c:v>
                </c:pt>
                <c:pt idx="38">
                  <c:v>354.97073170731704</c:v>
                </c:pt>
                <c:pt idx="39">
                  <c:v>354.97073170731704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8-40EC-8490-DB3A644A3083}"/>
            </c:ext>
          </c:extLst>
        </c:ser>
        <c:ser>
          <c:idx val="1"/>
          <c:order val="1"/>
          <c:tx>
            <c:strRef>
              <c:f>'3-4'!$AI$2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'3-4'!$AI$3:$AI$42</c:f>
              <c:numCache>
                <c:formatCode>General</c:formatCode>
                <c:ptCount val="40"/>
                <c:pt idx="0">
                  <c:v>362.65513783667899</c:v>
                </c:pt>
                <c:pt idx="1">
                  <c:v>362.65513783667899</c:v>
                </c:pt>
                <c:pt idx="2">
                  <c:v>362.65513783667899</c:v>
                </c:pt>
                <c:pt idx="3">
                  <c:v>362.65513783667899</c:v>
                </c:pt>
                <c:pt idx="4">
                  <c:v>362.65513783667899</c:v>
                </c:pt>
                <c:pt idx="5">
                  <c:v>362.65513783667899</c:v>
                </c:pt>
                <c:pt idx="6">
                  <c:v>362.65513783667899</c:v>
                </c:pt>
                <c:pt idx="7">
                  <c:v>362.65513783667899</c:v>
                </c:pt>
                <c:pt idx="8">
                  <c:v>362.65513783667899</c:v>
                </c:pt>
                <c:pt idx="9">
                  <c:v>362.65513783667899</c:v>
                </c:pt>
                <c:pt idx="10">
                  <c:v>362.65513783667899</c:v>
                </c:pt>
                <c:pt idx="11">
                  <c:v>362.65513783667899</c:v>
                </c:pt>
                <c:pt idx="12">
                  <c:v>362.65513783667899</c:v>
                </c:pt>
                <c:pt idx="13">
                  <c:v>362.65513783667899</c:v>
                </c:pt>
                <c:pt idx="14">
                  <c:v>362.65513783667899</c:v>
                </c:pt>
                <c:pt idx="15">
                  <c:v>362.65513783667899</c:v>
                </c:pt>
                <c:pt idx="16">
                  <c:v>362.65513783667899</c:v>
                </c:pt>
                <c:pt idx="17">
                  <c:v>362.65513783667899</c:v>
                </c:pt>
                <c:pt idx="18">
                  <c:v>362.65513783667899</c:v>
                </c:pt>
                <c:pt idx="19">
                  <c:v>362.65513783667899</c:v>
                </c:pt>
                <c:pt idx="20">
                  <c:v>362.65513783667899</c:v>
                </c:pt>
                <c:pt idx="21">
                  <c:v>362.65513783667899</c:v>
                </c:pt>
                <c:pt idx="22">
                  <c:v>362.65513783667899</c:v>
                </c:pt>
                <c:pt idx="23">
                  <c:v>362.65513783667899</c:v>
                </c:pt>
                <c:pt idx="24">
                  <c:v>362.65513783667899</c:v>
                </c:pt>
                <c:pt idx="25">
                  <c:v>362.65513783667899</c:v>
                </c:pt>
                <c:pt idx="26">
                  <c:v>362.65513783667899</c:v>
                </c:pt>
                <c:pt idx="27">
                  <c:v>362.65513783667899</c:v>
                </c:pt>
                <c:pt idx="28">
                  <c:v>362.65513783667899</c:v>
                </c:pt>
                <c:pt idx="29">
                  <c:v>362.65513783667899</c:v>
                </c:pt>
                <c:pt idx="30">
                  <c:v>362.65513783667899</c:v>
                </c:pt>
                <c:pt idx="31">
                  <c:v>362.65513783667899</c:v>
                </c:pt>
                <c:pt idx="32">
                  <c:v>362.65513783667899</c:v>
                </c:pt>
                <c:pt idx="33">
                  <c:v>362.65513783667899</c:v>
                </c:pt>
                <c:pt idx="34">
                  <c:v>362.65513783667899</c:v>
                </c:pt>
                <c:pt idx="35">
                  <c:v>362.65513783667899</c:v>
                </c:pt>
                <c:pt idx="36">
                  <c:v>362.65513783667899</c:v>
                </c:pt>
                <c:pt idx="37">
                  <c:v>362.65513783667899</c:v>
                </c:pt>
                <c:pt idx="38">
                  <c:v>362.65513783667899</c:v>
                </c:pt>
                <c:pt idx="39">
                  <c:v>362.65513783667899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8-40EC-8490-DB3A644A3083}"/>
            </c:ext>
          </c:extLst>
        </c:ser>
        <c:ser>
          <c:idx val="2"/>
          <c:order val="2"/>
          <c:tx>
            <c:strRef>
              <c:f>'3-4'!$AJ$2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'3-4'!$AJ$3:$AJ$42</c:f>
              <c:numCache>
                <c:formatCode>General</c:formatCode>
                <c:ptCount val="40"/>
                <c:pt idx="0">
                  <c:v>347.2863255779551</c:v>
                </c:pt>
                <c:pt idx="1">
                  <c:v>347.2863255779551</c:v>
                </c:pt>
                <c:pt idx="2">
                  <c:v>347.2863255779551</c:v>
                </c:pt>
                <c:pt idx="3">
                  <c:v>347.2863255779551</c:v>
                </c:pt>
                <c:pt idx="4">
                  <c:v>347.2863255779551</c:v>
                </c:pt>
                <c:pt idx="5">
                  <c:v>347.2863255779551</c:v>
                </c:pt>
                <c:pt idx="6">
                  <c:v>347.2863255779551</c:v>
                </c:pt>
                <c:pt idx="7">
                  <c:v>347.2863255779551</c:v>
                </c:pt>
                <c:pt idx="8">
                  <c:v>347.2863255779551</c:v>
                </c:pt>
                <c:pt idx="9">
                  <c:v>347.2863255779551</c:v>
                </c:pt>
                <c:pt idx="10">
                  <c:v>347.2863255779551</c:v>
                </c:pt>
                <c:pt idx="11">
                  <c:v>347.2863255779551</c:v>
                </c:pt>
                <c:pt idx="12">
                  <c:v>347.2863255779551</c:v>
                </c:pt>
                <c:pt idx="13">
                  <c:v>347.2863255779551</c:v>
                </c:pt>
                <c:pt idx="14">
                  <c:v>347.2863255779551</c:v>
                </c:pt>
                <c:pt idx="15">
                  <c:v>347.2863255779551</c:v>
                </c:pt>
                <c:pt idx="16">
                  <c:v>347.2863255779551</c:v>
                </c:pt>
                <c:pt idx="17">
                  <c:v>347.2863255779551</c:v>
                </c:pt>
                <c:pt idx="18">
                  <c:v>347.2863255779551</c:v>
                </c:pt>
                <c:pt idx="19">
                  <c:v>347.2863255779551</c:v>
                </c:pt>
                <c:pt idx="20">
                  <c:v>347.2863255779551</c:v>
                </c:pt>
                <c:pt idx="21">
                  <c:v>347.2863255779551</c:v>
                </c:pt>
                <c:pt idx="22">
                  <c:v>347.2863255779551</c:v>
                </c:pt>
                <c:pt idx="23">
                  <c:v>347.2863255779551</c:v>
                </c:pt>
                <c:pt idx="24">
                  <c:v>347.2863255779551</c:v>
                </c:pt>
                <c:pt idx="25">
                  <c:v>347.2863255779551</c:v>
                </c:pt>
                <c:pt idx="26">
                  <c:v>347.2863255779551</c:v>
                </c:pt>
                <c:pt idx="27">
                  <c:v>347.2863255779551</c:v>
                </c:pt>
                <c:pt idx="28">
                  <c:v>347.2863255779551</c:v>
                </c:pt>
                <c:pt idx="29">
                  <c:v>347.2863255779551</c:v>
                </c:pt>
                <c:pt idx="30">
                  <c:v>347.2863255779551</c:v>
                </c:pt>
                <c:pt idx="31">
                  <c:v>347.2863255779551</c:v>
                </c:pt>
                <c:pt idx="32">
                  <c:v>347.2863255779551</c:v>
                </c:pt>
                <c:pt idx="33">
                  <c:v>347.2863255779551</c:v>
                </c:pt>
                <c:pt idx="34">
                  <c:v>347.2863255779551</c:v>
                </c:pt>
                <c:pt idx="35">
                  <c:v>347.2863255779551</c:v>
                </c:pt>
                <c:pt idx="36">
                  <c:v>347.2863255779551</c:v>
                </c:pt>
                <c:pt idx="37">
                  <c:v>347.2863255779551</c:v>
                </c:pt>
                <c:pt idx="38">
                  <c:v>347.2863255779551</c:v>
                </c:pt>
                <c:pt idx="39">
                  <c:v>347.2863255779551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38-40EC-8490-DB3A644A3083}"/>
            </c:ext>
          </c:extLst>
        </c:ser>
        <c:ser>
          <c:idx val="3"/>
          <c:order val="3"/>
          <c:tx>
            <c:strRef>
              <c:f>'3-4'!$AG$2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'3-4'!$AG$3:$AG$42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038-40EC-8490-DB3A644A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957056"/>
        <c:axId val="685951648"/>
      </c:scatterChart>
      <c:valAx>
        <c:axId val="68595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1648"/>
        <c:crosses val="autoZero"/>
        <c:crossBetween val="midCat"/>
      </c:valAx>
      <c:valAx>
        <c:axId val="68595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8595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'3-4'!$AL$2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'3-4'!$AL$3:$AL$42</c:f>
              <c:numCache>
                <c:formatCode>General</c:formatCode>
                <c:ptCount val="40"/>
                <c:pt idx="0">
                  <c:v>9.9024390243902438</c:v>
                </c:pt>
                <c:pt idx="1">
                  <c:v>9.9024390243902438</c:v>
                </c:pt>
                <c:pt idx="2">
                  <c:v>9.9024390243902438</c:v>
                </c:pt>
                <c:pt idx="3">
                  <c:v>9.9024390243902438</c:v>
                </c:pt>
                <c:pt idx="4">
                  <c:v>9.9024390243902438</c:v>
                </c:pt>
                <c:pt idx="5">
                  <c:v>9.9024390243902438</c:v>
                </c:pt>
                <c:pt idx="6">
                  <c:v>9.9024390243902438</c:v>
                </c:pt>
                <c:pt idx="7">
                  <c:v>9.9024390243902438</c:v>
                </c:pt>
                <c:pt idx="8">
                  <c:v>9.9024390243902438</c:v>
                </c:pt>
                <c:pt idx="9">
                  <c:v>9.9024390243902438</c:v>
                </c:pt>
                <c:pt idx="10">
                  <c:v>9.9024390243902438</c:v>
                </c:pt>
                <c:pt idx="11">
                  <c:v>9.9024390243902438</c:v>
                </c:pt>
                <c:pt idx="12">
                  <c:v>9.9024390243902438</c:v>
                </c:pt>
                <c:pt idx="13">
                  <c:v>9.9024390243902438</c:v>
                </c:pt>
                <c:pt idx="14">
                  <c:v>9.9024390243902438</c:v>
                </c:pt>
                <c:pt idx="15">
                  <c:v>9.9024390243902438</c:v>
                </c:pt>
                <c:pt idx="16">
                  <c:v>9.9024390243902438</c:v>
                </c:pt>
                <c:pt idx="17">
                  <c:v>9.9024390243902438</c:v>
                </c:pt>
                <c:pt idx="18">
                  <c:v>9.9024390243902438</c:v>
                </c:pt>
                <c:pt idx="19">
                  <c:v>9.9024390243902438</c:v>
                </c:pt>
                <c:pt idx="20">
                  <c:v>9.9024390243902438</c:v>
                </c:pt>
                <c:pt idx="21">
                  <c:v>9.9024390243902438</c:v>
                </c:pt>
                <c:pt idx="22">
                  <c:v>9.9024390243902438</c:v>
                </c:pt>
                <c:pt idx="23">
                  <c:v>9.9024390243902438</c:v>
                </c:pt>
                <c:pt idx="24">
                  <c:v>9.9024390243902438</c:v>
                </c:pt>
                <c:pt idx="25">
                  <c:v>9.9024390243902438</c:v>
                </c:pt>
                <c:pt idx="26">
                  <c:v>9.9024390243902438</c:v>
                </c:pt>
                <c:pt idx="27">
                  <c:v>9.9024390243902438</c:v>
                </c:pt>
                <c:pt idx="28">
                  <c:v>9.9024390243902438</c:v>
                </c:pt>
                <c:pt idx="29">
                  <c:v>9.9024390243902438</c:v>
                </c:pt>
                <c:pt idx="30">
                  <c:v>9.9024390243902438</c:v>
                </c:pt>
                <c:pt idx="31">
                  <c:v>9.9024390243902438</c:v>
                </c:pt>
                <c:pt idx="32">
                  <c:v>9.9024390243902438</c:v>
                </c:pt>
                <c:pt idx="33">
                  <c:v>9.9024390243902438</c:v>
                </c:pt>
                <c:pt idx="34">
                  <c:v>9.9024390243902438</c:v>
                </c:pt>
                <c:pt idx="35">
                  <c:v>9.9024390243902438</c:v>
                </c:pt>
                <c:pt idx="36">
                  <c:v>9.9024390243902438</c:v>
                </c:pt>
                <c:pt idx="37">
                  <c:v>9.9024390243902438</c:v>
                </c:pt>
                <c:pt idx="38">
                  <c:v>9.9024390243902438</c:v>
                </c:pt>
                <c:pt idx="39">
                  <c:v>9.9024390243902438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4A-4D2D-9960-515746DF9342}"/>
            </c:ext>
          </c:extLst>
        </c:ser>
        <c:ser>
          <c:idx val="1"/>
          <c:order val="1"/>
          <c:tx>
            <c:strRef>
              <c:f>'3-4'!$AM$2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'3-4'!$AM$3:$AM$42</c:f>
              <c:numCache>
                <c:formatCode>General</c:formatCode>
                <c:ptCount val="40"/>
                <c:pt idx="0">
                  <c:v>16.802598089364849</c:v>
                </c:pt>
                <c:pt idx="1">
                  <c:v>16.802598089364849</c:v>
                </c:pt>
                <c:pt idx="2">
                  <c:v>16.802598089364849</c:v>
                </c:pt>
                <c:pt idx="3">
                  <c:v>16.802598089364849</c:v>
                </c:pt>
                <c:pt idx="4">
                  <c:v>16.802598089364849</c:v>
                </c:pt>
                <c:pt idx="5">
                  <c:v>16.802598089364849</c:v>
                </c:pt>
                <c:pt idx="6">
                  <c:v>16.802598089364849</c:v>
                </c:pt>
                <c:pt idx="7">
                  <c:v>16.802598089364849</c:v>
                </c:pt>
                <c:pt idx="8">
                  <c:v>16.802598089364849</c:v>
                </c:pt>
                <c:pt idx="9">
                  <c:v>16.802598089364849</c:v>
                </c:pt>
                <c:pt idx="10">
                  <c:v>16.802598089364849</c:v>
                </c:pt>
                <c:pt idx="11">
                  <c:v>16.802598089364849</c:v>
                </c:pt>
                <c:pt idx="12">
                  <c:v>16.802598089364849</c:v>
                </c:pt>
                <c:pt idx="13">
                  <c:v>16.802598089364849</c:v>
                </c:pt>
                <c:pt idx="14">
                  <c:v>16.802598089364849</c:v>
                </c:pt>
                <c:pt idx="15">
                  <c:v>16.802598089364849</c:v>
                </c:pt>
                <c:pt idx="16">
                  <c:v>16.802598089364849</c:v>
                </c:pt>
                <c:pt idx="17">
                  <c:v>16.802598089364849</c:v>
                </c:pt>
                <c:pt idx="18">
                  <c:v>16.802598089364849</c:v>
                </c:pt>
                <c:pt idx="19">
                  <c:v>16.802598089364849</c:v>
                </c:pt>
                <c:pt idx="20">
                  <c:v>16.802598089364849</c:v>
                </c:pt>
                <c:pt idx="21">
                  <c:v>16.802598089364849</c:v>
                </c:pt>
                <c:pt idx="22">
                  <c:v>16.802598089364849</c:v>
                </c:pt>
                <c:pt idx="23">
                  <c:v>16.802598089364849</c:v>
                </c:pt>
                <c:pt idx="24">
                  <c:v>16.802598089364849</c:v>
                </c:pt>
                <c:pt idx="25">
                  <c:v>16.802598089364849</c:v>
                </c:pt>
                <c:pt idx="26">
                  <c:v>16.802598089364849</c:v>
                </c:pt>
                <c:pt idx="27">
                  <c:v>16.802598089364849</c:v>
                </c:pt>
                <c:pt idx="28">
                  <c:v>16.802598089364849</c:v>
                </c:pt>
                <c:pt idx="29">
                  <c:v>16.802598089364849</c:v>
                </c:pt>
                <c:pt idx="30">
                  <c:v>16.802598089364849</c:v>
                </c:pt>
                <c:pt idx="31">
                  <c:v>16.802598089364849</c:v>
                </c:pt>
                <c:pt idx="32">
                  <c:v>16.802598089364849</c:v>
                </c:pt>
                <c:pt idx="33">
                  <c:v>16.802598089364849</c:v>
                </c:pt>
                <c:pt idx="34">
                  <c:v>16.802598089364849</c:v>
                </c:pt>
                <c:pt idx="35">
                  <c:v>16.802598089364849</c:v>
                </c:pt>
                <c:pt idx="36">
                  <c:v>16.802598089364849</c:v>
                </c:pt>
                <c:pt idx="37">
                  <c:v>16.802598089364849</c:v>
                </c:pt>
                <c:pt idx="38">
                  <c:v>16.802598089364849</c:v>
                </c:pt>
                <c:pt idx="39">
                  <c:v>16.802598089364849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4A-4D2D-9960-515746DF9342}"/>
            </c:ext>
          </c:extLst>
        </c:ser>
        <c:ser>
          <c:idx val="2"/>
          <c:order val="2"/>
          <c:tx>
            <c:strRef>
              <c:f>'3-4'!$AN$2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'3-4'!$AN$3:$AN$42</c:f>
              <c:numCache>
                <c:formatCode>General</c:formatCode>
                <c:ptCount val="40"/>
                <c:pt idx="0">
                  <c:v>3.00227995941564</c:v>
                </c:pt>
                <c:pt idx="1">
                  <c:v>3.00227995941564</c:v>
                </c:pt>
                <c:pt idx="2">
                  <c:v>3.00227995941564</c:v>
                </c:pt>
                <c:pt idx="3">
                  <c:v>3.00227995941564</c:v>
                </c:pt>
                <c:pt idx="4">
                  <c:v>3.00227995941564</c:v>
                </c:pt>
                <c:pt idx="5">
                  <c:v>3.00227995941564</c:v>
                </c:pt>
                <c:pt idx="6">
                  <c:v>3.00227995941564</c:v>
                </c:pt>
                <c:pt idx="7">
                  <c:v>3.00227995941564</c:v>
                </c:pt>
                <c:pt idx="8">
                  <c:v>3.00227995941564</c:v>
                </c:pt>
                <c:pt idx="9">
                  <c:v>3.00227995941564</c:v>
                </c:pt>
                <c:pt idx="10">
                  <c:v>3.00227995941564</c:v>
                </c:pt>
                <c:pt idx="11">
                  <c:v>3.00227995941564</c:v>
                </c:pt>
                <c:pt idx="12">
                  <c:v>3.00227995941564</c:v>
                </c:pt>
                <c:pt idx="13">
                  <c:v>3.00227995941564</c:v>
                </c:pt>
                <c:pt idx="14">
                  <c:v>3.00227995941564</c:v>
                </c:pt>
                <c:pt idx="15">
                  <c:v>3.00227995941564</c:v>
                </c:pt>
                <c:pt idx="16">
                  <c:v>3.00227995941564</c:v>
                </c:pt>
                <c:pt idx="17">
                  <c:v>3.00227995941564</c:v>
                </c:pt>
                <c:pt idx="18">
                  <c:v>3.00227995941564</c:v>
                </c:pt>
                <c:pt idx="19">
                  <c:v>3.00227995941564</c:v>
                </c:pt>
                <c:pt idx="20">
                  <c:v>3.00227995941564</c:v>
                </c:pt>
                <c:pt idx="21">
                  <c:v>3.00227995941564</c:v>
                </c:pt>
                <c:pt idx="22">
                  <c:v>3.00227995941564</c:v>
                </c:pt>
                <c:pt idx="23">
                  <c:v>3.00227995941564</c:v>
                </c:pt>
                <c:pt idx="24">
                  <c:v>3.00227995941564</c:v>
                </c:pt>
                <c:pt idx="25">
                  <c:v>3.00227995941564</c:v>
                </c:pt>
                <c:pt idx="26">
                  <c:v>3.00227995941564</c:v>
                </c:pt>
                <c:pt idx="27">
                  <c:v>3.00227995941564</c:v>
                </c:pt>
                <c:pt idx="28">
                  <c:v>3.00227995941564</c:v>
                </c:pt>
                <c:pt idx="29">
                  <c:v>3.00227995941564</c:v>
                </c:pt>
                <c:pt idx="30">
                  <c:v>3.00227995941564</c:v>
                </c:pt>
                <c:pt idx="31">
                  <c:v>3.00227995941564</c:v>
                </c:pt>
                <c:pt idx="32">
                  <c:v>3.00227995941564</c:v>
                </c:pt>
                <c:pt idx="33">
                  <c:v>3.00227995941564</c:v>
                </c:pt>
                <c:pt idx="34">
                  <c:v>3.00227995941564</c:v>
                </c:pt>
                <c:pt idx="35">
                  <c:v>3.00227995941564</c:v>
                </c:pt>
                <c:pt idx="36">
                  <c:v>3.00227995941564</c:v>
                </c:pt>
                <c:pt idx="37">
                  <c:v>3.00227995941564</c:v>
                </c:pt>
                <c:pt idx="38">
                  <c:v>3.00227995941564</c:v>
                </c:pt>
                <c:pt idx="39">
                  <c:v>3.00227995941564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4A-4D2D-9960-515746DF9342}"/>
            </c:ext>
          </c:extLst>
        </c:ser>
        <c:ser>
          <c:idx val="3"/>
          <c:order val="3"/>
          <c:tx>
            <c:strRef>
              <c:f>'3-4'!$AK$2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'3-4'!$AK$3:$AK$42</c:f>
              <c:numCache>
                <c:formatCode>General</c:formatCode>
                <c:ptCount val="40"/>
                <c:pt idx="0">
                  <c:v>10</c:v>
                </c:pt>
                <c:pt idx="1">
                  <c:v>10</c:v>
                </c:pt>
                <c:pt idx="2">
                  <c:v>112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10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10</c:v>
                </c:pt>
                <c:pt idx="13">
                  <c:v>13</c:v>
                </c:pt>
                <c:pt idx="14">
                  <c:v>11</c:v>
                </c:pt>
                <c:pt idx="15">
                  <c:v>10</c:v>
                </c:pt>
                <c:pt idx="16">
                  <c:v>9</c:v>
                </c:pt>
                <c:pt idx="17">
                  <c:v>12</c:v>
                </c:pt>
                <c:pt idx="18">
                  <c:v>11</c:v>
                </c:pt>
                <c:pt idx="19">
                  <c:v>11</c:v>
                </c:pt>
                <c:pt idx="20">
                  <c:v>6</c:v>
                </c:pt>
                <c:pt idx="21">
                  <c:v>10</c:v>
                </c:pt>
                <c:pt idx="22">
                  <c:v>10</c:v>
                </c:pt>
                <c:pt idx="23">
                  <c:v>8</c:v>
                </c:pt>
                <c:pt idx="24">
                  <c:v>8</c:v>
                </c:pt>
                <c:pt idx="25">
                  <c:v>10</c:v>
                </c:pt>
                <c:pt idx="26">
                  <c:v>8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10</c:v>
                </c:pt>
                <c:pt idx="31">
                  <c:v>9</c:v>
                </c:pt>
                <c:pt idx="32">
                  <c:v>11</c:v>
                </c:pt>
                <c:pt idx="33">
                  <c:v>11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4</c:v>
                </c:pt>
                <c:pt idx="38">
                  <c:v>10</c:v>
                </c:pt>
                <c:pt idx="39">
                  <c:v>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4A-4D2D-9960-515746DF9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255824"/>
        <c:axId val="513263312"/>
      </c:scatterChart>
      <c:valAx>
        <c:axId val="51325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63312"/>
        <c:crosses val="autoZero"/>
        <c:crossBetween val="midCat"/>
      </c:valAx>
      <c:valAx>
        <c:axId val="51326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325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sequential likelihood ratio test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'3-5'!$U$2</c:f>
              <c:strCache>
                <c:ptCount val="1"/>
                <c:pt idx="0">
                  <c:v>accept H_1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'3-5'!$U$3:$U$42</c:f>
              <c:numCache>
                <c:formatCode>General</c:formatCode>
                <c:ptCount val="40"/>
                <c:pt idx="0">
                  <c:v>-17.918560313611167</c:v>
                </c:pt>
                <c:pt idx="1">
                  <c:v>-17.918560313611167</c:v>
                </c:pt>
                <c:pt idx="2">
                  <c:v>-17.918560313611167</c:v>
                </c:pt>
                <c:pt idx="3">
                  <c:v>-17.918560313611167</c:v>
                </c:pt>
                <c:pt idx="4">
                  <c:v>-17.918560313611167</c:v>
                </c:pt>
                <c:pt idx="5">
                  <c:v>-17.918560313611167</c:v>
                </c:pt>
                <c:pt idx="6">
                  <c:v>-17.918560313611167</c:v>
                </c:pt>
                <c:pt idx="7">
                  <c:v>-17.918560313611167</c:v>
                </c:pt>
                <c:pt idx="8">
                  <c:v>-17.918560313611167</c:v>
                </c:pt>
                <c:pt idx="9">
                  <c:v>-17.918560313611167</c:v>
                </c:pt>
                <c:pt idx="10">
                  <c:v>-17.918560313611167</c:v>
                </c:pt>
                <c:pt idx="11">
                  <c:v>-17.918560313611167</c:v>
                </c:pt>
                <c:pt idx="12">
                  <c:v>-17.918560313611167</c:v>
                </c:pt>
                <c:pt idx="13">
                  <c:v>-17.918560313611167</c:v>
                </c:pt>
                <c:pt idx="14">
                  <c:v>-17.918560313611167</c:v>
                </c:pt>
                <c:pt idx="15">
                  <c:v>-17.918560313611167</c:v>
                </c:pt>
                <c:pt idx="16">
                  <c:v>-17.918560313611167</c:v>
                </c:pt>
                <c:pt idx="17">
                  <c:v>-17.918560313611167</c:v>
                </c:pt>
                <c:pt idx="18">
                  <c:v>-17.918560313611167</c:v>
                </c:pt>
                <c:pt idx="19">
                  <c:v>-17.918560313611167</c:v>
                </c:pt>
                <c:pt idx="20">
                  <c:v>-17.918560313611167</c:v>
                </c:pt>
                <c:pt idx="21">
                  <c:v>-17.918560313611167</c:v>
                </c:pt>
                <c:pt idx="22">
                  <c:v>-17.918560313611167</c:v>
                </c:pt>
                <c:pt idx="23">
                  <c:v>-17.918560313611167</c:v>
                </c:pt>
                <c:pt idx="24">
                  <c:v>-17.918560313611167</c:v>
                </c:pt>
                <c:pt idx="25">
                  <c:v>-17.918560313611167</c:v>
                </c:pt>
                <c:pt idx="26">
                  <c:v>-17.918560313611167</c:v>
                </c:pt>
                <c:pt idx="27">
                  <c:v>-17.918560313611167</c:v>
                </c:pt>
                <c:pt idx="28">
                  <c:v>-17.918560313611167</c:v>
                </c:pt>
                <c:pt idx="29">
                  <c:v>-17.918560313611167</c:v>
                </c:pt>
                <c:pt idx="30">
                  <c:v>-17.918560313611167</c:v>
                </c:pt>
                <c:pt idx="31">
                  <c:v>-17.918560313611167</c:v>
                </c:pt>
                <c:pt idx="32">
                  <c:v>-17.918560313611167</c:v>
                </c:pt>
                <c:pt idx="33">
                  <c:v>-17.918560313611167</c:v>
                </c:pt>
                <c:pt idx="34">
                  <c:v>-17.918560313611167</c:v>
                </c:pt>
                <c:pt idx="35">
                  <c:v>-17.918560313611167</c:v>
                </c:pt>
                <c:pt idx="36">
                  <c:v>-17.918560313611167</c:v>
                </c:pt>
                <c:pt idx="37">
                  <c:v>-17.918560313611167</c:v>
                </c:pt>
                <c:pt idx="38">
                  <c:v>-17.918560313611167</c:v>
                </c:pt>
                <c:pt idx="39">
                  <c:v>-17.918560313611167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DF-47AD-B69B-54B465D55E0D}"/>
            </c:ext>
          </c:extLst>
        </c:ser>
        <c:ser>
          <c:idx val="1"/>
          <c:order val="1"/>
          <c:tx>
            <c:strRef>
              <c:f>'3-5'!$V$2</c:f>
              <c:strCache>
                <c:ptCount val="1"/>
                <c:pt idx="0">
                  <c:v>accept H_0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'3-5'!$V$3:$V$42</c:f>
              <c:numCache>
                <c:formatCode>General</c:formatCode>
                <c:ptCount val="40"/>
                <c:pt idx="0">
                  <c:v>5.1530570568807397</c:v>
                </c:pt>
                <c:pt idx="1">
                  <c:v>5.1530570568807397</c:v>
                </c:pt>
                <c:pt idx="2">
                  <c:v>5.1530570568807397</c:v>
                </c:pt>
                <c:pt idx="3">
                  <c:v>5.1530570568807397</c:v>
                </c:pt>
                <c:pt idx="4">
                  <c:v>5.1530570568807397</c:v>
                </c:pt>
                <c:pt idx="5">
                  <c:v>5.1530570568807397</c:v>
                </c:pt>
                <c:pt idx="6">
                  <c:v>5.1530570568807397</c:v>
                </c:pt>
                <c:pt idx="7">
                  <c:v>5.1530570568807397</c:v>
                </c:pt>
                <c:pt idx="8">
                  <c:v>5.1530570568807397</c:v>
                </c:pt>
                <c:pt idx="9">
                  <c:v>5.1530570568807397</c:v>
                </c:pt>
                <c:pt idx="10">
                  <c:v>5.1530570568807397</c:v>
                </c:pt>
                <c:pt idx="11">
                  <c:v>5.1530570568807397</c:v>
                </c:pt>
                <c:pt idx="12">
                  <c:v>5.1530570568807397</c:v>
                </c:pt>
                <c:pt idx="13">
                  <c:v>5.1530570568807397</c:v>
                </c:pt>
                <c:pt idx="14">
                  <c:v>5.1530570568807397</c:v>
                </c:pt>
                <c:pt idx="15">
                  <c:v>5.1530570568807397</c:v>
                </c:pt>
                <c:pt idx="16">
                  <c:v>5.1530570568807397</c:v>
                </c:pt>
                <c:pt idx="17">
                  <c:v>5.1530570568807397</c:v>
                </c:pt>
                <c:pt idx="18">
                  <c:v>5.1530570568807397</c:v>
                </c:pt>
                <c:pt idx="19">
                  <c:v>5.1530570568807397</c:v>
                </c:pt>
                <c:pt idx="20">
                  <c:v>5.1530570568807397</c:v>
                </c:pt>
                <c:pt idx="21">
                  <c:v>5.1530570568807397</c:v>
                </c:pt>
                <c:pt idx="22">
                  <c:v>5.1530570568807397</c:v>
                </c:pt>
                <c:pt idx="23">
                  <c:v>5.1530570568807397</c:v>
                </c:pt>
                <c:pt idx="24">
                  <c:v>5.1530570568807397</c:v>
                </c:pt>
                <c:pt idx="25">
                  <c:v>5.1530570568807397</c:v>
                </c:pt>
                <c:pt idx="26">
                  <c:v>5.1530570568807397</c:v>
                </c:pt>
                <c:pt idx="27">
                  <c:v>5.1530570568807397</c:v>
                </c:pt>
                <c:pt idx="28">
                  <c:v>5.1530570568807397</c:v>
                </c:pt>
                <c:pt idx="29">
                  <c:v>5.1530570568807397</c:v>
                </c:pt>
                <c:pt idx="30">
                  <c:v>5.1530570568807397</c:v>
                </c:pt>
                <c:pt idx="31">
                  <c:v>5.1530570568807397</c:v>
                </c:pt>
                <c:pt idx="32">
                  <c:v>5.1530570568807397</c:v>
                </c:pt>
                <c:pt idx="33">
                  <c:v>5.1530570568807397</c:v>
                </c:pt>
                <c:pt idx="34">
                  <c:v>5.1530570568807397</c:v>
                </c:pt>
                <c:pt idx="35">
                  <c:v>5.1530570568807397</c:v>
                </c:pt>
                <c:pt idx="36">
                  <c:v>5.1530570568807397</c:v>
                </c:pt>
                <c:pt idx="37">
                  <c:v>5.1530570568807397</c:v>
                </c:pt>
                <c:pt idx="38">
                  <c:v>5.1530570568807397</c:v>
                </c:pt>
                <c:pt idx="39">
                  <c:v>5.1530570568807397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DF-47AD-B69B-54B465D55E0D}"/>
            </c:ext>
          </c:extLst>
        </c:ser>
        <c:ser>
          <c:idx val="2"/>
          <c:order val="2"/>
          <c:tx>
            <c:strRef>
              <c:f>'3-5'!$T$2</c:f>
              <c:strCache>
                <c:ptCount val="1"/>
                <c:pt idx="0">
                  <c:v>C_t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'3-5'!$T$3:$T$42</c:f>
              <c:numCache>
                <c:formatCode>General</c:formatCode>
                <c:ptCount val="40"/>
                <c:pt idx="0">
                  <c:v>9.305936180603851</c:v>
                </c:pt>
                <c:pt idx="1">
                  <c:v>9.7059361806038851</c:v>
                </c:pt>
                <c:pt idx="2">
                  <c:v>-28.294063819396115</c:v>
                </c:pt>
                <c:pt idx="3">
                  <c:v>13.105936180603862</c:v>
                </c:pt>
                <c:pt idx="4">
                  <c:v>8.1059361806038623</c:v>
                </c:pt>
                <c:pt idx="5">
                  <c:v>8.9059361806038737</c:v>
                </c:pt>
                <c:pt idx="6">
                  <c:v>11.105936180603862</c:v>
                </c:pt>
                <c:pt idx="7">
                  <c:v>5.9059361806038737</c:v>
                </c:pt>
                <c:pt idx="8">
                  <c:v>7.5059361806038396</c:v>
                </c:pt>
                <c:pt idx="9">
                  <c:v>6.305936180603851</c:v>
                </c:pt>
                <c:pt idx="10">
                  <c:v>2.7059361806038851</c:v>
                </c:pt>
                <c:pt idx="11">
                  <c:v>5.8118723612077474</c:v>
                </c:pt>
                <c:pt idx="12">
                  <c:v>3.5059361806038396</c:v>
                </c:pt>
                <c:pt idx="13">
                  <c:v>7.0118723612076792</c:v>
                </c:pt>
                <c:pt idx="14">
                  <c:v>6.7059361806038851</c:v>
                </c:pt>
                <c:pt idx="15">
                  <c:v>7.305936180603851</c:v>
                </c:pt>
                <c:pt idx="16">
                  <c:v>7.1059361806038623</c:v>
                </c:pt>
                <c:pt idx="17">
                  <c:v>4.1059361806038623</c:v>
                </c:pt>
                <c:pt idx="18">
                  <c:v>10.011872361207736</c:v>
                </c:pt>
                <c:pt idx="19">
                  <c:v>6.5059361806038396</c:v>
                </c:pt>
                <c:pt idx="20">
                  <c:v>-1.694063819396149</c:v>
                </c:pt>
                <c:pt idx="21">
                  <c:v>2.8118723612076906</c:v>
                </c:pt>
                <c:pt idx="22">
                  <c:v>6.1178085418115415</c:v>
                </c:pt>
                <c:pt idx="23">
                  <c:v>2.305936180603851</c:v>
                </c:pt>
                <c:pt idx="24">
                  <c:v>5.011872361207736</c:v>
                </c:pt>
                <c:pt idx="25">
                  <c:v>9.9178085418116098</c:v>
                </c:pt>
                <c:pt idx="26">
                  <c:v>-2.0940638193961263</c:v>
                </c:pt>
                <c:pt idx="27">
                  <c:v>1.4118723612077133</c:v>
                </c:pt>
                <c:pt idx="28">
                  <c:v>3.7178085418115643</c:v>
                </c:pt>
                <c:pt idx="29">
                  <c:v>4.623744722415438</c:v>
                </c:pt>
                <c:pt idx="30">
                  <c:v>9.7296809030193003</c:v>
                </c:pt>
                <c:pt idx="31">
                  <c:v>0.90593618060387371</c:v>
                </c:pt>
                <c:pt idx="32">
                  <c:v>4.6118723612077588</c:v>
                </c:pt>
                <c:pt idx="33">
                  <c:v>9.3178085418116439</c:v>
                </c:pt>
                <c:pt idx="34">
                  <c:v>5.1059361806038623</c:v>
                </c:pt>
                <c:pt idx="35">
                  <c:v>8.6118723612077019</c:v>
                </c:pt>
                <c:pt idx="36">
                  <c:v>5.5059361806038396</c:v>
                </c:pt>
                <c:pt idx="37">
                  <c:v>-0.69406381939614903</c:v>
                </c:pt>
                <c:pt idx="38">
                  <c:v>6.8118723612076906</c:v>
                </c:pt>
                <c:pt idx="39">
                  <c:v>2.1059361806038623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DF-47AD-B69B-54B465D55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8258496"/>
        <c:axId val="298264736"/>
      </c:scatterChart>
      <c:valAx>
        <c:axId val="29825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64736"/>
        <c:crosses val="autoZero"/>
        <c:crossBetween val="midCat"/>
      </c:valAx>
      <c:valAx>
        <c:axId val="298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9825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Tabular CUSUM chart (k,h)=(0.8,6)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'3-5'!$X$2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'3-5'!$X$3:$X$42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8-403B-9E07-88EEFDA0A7A1}"/>
            </c:ext>
          </c:extLst>
        </c:ser>
        <c:ser>
          <c:idx val="1"/>
          <c:order val="1"/>
          <c:tx>
            <c:strRef>
              <c:f>'3-5'!$AA$2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'3-5'!$AA$3:$AA$42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9980896"/>
        <c:axId val="320239936"/>
      </c:barChart>
      <c:scatterChart>
        <c:scatterStyle val="lineMarker"/>
        <c:varyColors val="0"/>
        <c:ser>
          <c:idx val="2"/>
          <c:order val="2"/>
          <c:tx>
            <c:strRef>
              <c:f>'3-5'!$AC$2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'3-5'!$AC$3:$AC$42</c:f>
              <c:numCache>
                <c:formatCode>General</c:formatCode>
                <c:ptCount val="40"/>
                <c:pt idx="0">
                  <c:v>30.794521354529053</c:v>
                </c:pt>
                <c:pt idx="1">
                  <c:v>30.794521354529053</c:v>
                </c:pt>
                <c:pt idx="2">
                  <c:v>30.794521354529053</c:v>
                </c:pt>
                <c:pt idx="3">
                  <c:v>30.794521354529053</c:v>
                </c:pt>
                <c:pt idx="4">
                  <c:v>30.794521354529053</c:v>
                </c:pt>
                <c:pt idx="5">
                  <c:v>30.794521354529053</c:v>
                </c:pt>
                <c:pt idx="6">
                  <c:v>30.794521354529053</c:v>
                </c:pt>
                <c:pt idx="7">
                  <c:v>30.794521354529053</c:v>
                </c:pt>
                <c:pt idx="8">
                  <c:v>30.794521354529053</c:v>
                </c:pt>
                <c:pt idx="9">
                  <c:v>30.794521354529053</c:v>
                </c:pt>
                <c:pt idx="10">
                  <c:v>30.794521354529053</c:v>
                </c:pt>
                <c:pt idx="11">
                  <c:v>30.794521354529053</c:v>
                </c:pt>
                <c:pt idx="12">
                  <c:v>30.794521354529053</c:v>
                </c:pt>
                <c:pt idx="13">
                  <c:v>30.794521354529053</c:v>
                </c:pt>
                <c:pt idx="14">
                  <c:v>30.794521354529053</c:v>
                </c:pt>
                <c:pt idx="15">
                  <c:v>30.794521354529053</c:v>
                </c:pt>
                <c:pt idx="16">
                  <c:v>30.794521354529053</c:v>
                </c:pt>
                <c:pt idx="17">
                  <c:v>30.794521354529053</c:v>
                </c:pt>
                <c:pt idx="18">
                  <c:v>30.794521354529053</c:v>
                </c:pt>
                <c:pt idx="19">
                  <c:v>30.794521354529053</c:v>
                </c:pt>
                <c:pt idx="20">
                  <c:v>30.794521354529053</c:v>
                </c:pt>
                <c:pt idx="21">
                  <c:v>30.794521354529053</c:v>
                </c:pt>
                <c:pt idx="22">
                  <c:v>30.794521354529053</c:v>
                </c:pt>
                <c:pt idx="23">
                  <c:v>30.794521354529053</c:v>
                </c:pt>
                <c:pt idx="24">
                  <c:v>30.794521354529053</c:v>
                </c:pt>
                <c:pt idx="25">
                  <c:v>30.794521354529053</c:v>
                </c:pt>
                <c:pt idx="26">
                  <c:v>30.794521354529053</c:v>
                </c:pt>
                <c:pt idx="27">
                  <c:v>30.794521354529053</c:v>
                </c:pt>
                <c:pt idx="28">
                  <c:v>30.794521354529053</c:v>
                </c:pt>
                <c:pt idx="29">
                  <c:v>30.794521354529053</c:v>
                </c:pt>
                <c:pt idx="30">
                  <c:v>30.794521354529053</c:v>
                </c:pt>
                <c:pt idx="31">
                  <c:v>30.794521354529053</c:v>
                </c:pt>
                <c:pt idx="32">
                  <c:v>30.794521354529053</c:v>
                </c:pt>
                <c:pt idx="33">
                  <c:v>30.794521354529053</c:v>
                </c:pt>
                <c:pt idx="34">
                  <c:v>30.794521354529053</c:v>
                </c:pt>
                <c:pt idx="35">
                  <c:v>30.794521354529053</c:v>
                </c:pt>
                <c:pt idx="36">
                  <c:v>30.794521354529053</c:v>
                </c:pt>
                <c:pt idx="37">
                  <c:v>30.794521354529053</c:v>
                </c:pt>
                <c:pt idx="38">
                  <c:v>30.794521354529053</c:v>
                </c:pt>
                <c:pt idx="39">
                  <c:v>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F8-403B-9E07-88EEFDA0A7A1}"/>
            </c:ext>
          </c:extLst>
        </c:ser>
        <c:ser>
          <c:idx val="3"/>
          <c:order val="3"/>
          <c:tx>
            <c:strRef>
              <c:f>'3-5'!$AD$2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'3-5'!$AD$3:$AD$42</c:f>
              <c:numCache>
                <c:formatCode>General</c:formatCode>
                <c:ptCount val="40"/>
                <c:pt idx="0">
                  <c:v>-30.794521354529053</c:v>
                </c:pt>
                <c:pt idx="1">
                  <c:v>-30.794521354529053</c:v>
                </c:pt>
                <c:pt idx="2">
                  <c:v>-30.794521354529053</c:v>
                </c:pt>
                <c:pt idx="3">
                  <c:v>-30.794521354529053</c:v>
                </c:pt>
                <c:pt idx="4">
                  <c:v>-30.794521354529053</c:v>
                </c:pt>
                <c:pt idx="5">
                  <c:v>-30.794521354529053</c:v>
                </c:pt>
                <c:pt idx="6">
                  <c:v>-30.794521354529053</c:v>
                </c:pt>
                <c:pt idx="7">
                  <c:v>-30.794521354529053</c:v>
                </c:pt>
                <c:pt idx="8">
                  <c:v>-30.794521354529053</c:v>
                </c:pt>
                <c:pt idx="9">
                  <c:v>-30.794521354529053</c:v>
                </c:pt>
                <c:pt idx="10">
                  <c:v>-30.794521354529053</c:v>
                </c:pt>
                <c:pt idx="11">
                  <c:v>-30.794521354529053</c:v>
                </c:pt>
                <c:pt idx="12">
                  <c:v>-30.794521354529053</c:v>
                </c:pt>
                <c:pt idx="13">
                  <c:v>-30.794521354529053</c:v>
                </c:pt>
                <c:pt idx="14">
                  <c:v>-30.794521354529053</c:v>
                </c:pt>
                <c:pt idx="15">
                  <c:v>-30.794521354529053</c:v>
                </c:pt>
                <c:pt idx="16">
                  <c:v>-30.794521354529053</c:v>
                </c:pt>
                <c:pt idx="17">
                  <c:v>-30.794521354529053</c:v>
                </c:pt>
                <c:pt idx="18">
                  <c:v>-30.794521354529053</c:v>
                </c:pt>
                <c:pt idx="19">
                  <c:v>-30.794521354529053</c:v>
                </c:pt>
                <c:pt idx="20">
                  <c:v>-30.794521354529053</c:v>
                </c:pt>
                <c:pt idx="21">
                  <c:v>-30.794521354529053</c:v>
                </c:pt>
                <c:pt idx="22">
                  <c:v>-30.794521354529053</c:v>
                </c:pt>
                <c:pt idx="23">
                  <c:v>-30.794521354529053</c:v>
                </c:pt>
                <c:pt idx="24">
                  <c:v>-30.794521354529053</c:v>
                </c:pt>
                <c:pt idx="25">
                  <c:v>-30.794521354529053</c:v>
                </c:pt>
                <c:pt idx="26">
                  <c:v>-30.794521354529053</c:v>
                </c:pt>
                <c:pt idx="27">
                  <c:v>-30.794521354529053</c:v>
                </c:pt>
                <c:pt idx="28">
                  <c:v>-30.794521354529053</c:v>
                </c:pt>
                <c:pt idx="29">
                  <c:v>-30.794521354529053</c:v>
                </c:pt>
                <c:pt idx="30">
                  <c:v>-30.794521354529053</c:v>
                </c:pt>
                <c:pt idx="31">
                  <c:v>-30.794521354529053</c:v>
                </c:pt>
                <c:pt idx="32">
                  <c:v>-30.794521354529053</c:v>
                </c:pt>
                <c:pt idx="33">
                  <c:v>-30.794521354529053</c:v>
                </c:pt>
                <c:pt idx="34">
                  <c:v>-30.794521354529053</c:v>
                </c:pt>
                <c:pt idx="35">
                  <c:v>-30.794521354529053</c:v>
                </c:pt>
                <c:pt idx="36">
                  <c:v>-30.794521354529053</c:v>
                </c:pt>
                <c:pt idx="37">
                  <c:v>-30.794521354529053</c:v>
                </c:pt>
                <c:pt idx="38">
                  <c:v>-30.794521354529053</c:v>
                </c:pt>
                <c:pt idx="39">
                  <c:v>-30.794521354529053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80896"/>
        <c:axId val="320239936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F8-403B-9E07-88EEFDA0A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81904"/>
        <c:axId val="501181488"/>
      </c:scatterChart>
      <c:catAx>
        <c:axId val="619980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9936"/>
        <c:crosses val="autoZero"/>
        <c:auto val="1"/>
        <c:lblAlgn val="ctr"/>
        <c:lblOffset val="100"/>
        <c:noMultiLvlLbl val="0"/>
      </c:catAx>
      <c:valAx>
        <c:axId val="32023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19980896"/>
        <c:crosses val="autoZero"/>
        <c:crossBetween val="between"/>
      </c:valAx>
      <c:valAx>
        <c:axId val="501181488"/>
        <c:scaling>
          <c:orientation val="minMax"/>
          <c:max val="385"/>
          <c:min val="31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01181904"/>
        <c:crosses val="max"/>
        <c:crossBetween val="midCat"/>
      </c:valAx>
      <c:valAx>
        <c:axId val="5011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50118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Tabular</a:t>
            </a:r>
            <a:r>
              <a:rPr lang="en-US" altLang="zh-TW" baseline="0"/>
              <a:t> CUSUM chart (k,h)=(0.5,5)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'3-5'!$AF$2</c:f>
              <c:strCache>
                <c:ptCount val="1"/>
                <c:pt idx="0">
                  <c:v>C^+_i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'3-5'!$AF$3:$AF$42</c:f>
              <c:numCache>
                <c:formatCode>General</c:formatCode>
                <c:ptCount val="40"/>
                <c:pt idx="0">
                  <c:v>2.6337898871225889</c:v>
                </c:pt>
                <c:pt idx="1">
                  <c:v>5.6675797742452119</c:v>
                </c:pt>
                <c:pt idx="2">
                  <c:v>0</c:v>
                </c:pt>
                <c:pt idx="3">
                  <c:v>6.4337898871226002</c:v>
                </c:pt>
                <c:pt idx="4">
                  <c:v>7.8675797742452005</c:v>
                </c:pt>
                <c:pt idx="5">
                  <c:v>10.101369661367812</c:v>
                </c:pt>
                <c:pt idx="6">
                  <c:v>14.535159548490412</c:v>
                </c:pt>
                <c:pt idx="7">
                  <c:v>13.768949435613024</c:v>
                </c:pt>
                <c:pt idx="8">
                  <c:v>14.602739322735601</c:v>
                </c:pt>
                <c:pt idx="9">
                  <c:v>14.23652920985819</c:v>
                </c:pt>
                <c:pt idx="10">
                  <c:v>10.270319096980813</c:v>
                </c:pt>
                <c:pt idx="11">
                  <c:v>6.7041089841034136</c:v>
                </c:pt>
                <c:pt idx="12">
                  <c:v>3.5378988712259911</c:v>
                </c:pt>
                <c:pt idx="13">
                  <c:v>0.37168875834856863</c:v>
                </c:pt>
                <c:pt idx="14">
                  <c:v>0.40547864547119161</c:v>
                </c:pt>
                <c:pt idx="15">
                  <c:v>1.0392685325937805</c:v>
                </c:pt>
                <c:pt idx="16">
                  <c:v>1.4730584197163807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0.83378988712257751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572-9D5B-7E780FF7B595}"/>
            </c:ext>
          </c:extLst>
        </c:ser>
        <c:ser>
          <c:idx val="1"/>
          <c:order val="1"/>
          <c:tx>
            <c:strRef>
              <c:f>'3-5'!$AI$2</c:f>
              <c:strCache>
                <c:ptCount val="1"/>
                <c:pt idx="0">
                  <c:v>C^-_i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'3-5'!$L$3:$L$42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'3-5'!$AI$3:$AI$42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-29.833789887122578</c:v>
                </c:pt>
                <c:pt idx="3">
                  <c:v>-18.267579774245178</c:v>
                </c:pt>
                <c:pt idx="4">
                  <c:v>-11.701369661367778</c:v>
                </c:pt>
                <c:pt idx="5">
                  <c:v>-4.3351595484903669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-3.2337898871226116</c:v>
                </c:pt>
                <c:pt idx="21">
                  <c:v>-0.2675797742452346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-3.6337898871225889</c:v>
                </c:pt>
                <c:pt idx="27">
                  <c:v>-1.6675797742452119</c:v>
                </c:pt>
                <c:pt idx="28">
                  <c:v>-0.90136966136782348</c:v>
                </c:pt>
                <c:pt idx="29">
                  <c:v>-1.5351595484904124</c:v>
                </c:pt>
                <c:pt idx="30">
                  <c:v>0</c:v>
                </c:pt>
                <c:pt idx="31">
                  <c:v>-0.63378988712258888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-2.2337898871226116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145632"/>
        <c:axId val="651146880"/>
      </c:barChart>
      <c:scatterChart>
        <c:scatterStyle val="lineMarker"/>
        <c:varyColors val="0"/>
        <c:ser>
          <c:idx val="2"/>
          <c:order val="2"/>
          <c:tx>
            <c:strRef>
              <c:f>'3-5'!$AK$2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'3-5'!$AK$3:$AK$42</c:f>
              <c:numCache>
                <c:formatCode>General</c:formatCode>
                <c:ptCount val="40"/>
                <c:pt idx="0">
                  <c:v>25.662101128774211</c:v>
                </c:pt>
                <c:pt idx="1">
                  <c:v>25.662101128774211</c:v>
                </c:pt>
                <c:pt idx="2">
                  <c:v>25.662101128774211</c:v>
                </c:pt>
                <c:pt idx="3">
                  <c:v>25.662101128774211</c:v>
                </c:pt>
                <c:pt idx="4">
                  <c:v>25.662101128774211</c:v>
                </c:pt>
                <c:pt idx="5">
                  <c:v>25.662101128774211</c:v>
                </c:pt>
                <c:pt idx="6">
                  <c:v>25.662101128774211</c:v>
                </c:pt>
                <c:pt idx="7">
                  <c:v>25.662101128774211</c:v>
                </c:pt>
                <c:pt idx="8">
                  <c:v>25.662101128774211</c:v>
                </c:pt>
                <c:pt idx="9">
                  <c:v>25.662101128774211</c:v>
                </c:pt>
                <c:pt idx="10">
                  <c:v>25.662101128774211</c:v>
                </c:pt>
                <c:pt idx="11">
                  <c:v>25.662101128774211</c:v>
                </c:pt>
                <c:pt idx="12">
                  <c:v>25.662101128774211</c:v>
                </c:pt>
                <c:pt idx="13">
                  <c:v>25.662101128774211</c:v>
                </c:pt>
                <c:pt idx="14">
                  <c:v>25.662101128774211</c:v>
                </c:pt>
                <c:pt idx="15">
                  <c:v>25.662101128774211</c:v>
                </c:pt>
                <c:pt idx="16">
                  <c:v>25.662101128774211</c:v>
                </c:pt>
                <c:pt idx="17">
                  <c:v>25.662101128774211</c:v>
                </c:pt>
                <c:pt idx="18">
                  <c:v>25.662101128774211</c:v>
                </c:pt>
                <c:pt idx="19">
                  <c:v>25.662101128774211</c:v>
                </c:pt>
                <c:pt idx="20">
                  <c:v>25.662101128774211</c:v>
                </c:pt>
                <c:pt idx="21">
                  <c:v>25.662101128774211</c:v>
                </c:pt>
                <c:pt idx="22">
                  <c:v>25.662101128774211</c:v>
                </c:pt>
                <c:pt idx="23">
                  <c:v>25.662101128774211</c:v>
                </c:pt>
                <c:pt idx="24">
                  <c:v>25.662101128774211</c:v>
                </c:pt>
                <c:pt idx="25">
                  <c:v>25.662101128774211</c:v>
                </c:pt>
                <c:pt idx="26">
                  <c:v>25.662101128774211</c:v>
                </c:pt>
                <c:pt idx="27">
                  <c:v>25.662101128774211</c:v>
                </c:pt>
                <c:pt idx="28">
                  <c:v>25.662101128774211</c:v>
                </c:pt>
                <c:pt idx="29">
                  <c:v>25.662101128774211</c:v>
                </c:pt>
                <c:pt idx="30">
                  <c:v>25.662101128774211</c:v>
                </c:pt>
                <c:pt idx="31">
                  <c:v>25.662101128774211</c:v>
                </c:pt>
                <c:pt idx="32">
                  <c:v>25.662101128774211</c:v>
                </c:pt>
                <c:pt idx="33">
                  <c:v>25.662101128774211</c:v>
                </c:pt>
                <c:pt idx="34">
                  <c:v>25.662101128774211</c:v>
                </c:pt>
                <c:pt idx="35">
                  <c:v>25.662101128774211</c:v>
                </c:pt>
                <c:pt idx="36">
                  <c:v>25.662101128774211</c:v>
                </c:pt>
                <c:pt idx="37">
                  <c:v>25.662101128774211</c:v>
                </c:pt>
                <c:pt idx="38">
                  <c:v>25.662101128774211</c:v>
                </c:pt>
                <c:pt idx="39">
                  <c:v>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D10-4572-9D5B-7E780FF7B595}"/>
            </c:ext>
          </c:extLst>
        </c:ser>
        <c:ser>
          <c:idx val="3"/>
          <c:order val="3"/>
          <c:tx>
            <c:strRef>
              <c:f>'3-5'!$AL$2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'3-5'!$AL$3:$AL$42</c:f>
              <c:numCache>
                <c:formatCode>General</c:formatCode>
                <c:ptCount val="40"/>
                <c:pt idx="0">
                  <c:v>-25.662101128774211</c:v>
                </c:pt>
                <c:pt idx="1">
                  <c:v>-25.662101128774211</c:v>
                </c:pt>
                <c:pt idx="2">
                  <c:v>-25.662101128774211</c:v>
                </c:pt>
                <c:pt idx="3">
                  <c:v>-25.662101128774211</c:v>
                </c:pt>
                <c:pt idx="4">
                  <c:v>-25.662101128774211</c:v>
                </c:pt>
                <c:pt idx="5">
                  <c:v>-25.662101128774211</c:v>
                </c:pt>
                <c:pt idx="6">
                  <c:v>-25.662101128774211</c:v>
                </c:pt>
                <c:pt idx="7">
                  <c:v>-25.662101128774211</c:v>
                </c:pt>
                <c:pt idx="8">
                  <c:v>-25.662101128774211</c:v>
                </c:pt>
                <c:pt idx="9">
                  <c:v>-25.662101128774211</c:v>
                </c:pt>
                <c:pt idx="10">
                  <c:v>-25.662101128774211</c:v>
                </c:pt>
                <c:pt idx="11">
                  <c:v>-25.662101128774211</c:v>
                </c:pt>
                <c:pt idx="12">
                  <c:v>-25.662101128774211</c:v>
                </c:pt>
                <c:pt idx="13">
                  <c:v>-25.662101128774211</c:v>
                </c:pt>
                <c:pt idx="14">
                  <c:v>-25.662101128774211</c:v>
                </c:pt>
                <c:pt idx="15">
                  <c:v>-25.662101128774211</c:v>
                </c:pt>
                <c:pt idx="16">
                  <c:v>-25.662101128774211</c:v>
                </c:pt>
                <c:pt idx="17">
                  <c:v>-25.662101128774211</c:v>
                </c:pt>
                <c:pt idx="18">
                  <c:v>-25.662101128774211</c:v>
                </c:pt>
                <c:pt idx="19">
                  <c:v>-25.662101128774211</c:v>
                </c:pt>
                <c:pt idx="20">
                  <c:v>-25.662101128774211</c:v>
                </c:pt>
                <c:pt idx="21">
                  <c:v>-25.662101128774211</c:v>
                </c:pt>
                <c:pt idx="22">
                  <c:v>-25.662101128774211</c:v>
                </c:pt>
                <c:pt idx="23">
                  <c:v>-25.662101128774211</c:v>
                </c:pt>
                <c:pt idx="24">
                  <c:v>-25.662101128774211</c:v>
                </c:pt>
                <c:pt idx="25">
                  <c:v>-25.662101128774211</c:v>
                </c:pt>
                <c:pt idx="26">
                  <c:v>-25.662101128774211</c:v>
                </c:pt>
                <c:pt idx="27">
                  <c:v>-25.662101128774211</c:v>
                </c:pt>
                <c:pt idx="28">
                  <c:v>-25.662101128774211</c:v>
                </c:pt>
                <c:pt idx="29">
                  <c:v>-25.662101128774211</c:v>
                </c:pt>
                <c:pt idx="30">
                  <c:v>-25.662101128774211</c:v>
                </c:pt>
                <c:pt idx="31">
                  <c:v>-25.662101128774211</c:v>
                </c:pt>
                <c:pt idx="32">
                  <c:v>-25.662101128774211</c:v>
                </c:pt>
                <c:pt idx="33">
                  <c:v>-25.662101128774211</c:v>
                </c:pt>
                <c:pt idx="34">
                  <c:v>-25.662101128774211</c:v>
                </c:pt>
                <c:pt idx="35">
                  <c:v>-25.662101128774211</c:v>
                </c:pt>
                <c:pt idx="36">
                  <c:v>-25.662101128774211</c:v>
                </c:pt>
                <c:pt idx="37">
                  <c:v>-25.662101128774211</c:v>
                </c:pt>
                <c:pt idx="38">
                  <c:v>-25.662101128774211</c:v>
                </c:pt>
                <c:pt idx="39">
                  <c:v>-25.662101128774211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145632"/>
        <c:axId val="651146880"/>
      </c:scatterChart>
      <c:scatterChart>
        <c:scatterStyle val="lineMarker"/>
        <c:varyColors val="0"/>
        <c:ser>
          <c:idx val="4"/>
          <c:order val="4"/>
          <c:tx>
            <c:strRef>
              <c:f>'3-5'!$R$2</c:f>
              <c:strCache>
                <c:ptCount val="1"/>
                <c:pt idx="0">
                  <c:v>average X_bar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'3-5'!$R$3:$R$42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0-4572-9D5B-7E780FF7B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234944"/>
        <c:axId val="685944992"/>
      </c:scatterChart>
      <c:catAx>
        <c:axId val="65114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6880"/>
        <c:crosses val="autoZero"/>
        <c:auto val="1"/>
        <c:lblAlgn val="ctr"/>
        <c:lblOffset val="100"/>
        <c:noMultiLvlLbl val="0"/>
      </c:catAx>
      <c:valAx>
        <c:axId val="6511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51145632"/>
        <c:crosses val="autoZero"/>
        <c:crossBetween val="between"/>
      </c:valAx>
      <c:valAx>
        <c:axId val="685944992"/>
        <c:scaling>
          <c:orientation val="minMax"/>
          <c:max val="380"/>
          <c:min val="31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20234944"/>
        <c:crosses val="max"/>
        <c:crossBetween val="midCat"/>
      </c:valAx>
      <c:valAx>
        <c:axId val="320234944"/>
        <c:scaling>
          <c:orientation val="minMax"/>
        </c:scaling>
        <c:delete val="1"/>
        <c:axPos val="b"/>
        <c:majorTickMark val="out"/>
        <c:minorTickMark val="none"/>
        <c:tickLblPos val="nextTo"/>
        <c:crossAx val="685944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400" b="0" i="0" u="none" strike="noStrike" baseline="0"/>
              <a:t>optimal Tabular CUSUM chart 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'3-6'!$W$2</c:f>
              <c:strCache>
                <c:ptCount val="1"/>
                <c:pt idx="0">
                  <c:v>c_i^+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'3-6'!$W$3:$W$42</c:f>
              <c:numCache>
                <c:formatCode>General</c:formatCode>
                <c:ptCount val="40"/>
                <c:pt idx="0">
                  <c:v>1.0940638193961263</c:v>
                </c:pt>
                <c:pt idx="1">
                  <c:v>2.5881276387922867</c:v>
                </c:pt>
                <c:pt idx="2">
                  <c:v>0</c:v>
                </c:pt>
                <c:pt idx="3">
                  <c:v>4.8940638193961377</c:v>
                </c:pt>
                <c:pt idx="4">
                  <c:v>4.7881276387922753</c:v>
                </c:pt>
                <c:pt idx="5">
                  <c:v>5.4821914581884243</c:v>
                </c:pt>
                <c:pt idx="6">
                  <c:v>8.376255277584562</c:v>
                </c:pt>
                <c:pt idx="7">
                  <c:v>6.070319096980711</c:v>
                </c:pt>
                <c:pt idx="8">
                  <c:v>5.364382916376826</c:v>
                </c:pt>
                <c:pt idx="9">
                  <c:v>3.4584467357729523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95-48C3-ABC2-59F849B8382C}"/>
            </c:ext>
          </c:extLst>
        </c:ser>
        <c:ser>
          <c:idx val="1"/>
          <c:order val="1"/>
          <c:tx>
            <c:strRef>
              <c:f>'3-6'!$Z$2</c:f>
              <c:strCache>
                <c:ptCount val="1"/>
                <c:pt idx="0">
                  <c:v>c_i^-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'3-6'!$O$3:$O$42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cat>
          <c:val>
            <c:numRef>
              <c:f>'3-6'!$Z$3:$Z$42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-28.294063819396115</c:v>
                </c:pt>
                <c:pt idx="3">
                  <c:v>-15.188127638792253</c:v>
                </c:pt>
                <c:pt idx="4">
                  <c:v>-7.0821914581883902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-1.694063819396149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-2.0940638193961263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-0.69406381939614903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1671744"/>
        <c:axId val="1221660096"/>
      </c:barChart>
      <c:scatterChart>
        <c:scatterStyle val="lineMarker"/>
        <c:varyColors val="0"/>
        <c:ser>
          <c:idx val="2"/>
          <c:order val="2"/>
          <c:tx>
            <c:strRef>
              <c:f>'3-6'!$AB$2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'3-6'!$AB$3:$AB$42</c:f>
              <c:numCache>
                <c:formatCode>General</c:formatCode>
                <c:ptCount val="40"/>
                <c:pt idx="0">
                  <c:v>16.986288703677289</c:v>
                </c:pt>
                <c:pt idx="1">
                  <c:v>16.986288703677289</c:v>
                </c:pt>
                <c:pt idx="2">
                  <c:v>16.986288703677289</c:v>
                </c:pt>
                <c:pt idx="3">
                  <c:v>16.986288703677289</c:v>
                </c:pt>
                <c:pt idx="4">
                  <c:v>16.986288703677289</c:v>
                </c:pt>
                <c:pt idx="5">
                  <c:v>16.986288703677289</c:v>
                </c:pt>
                <c:pt idx="6">
                  <c:v>16.986288703677289</c:v>
                </c:pt>
                <c:pt idx="7">
                  <c:v>16.986288703677289</c:v>
                </c:pt>
                <c:pt idx="8">
                  <c:v>16.986288703677289</c:v>
                </c:pt>
                <c:pt idx="9">
                  <c:v>16.986288703677289</c:v>
                </c:pt>
                <c:pt idx="10">
                  <c:v>16.986288703677289</c:v>
                </c:pt>
                <c:pt idx="11">
                  <c:v>16.986288703677289</c:v>
                </c:pt>
                <c:pt idx="12">
                  <c:v>16.986288703677289</c:v>
                </c:pt>
                <c:pt idx="13">
                  <c:v>16.986288703677289</c:v>
                </c:pt>
                <c:pt idx="14">
                  <c:v>16.986288703677289</c:v>
                </c:pt>
                <c:pt idx="15">
                  <c:v>16.986288703677289</c:v>
                </c:pt>
                <c:pt idx="16">
                  <c:v>16.986288703677289</c:v>
                </c:pt>
                <c:pt idx="17">
                  <c:v>16.986288703677289</c:v>
                </c:pt>
                <c:pt idx="18">
                  <c:v>16.986288703677289</c:v>
                </c:pt>
                <c:pt idx="19">
                  <c:v>16.986288703677289</c:v>
                </c:pt>
                <c:pt idx="20">
                  <c:v>16.986288703677289</c:v>
                </c:pt>
                <c:pt idx="21">
                  <c:v>16.986288703677289</c:v>
                </c:pt>
                <c:pt idx="22">
                  <c:v>16.986288703677289</c:v>
                </c:pt>
                <c:pt idx="23">
                  <c:v>16.986288703677289</c:v>
                </c:pt>
                <c:pt idx="24">
                  <c:v>16.986288703677289</c:v>
                </c:pt>
                <c:pt idx="25">
                  <c:v>16.986288703677289</c:v>
                </c:pt>
                <c:pt idx="26">
                  <c:v>16.986288703677289</c:v>
                </c:pt>
                <c:pt idx="27">
                  <c:v>16.986288703677289</c:v>
                </c:pt>
                <c:pt idx="28">
                  <c:v>16.986288703677289</c:v>
                </c:pt>
                <c:pt idx="29">
                  <c:v>16.986288703677289</c:v>
                </c:pt>
                <c:pt idx="30">
                  <c:v>16.986288703677289</c:v>
                </c:pt>
                <c:pt idx="31">
                  <c:v>16.986288703677289</c:v>
                </c:pt>
                <c:pt idx="32">
                  <c:v>16.986288703677289</c:v>
                </c:pt>
                <c:pt idx="33">
                  <c:v>16.986288703677289</c:v>
                </c:pt>
                <c:pt idx="34">
                  <c:v>16.986288703677289</c:v>
                </c:pt>
                <c:pt idx="35">
                  <c:v>16.986288703677289</c:v>
                </c:pt>
                <c:pt idx="36">
                  <c:v>16.986288703677289</c:v>
                </c:pt>
                <c:pt idx="37">
                  <c:v>16.986288703677289</c:v>
                </c:pt>
                <c:pt idx="38">
                  <c:v>16.986288703677289</c:v>
                </c:pt>
                <c:pt idx="39">
                  <c:v>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95-48C3-ABC2-59F849B8382C}"/>
            </c:ext>
          </c:extLst>
        </c:ser>
        <c:ser>
          <c:idx val="3"/>
          <c:order val="3"/>
          <c:tx>
            <c:strRef>
              <c:f>'3-6'!$AC$2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'3-6'!$AC$3:$AC$42</c:f>
              <c:numCache>
                <c:formatCode>General</c:formatCode>
                <c:ptCount val="40"/>
                <c:pt idx="0">
                  <c:v>-16.986288703677289</c:v>
                </c:pt>
                <c:pt idx="1">
                  <c:v>-16.986288703677289</c:v>
                </c:pt>
                <c:pt idx="2">
                  <c:v>-16.986288703677289</c:v>
                </c:pt>
                <c:pt idx="3">
                  <c:v>-16.986288703677289</c:v>
                </c:pt>
                <c:pt idx="4">
                  <c:v>-16.986288703677289</c:v>
                </c:pt>
                <c:pt idx="5">
                  <c:v>-16.986288703677289</c:v>
                </c:pt>
                <c:pt idx="6">
                  <c:v>-16.986288703677289</c:v>
                </c:pt>
                <c:pt idx="7">
                  <c:v>-16.986288703677289</c:v>
                </c:pt>
                <c:pt idx="8">
                  <c:v>-16.986288703677289</c:v>
                </c:pt>
                <c:pt idx="9">
                  <c:v>-16.986288703677289</c:v>
                </c:pt>
                <c:pt idx="10">
                  <c:v>-16.986288703677289</c:v>
                </c:pt>
                <c:pt idx="11">
                  <c:v>-16.986288703677289</c:v>
                </c:pt>
                <c:pt idx="12">
                  <c:v>-16.986288703677289</c:v>
                </c:pt>
                <c:pt idx="13">
                  <c:v>-16.986288703677289</c:v>
                </c:pt>
                <c:pt idx="14">
                  <c:v>-16.986288703677289</c:v>
                </c:pt>
                <c:pt idx="15">
                  <c:v>-16.986288703677289</c:v>
                </c:pt>
                <c:pt idx="16">
                  <c:v>-16.986288703677289</c:v>
                </c:pt>
                <c:pt idx="17">
                  <c:v>-16.986288703677289</c:v>
                </c:pt>
                <c:pt idx="18">
                  <c:v>-16.986288703677289</c:v>
                </c:pt>
                <c:pt idx="19">
                  <c:v>-16.986288703677289</c:v>
                </c:pt>
                <c:pt idx="20">
                  <c:v>-16.986288703677289</c:v>
                </c:pt>
                <c:pt idx="21">
                  <c:v>-16.986288703677289</c:v>
                </c:pt>
                <c:pt idx="22">
                  <c:v>-16.986288703677289</c:v>
                </c:pt>
                <c:pt idx="23">
                  <c:v>-16.986288703677289</c:v>
                </c:pt>
                <c:pt idx="24">
                  <c:v>-16.986288703677289</c:v>
                </c:pt>
                <c:pt idx="25">
                  <c:v>-16.986288703677289</c:v>
                </c:pt>
                <c:pt idx="26">
                  <c:v>-16.986288703677289</c:v>
                </c:pt>
                <c:pt idx="27">
                  <c:v>-16.986288703677289</c:v>
                </c:pt>
                <c:pt idx="28">
                  <c:v>-16.986288703677289</c:v>
                </c:pt>
                <c:pt idx="29">
                  <c:v>-16.986288703677289</c:v>
                </c:pt>
                <c:pt idx="30">
                  <c:v>-16.986288703677289</c:v>
                </c:pt>
                <c:pt idx="31">
                  <c:v>-16.986288703677289</c:v>
                </c:pt>
                <c:pt idx="32">
                  <c:v>-16.986288703677289</c:v>
                </c:pt>
                <c:pt idx="33">
                  <c:v>-16.986288703677289</c:v>
                </c:pt>
                <c:pt idx="34">
                  <c:v>-16.986288703677289</c:v>
                </c:pt>
                <c:pt idx="35">
                  <c:v>-16.986288703677289</c:v>
                </c:pt>
                <c:pt idx="36">
                  <c:v>-16.986288703677289</c:v>
                </c:pt>
                <c:pt idx="37">
                  <c:v>-16.986288703677289</c:v>
                </c:pt>
                <c:pt idx="38">
                  <c:v>-16.986288703677289</c:v>
                </c:pt>
                <c:pt idx="39">
                  <c:v>-16.986288703677289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71744"/>
        <c:axId val="1221660096"/>
      </c:scatterChart>
      <c:scatterChart>
        <c:scatterStyle val="lineMarker"/>
        <c:varyColors val="0"/>
        <c:ser>
          <c:idx val="4"/>
          <c:order val="4"/>
          <c:tx>
            <c:strRef>
              <c:f>'3-6'!$U$2</c:f>
              <c:strCache>
                <c:ptCount val="1"/>
                <c:pt idx="0">
                  <c:v>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'3-6'!$U$3:$U$42</c:f>
              <c:numCache>
                <c:formatCode>General</c:formatCode>
                <c:ptCount val="40"/>
                <c:pt idx="0">
                  <c:v>355.2</c:v>
                </c:pt>
                <c:pt idx="1">
                  <c:v>355.6</c:v>
                </c:pt>
                <c:pt idx="2">
                  <c:v>317.60000000000002</c:v>
                </c:pt>
                <c:pt idx="3">
                  <c:v>359</c:v>
                </c:pt>
                <c:pt idx="4">
                  <c:v>354</c:v>
                </c:pt>
                <c:pt idx="5">
                  <c:v>354.8</c:v>
                </c:pt>
                <c:pt idx="6">
                  <c:v>357</c:v>
                </c:pt>
                <c:pt idx="7">
                  <c:v>351.8</c:v>
                </c:pt>
                <c:pt idx="8">
                  <c:v>353.4</c:v>
                </c:pt>
                <c:pt idx="9">
                  <c:v>352.2</c:v>
                </c:pt>
                <c:pt idx="10">
                  <c:v>348.6</c:v>
                </c:pt>
                <c:pt idx="11">
                  <c:v>349</c:v>
                </c:pt>
                <c:pt idx="12">
                  <c:v>349.4</c:v>
                </c:pt>
                <c:pt idx="13">
                  <c:v>349.4</c:v>
                </c:pt>
                <c:pt idx="14">
                  <c:v>352.6</c:v>
                </c:pt>
                <c:pt idx="15">
                  <c:v>353.2</c:v>
                </c:pt>
                <c:pt idx="16">
                  <c:v>353</c:v>
                </c:pt>
                <c:pt idx="17">
                  <c:v>350</c:v>
                </c:pt>
                <c:pt idx="18">
                  <c:v>351.8</c:v>
                </c:pt>
                <c:pt idx="19">
                  <c:v>352.4</c:v>
                </c:pt>
                <c:pt idx="20">
                  <c:v>344.2</c:v>
                </c:pt>
                <c:pt idx="21">
                  <c:v>350.4</c:v>
                </c:pt>
                <c:pt idx="22">
                  <c:v>349.2</c:v>
                </c:pt>
                <c:pt idx="23">
                  <c:v>348.2</c:v>
                </c:pt>
                <c:pt idx="24">
                  <c:v>348.6</c:v>
                </c:pt>
                <c:pt idx="25">
                  <c:v>350.8</c:v>
                </c:pt>
                <c:pt idx="26">
                  <c:v>343.8</c:v>
                </c:pt>
                <c:pt idx="27">
                  <c:v>349.4</c:v>
                </c:pt>
                <c:pt idx="28">
                  <c:v>348.2</c:v>
                </c:pt>
                <c:pt idx="29">
                  <c:v>346.8</c:v>
                </c:pt>
                <c:pt idx="30">
                  <c:v>351</c:v>
                </c:pt>
                <c:pt idx="31">
                  <c:v>346.8</c:v>
                </c:pt>
                <c:pt idx="32">
                  <c:v>349.6</c:v>
                </c:pt>
                <c:pt idx="33">
                  <c:v>350.6</c:v>
                </c:pt>
                <c:pt idx="34">
                  <c:v>351</c:v>
                </c:pt>
                <c:pt idx="35">
                  <c:v>349.4</c:v>
                </c:pt>
                <c:pt idx="36">
                  <c:v>351.4</c:v>
                </c:pt>
                <c:pt idx="37">
                  <c:v>345.2</c:v>
                </c:pt>
                <c:pt idx="38">
                  <c:v>353.4</c:v>
                </c:pt>
                <c:pt idx="39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95-48C3-ABC2-59F849B83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1669664"/>
        <c:axId val="1221672160"/>
      </c:scatterChart>
      <c:catAx>
        <c:axId val="122167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0096"/>
        <c:crosses val="autoZero"/>
        <c:auto val="1"/>
        <c:lblAlgn val="ctr"/>
        <c:lblOffset val="100"/>
        <c:noMultiLvlLbl val="0"/>
      </c:catAx>
      <c:valAx>
        <c:axId val="122166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C^-&lt;--&gt;C^+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71744"/>
        <c:crosses val="autoZero"/>
        <c:crossBetween val="between"/>
      </c:valAx>
      <c:valAx>
        <c:axId val="1221672160"/>
        <c:scaling>
          <c:orientation val="minMax"/>
          <c:max val="375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x_i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1669664"/>
        <c:crosses val="max"/>
        <c:crossBetween val="midCat"/>
      </c:valAx>
      <c:valAx>
        <c:axId val="1221669664"/>
        <c:scaling>
          <c:orientation val="minMax"/>
        </c:scaling>
        <c:delete val="1"/>
        <c:axPos val="b"/>
        <c:majorTickMark val="out"/>
        <c:minorTickMark val="none"/>
        <c:tickLblPos val="nextTo"/>
        <c:crossAx val="1221672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EWMA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'3-7'!$AA$2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'3-7'!$AA$3:$AA$42</c:f>
              <c:numCache>
                <c:formatCode>General</c:formatCode>
                <c:ptCount val="40"/>
                <c:pt idx="0">
                  <c:v>353.72781332635526</c:v>
                </c:pt>
                <c:pt idx="1">
                  <c:v>354.69935462894261</c:v>
                </c:pt>
                <c:pt idx="2">
                  <c:v>355.18725391628527</c:v>
                </c:pt>
                <c:pt idx="3">
                  <c:v>355.45431251558244</c:v>
                </c:pt>
                <c:pt idx="4">
                  <c:v>355.6057003924584</c:v>
                </c:pt>
                <c:pt idx="5">
                  <c:v>355.69300808961503</c:v>
                </c:pt>
                <c:pt idx="6">
                  <c:v>355.74382522154445</c:v>
                </c:pt>
                <c:pt idx="7">
                  <c:v>355.77355535294885</c:v>
                </c:pt>
                <c:pt idx="8">
                  <c:v>355.79099976036076</c:v>
                </c:pt>
                <c:pt idx="9">
                  <c:v>355.80125278313545</c:v>
                </c:pt>
                <c:pt idx="10">
                  <c:v>355.80728499854229</c:v>
                </c:pt>
                <c:pt idx="11">
                  <c:v>355.81083601814407</c:v>
                </c:pt>
                <c:pt idx="12">
                  <c:v>355.81292712785267</c:v>
                </c:pt>
                <c:pt idx="13">
                  <c:v>355.81415877780336</c:v>
                </c:pt>
                <c:pt idx="14">
                  <c:v>355.81488429682059</c:v>
                </c:pt>
                <c:pt idx="15">
                  <c:v>355.81531170256102</c:v>
                </c:pt>
                <c:pt idx="16">
                  <c:v>355.81556349900558</c:v>
                </c:pt>
                <c:pt idx="17">
                  <c:v>355.81571184275697</c:v>
                </c:pt>
                <c:pt idx="18">
                  <c:v>355.81579923946208</c:v>
                </c:pt>
                <c:pt idx="19">
                  <c:v>355.81585072965026</c:v>
                </c:pt>
                <c:pt idx="20">
                  <c:v>355.81588106549054</c:v>
                </c:pt>
                <c:pt idx="21">
                  <c:v>355.81589893813572</c:v>
                </c:pt>
                <c:pt idx="22">
                  <c:v>355.81590946799042</c:v>
                </c:pt>
                <c:pt idx="23">
                  <c:v>355.81591567176997</c:v>
                </c:pt>
                <c:pt idx="24">
                  <c:v>355.81591932679703</c:v>
                </c:pt>
                <c:pt idx="25">
                  <c:v>355.81592148019837</c:v>
                </c:pt>
                <c:pt idx="26">
                  <c:v>355.81592274889988</c:v>
                </c:pt>
                <c:pt idx="27">
                  <c:v>355.81592349637026</c:v>
                </c:pt>
                <c:pt idx="28">
                  <c:v>355.81592393675123</c:v>
                </c:pt>
                <c:pt idx="29">
                  <c:v>355.81592419620688</c:v>
                </c:pt>
                <c:pt idx="30">
                  <c:v>355.81592434906827</c:v>
                </c:pt>
                <c:pt idx="31">
                  <c:v>355.81592443912831</c:v>
                </c:pt>
                <c:pt idx="32">
                  <c:v>355.81592449218829</c:v>
                </c:pt>
                <c:pt idx="33">
                  <c:v>355.81592452344921</c:v>
                </c:pt>
                <c:pt idx="34">
                  <c:v>355.81592454186693</c:v>
                </c:pt>
                <c:pt idx="35">
                  <c:v>355.81592455271795</c:v>
                </c:pt>
                <c:pt idx="36">
                  <c:v>355.81592455911095</c:v>
                </c:pt>
                <c:pt idx="37">
                  <c:v>355.81592456287746</c:v>
                </c:pt>
                <c:pt idx="38">
                  <c:v>355.81592456509657</c:v>
                </c:pt>
                <c:pt idx="39">
                  <c:v>355.81592456640396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4-4EB7-8F20-9D432809DCA5}"/>
            </c:ext>
          </c:extLst>
        </c:ser>
        <c:ser>
          <c:idx val="1"/>
          <c:order val="1"/>
          <c:tx>
            <c:strRef>
              <c:f>'3-7'!$AB$2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'3-7'!$AB$3:$AB$42</c:f>
              <c:numCache>
                <c:formatCode>General</c:formatCode>
                <c:ptCount val="40"/>
                <c:pt idx="0">
                  <c:v>346.27218667364474</c:v>
                </c:pt>
                <c:pt idx="1">
                  <c:v>345.30064537105739</c:v>
                </c:pt>
                <c:pt idx="2">
                  <c:v>344.81274608371473</c:v>
                </c:pt>
                <c:pt idx="3">
                  <c:v>344.54568748441756</c:v>
                </c:pt>
                <c:pt idx="4">
                  <c:v>344.3942996075416</c:v>
                </c:pt>
                <c:pt idx="5">
                  <c:v>344.30699191038497</c:v>
                </c:pt>
                <c:pt idx="6">
                  <c:v>344.25617477845555</c:v>
                </c:pt>
                <c:pt idx="7">
                  <c:v>344.22644464705115</c:v>
                </c:pt>
                <c:pt idx="8">
                  <c:v>344.20900023963924</c:v>
                </c:pt>
                <c:pt idx="9">
                  <c:v>344.19874721686455</c:v>
                </c:pt>
                <c:pt idx="10">
                  <c:v>344.19271500145771</c:v>
                </c:pt>
                <c:pt idx="11">
                  <c:v>344.18916398185593</c:v>
                </c:pt>
                <c:pt idx="12">
                  <c:v>344.18707287214733</c:v>
                </c:pt>
                <c:pt idx="13">
                  <c:v>344.18584122219664</c:v>
                </c:pt>
                <c:pt idx="14">
                  <c:v>344.18511570317941</c:v>
                </c:pt>
                <c:pt idx="15">
                  <c:v>344.18468829743898</c:v>
                </c:pt>
                <c:pt idx="16">
                  <c:v>344.18443650099442</c:v>
                </c:pt>
                <c:pt idx="17">
                  <c:v>344.18428815724303</c:v>
                </c:pt>
                <c:pt idx="18">
                  <c:v>344.18420076053792</c:v>
                </c:pt>
                <c:pt idx="19">
                  <c:v>344.18414927034974</c:v>
                </c:pt>
                <c:pt idx="20">
                  <c:v>344.18411893450946</c:v>
                </c:pt>
                <c:pt idx="21">
                  <c:v>344.18410106186428</c:v>
                </c:pt>
                <c:pt idx="22">
                  <c:v>344.18409053200958</c:v>
                </c:pt>
                <c:pt idx="23">
                  <c:v>344.18408432823003</c:v>
                </c:pt>
                <c:pt idx="24">
                  <c:v>344.18408067320297</c:v>
                </c:pt>
                <c:pt idx="25">
                  <c:v>344.18407851980163</c:v>
                </c:pt>
                <c:pt idx="26">
                  <c:v>344.18407725110012</c:v>
                </c:pt>
                <c:pt idx="27">
                  <c:v>344.18407650362974</c:v>
                </c:pt>
                <c:pt idx="28">
                  <c:v>344.18407606324877</c:v>
                </c:pt>
                <c:pt idx="29">
                  <c:v>344.18407580379312</c:v>
                </c:pt>
                <c:pt idx="30">
                  <c:v>344.18407565093173</c:v>
                </c:pt>
                <c:pt idx="31">
                  <c:v>344.18407556087169</c:v>
                </c:pt>
                <c:pt idx="32">
                  <c:v>344.18407550781171</c:v>
                </c:pt>
                <c:pt idx="33">
                  <c:v>344.18407547655079</c:v>
                </c:pt>
                <c:pt idx="34">
                  <c:v>344.18407545813307</c:v>
                </c:pt>
                <c:pt idx="35">
                  <c:v>344.18407544728205</c:v>
                </c:pt>
                <c:pt idx="36">
                  <c:v>344.18407544088905</c:v>
                </c:pt>
                <c:pt idx="37">
                  <c:v>344.18407543712254</c:v>
                </c:pt>
                <c:pt idx="38">
                  <c:v>344.18407543490343</c:v>
                </c:pt>
                <c:pt idx="39">
                  <c:v>344.18407543359604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34-4EB7-8F20-9D432809DCA5}"/>
            </c:ext>
          </c:extLst>
        </c:ser>
        <c:ser>
          <c:idx val="2"/>
          <c:order val="2"/>
          <c:tx>
            <c:strRef>
              <c:f>'3-7'!$Z$2</c:f>
              <c:strCache>
                <c:ptCount val="1"/>
                <c:pt idx="0">
                  <c:v>Z_i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'3-7'!$S$3:$S$42</c:f>
              <c:numCache>
                <c:formatCode>General</c:formatCode>
                <c:ptCount val="40"/>
                <c:pt idx="0">
                  <c:v>46</c:v>
                </c:pt>
                <c:pt idx="1">
                  <c:v>47</c:v>
                </c:pt>
                <c:pt idx="2">
                  <c:v>48</c:v>
                </c:pt>
                <c:pt idx="3">
                  <c:v>49</c:v>
                </c:pt>
                <c:pt idx="4">
                  <c:v>50</c:v>
                </c:pt>
                <c:pt idx="5">
                  <c:v>51</c:v>
                </c:pt>
                <c:pt idx="6">
                  <c:v>52</c:v>
                </c:pt>
                <c:pt idx="7">
                  <c:v>53</c:v>
                </c:pt>
                <c:pt idx="8">
                  <c:v>54</c:v>
                </c:pt>
                <c:pt idx="9">
                  <c:v>55</c:v>
                </c:pt>
                <c:pt idx="10">
                  <c:v>56</c:v>
                </c:pt>
                <c:pt idx="11">
                  <c:v>57</c:v>
                </c:pt>
                <c:pt idx="12">
                  <c:v>58</c:v>
                </c:pt>
                <c:pt idx="13">
                  <c:v>59</c:v>
                </c:pt>
                <c:pt idx="14">
                  <c:v>60</c:v>
                </c:pt>
                <c:pt idx="15">
                  <c:v>61</c:v>
                </c:pt>
                <c:pt idx="16">
                  <c:v>62</c:v>
                </c:pt>
                <c:pt idx="17">
                  <c:v>63</c:v>
                </c:pt>
                <c:pt idx="18">
                  <c:v>64</c:v>
                </c:pt>
                <c:pt idx="19">
                  <c:v>65</c:v>
                </c:pt>
                <c:pt idx="20">
                  <c:v>66</c:v>
                </c:pt>
                <c:pt idx="21">
                  <c:v>67</c:v>
                </c:pt>
                <c:pt idx="22">
                  <c:v>68</c:v>
                </c:pt>
                <c:pt idx="23">
                  <c:v>69</c:v>
                </c:pt>
                <c:pt idx="24">
                  <c:v>70</c:v>
                </c:pt>
                <c:pt idx="25">
                  <c:v>71</c:v>
                </c:pt>
                <c:pt idx="26">
                  <c:v>72</c:v>
                </c:pt>
                <c:pt idx="27">
                  <c:v>73</c:v>
                </c:pt>
                <c:pt idx="28">
                  <c:v>74</c:v>
                </c:pt>
                <c:pt idx="29">
                  <c:v>75</c:v>
                </c:pt>
                <c:pt idx="30">
                  <c:v>76</c:v>
                </c:pt>
                <c:pt idx="31">
                  <c:v>77</c:v>
                </c:pt>
                <c:pt idx="32">
                  <c:v>78</c:v>
                </c:pt>
                <c:pt idx="33">
                  <c:v>79</c:v>
                </c:pt>
                <c:pt idx="34">
                  <c:v>80</c:v>
                </c:pt>
                <c:pt idx="35">
                  <c:v>81</c:v>
                </c:pt>
                <c:pt idx="36">
                  <c:v>82</c:v>
                </c:pt>
                <c:pt idx="37">
                  <c:v>83</c:v>
                </c:pt>
                <c:pt idx="38">
                  <c:v>84</c:v>
                </c:pt>
                <c:pt idx="39">
                  <c:v>85</c:v>
                </c:pt>
              </c:numCache>
            </c:numRef>
          </c:xVal>
          <c:yVal>
            <c:numRef>
              <c:f>'3-7'!$Z$3:$Z$42</c:f>
              <c:numCache>
                <c:formatCode>General</c:formatCode>
                <c:ptCount val="40"/>
                <c:pt idx="0">
                  <c:v>351.20864234030842</c:v>
                </c:pt>
                <c:pt idx="1">
                  <c:v>352.22933095548939</c:v>
                </c:pt>
                <c:pt idx="2">
                  <c:v>344.18039333830495</c:v>
                </c:pt>
                <c:pt idx="3">
                  <c:v>347.62493258408227</c:v>
                </c:pt>
                <c:pt idx="4">
                  <c:v>349.10669727662054</c:v>
                </c:pt>
                <c:pt idx="5">
                  <c:v>350.4299985704032</c:v>
                </c:pt>
                <c:pt idx="6">
                  <c:v>351.95707201342196</c:v>
                </c:pt>
                <c:pt idx="7">
                  <c:v>351.92056357382592</c:v>
                </c:pt>
                <c:pt idx="8">
                  <c:v>352.26443078622373</c:v>
                </c:pt>
                <c:pt idx="9">
                  <c:v>352.24945506002189</c:v>
                </c:pt>
                <c:pt idx="10">
                  <c:v>351.40120777067659</c:v>
                </c:pt>
                <c:pt idx="11">
                  <c:v>350.84309212076943</c:v>
                </c:pt>
                <c:pt idx="12">
                  <c:v>350.50767245959105</c:v>
                </c:pt>
                <c:pt idx="13">
                  <c:v>350.25021479923424</c:v>
                </c:pt>
                <c:pt idx="14">
                  <c:v>350.79637823851806</c:v>
                </c:pt>
                <c:pt idx="15">
                  <c:v>351.35505497525151</c:v>
                </c:pt>
                <c:pt idx="16">
                  <c:v>351.73739155301894</c:v>
                </c:pt>
                <c:pt idx="17">
                  <c:v>351.33356751596642</c:v>
                </c:pt>
                <c:pt idx="18">
                  <c:v>351.44198098694687</c:v>
                </c:pt>
                <c:pt idx="19">
                  <c:v>351.66465451425387</c:v>
                </c:pt>
                <c:pt idx="20">
                  <c:v>349.92963576392651</c:v>
                </c:pt>
                <c:pt idx="21">
                  <c:v>350.0389630968275</c:v>
                </c:pt>
                <c:pt idx="22">
                  <c:v>349.8439618812925</c:v>
                </c:pt>
                <c:pt idx="23">
                  <c:v>349.46185381675724</c:v>
                </c:pt>
                <c:pt idx="24">
                  <c:v>349.26153208327855</c:v>
                </c:pt>
                <c:pt idx="25">
                  <c:v>349.61912005700083</c:v>
                </c:pt>
                <c:pt idx="26">
                  <c:v>348.26657488695673</c:v>
                </c:pt>
                <c:pt idx="27">
                  <c:v>348.53001826795537</c:v>
                </c:pt>
                <c:pt idx="28">
                  <c:v>348.45331171954649</c:v>
                </c:pt>
                <c:pt idx="29">
                  <c:v>348.06903046070568</c:v>
                </c:pt>
                <c:pt idx="30">
                  <c:v>348.75027928442597</c:v>
                </c:pt>
                <c:pt idx="31">
                  <c:v>348.29697349239063</c:v>
                </c:pt>
                <c:pt idx="32">
                  <c:v>348.5998375323216</c:v>
                </c:pt>
                <c:pt idx="33">
                  <c:v>349.06473773346238</c:v>
                </c:pt>
                <c:pt idx="34">
                  <c:v>349.5145531017198</c:v>
                </c:pt>
                <c:pt idx="35">
                  <c:v>349.48792738461356</c:v>
                </c:pt>
                <c:pt idx="36">
                  <c:v>349.93235275397905</c:v>
                </c:pt>
                <c:pt idx="37">
                  <c:v>348.83240623326088</c:v>
                </c:pt>
                <c:pt idx="38">
                  <c:v>349.89405762168587</c:v>
                </c:pt>
                <c:pt idx="39">
                  <c:v>349.45381949927173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34-4EB7-8F20-9D432809D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1857535"/>
        <c:axId val="1281847967"/>
      </c:scatterChart>
      <c:valAx>
        <c:axId val="1281857535"/>
        <c:scaling>
          <c:orientation val="minMax"/>
          <c:max val="85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wafer number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47967"/>
        <c:crosses val="autoZero"/>
        <c:crossBetween val="midCat"/>
      </c:valAx>
      <c:valAx>
        <c:axId val="128184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EWMA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8185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'4-2'!$T$2</c:f>
              <c:strCache>
                <c:ptCount val="1"/>
                <c:pt idx="0">
                  <c:v>C_pk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'4-2'!$T$3:$T$87</c:f>
              <c:numCache>
                <c:formatCode>General</c:formatCode>
                <c:ptCount val="85"/>
                <c:pt idx="0">
                  <c:v>0.56085925756477795</c:v>
                </c:pt>
                <c:pt idx="1">
                  <c:v>0.66356667570353223</c:v>
                </c:pt>
                <c:pt idx="2">
                  <c:v>0.68146833599993351</c:v>
                </c:pt>
                <c:pt idx="3">
                  <c:v>0.20795009796401254</c:v>
                </c:pt>
                <c:pt idx="4">
                  <c:v>0.74477496916166064</c:v>
                </c:pt>
                <c:pt idx="5">
                  <c:v>1.1563031769553542</c:v>
                </c:pt>
                <c:pt idx="6">
                  <c:v>0.29158901657876468</c:v>
                </c:pt>
                <c:pt idx="7">
                  <c:v>0.63604200436849001</c:v>
                </c:pt>
                <c:pt idx="8">
                  <c:v>0.51434449987363973</c:v>
                </c:pt>
                <c:pt idx="9">
                  <c:v>0.54340767575694537</c:v>
                </c:pt>
                <c:pt idx="10">
                  <c:v>0.66666666666666663</c:v>
                </c:pt>
                <c:pt idx="11">
                  <c:v>0.53876704701373301</c:v>
                </c:pt>
                <c:pt idx="12">
                  <c:v>0.36088247325750344</c:v>
                </c:pt>
                <c:pt idx="13">
                  <c:v>0.4245181488425091</c:v>
                </c:pt>
                <c:pt idx="14">
                  <c:v>0.36514837167010916</c:v>
                </c:pt>
                <c:pt idx="15">
                  <c:v>0.50432671408865026</c:v>
                </c:pt>
                <c:pt idx="16">
                  <c:v>-0.98846097742114625</c:v>
                </c:pt>
                <c:pt idx="17">
                  <c:v>0.22504665034619326</c:v>
                </c:pt>
                <c:pt idx="18">
                  <c:v>3.2969023669790598E-2</c:v>
                </c:pt>
                <c:pt idx="19">
                  <c:v>0.20937453128219569</c:v>
                </c:pt>
                <c:pt idx="20">
                  <c:v>0.12923301908921028</c:v>
                </c:pt>
                <c:pt idx="21">
                  <c:v>0.35166958581108515</c:v>
                </c:pt>
                <c:pt idx="22">
                  <c:v>-4.016096644512647E-2</c:v>
                </c:pt>
                <c:pt idx="23">
                  <c:v>-1.3414060609758133E-2</c:v>
                </c:pt>
                <c:pt idx="24">
                  <c:v>7.466533929465502E-2</c:v>
                </c:pt>
                <c:pt idx="25">
                  <c:v>0.20203050891044216</c:v>
                </c:pt>
                <c:pt idx="26">
                  <c:v>0.30512857662936338</c:v>
                </c:pt>
                <c:pt idx="27">
                  <c:v>4.3028229936038214</c:v>
                </c:pt>
                <c:pt idx="28">
                  <c:v>0.2042124915443253</c:v>
                </c:pt>
                <c:pt idx="29">
                  <c:v>0.19611613513818404</c:v>
                </c:pt>
                <c:pt idx="30">
                  <c:v>0.18512270253349891</c:v>
                </c:pt>
                <c:pt idx="31">
                  <c:v>0.23301969463053437</c:v>
                </c:pt>
                <c:pt idx="32">
                  <c:v>0.28044674739924791</c:v>
                </c:pt>
                <c:pt idx="33">
                  <c:v>0.38382692718850969</c:v>
                </c:pt>
                <c:pt idx="34">
                  <c:v>0.57207755354735546</c:v>
                </c:pt>
                <c:pt idx="35">
                  <c:v>1.5249673850694418</c:v>
                </c:pt>
                <c:pt idx="36">
                  <c:v>0.83405765622829908</c:v>
                </c:pt>
                <c:pt idx="37">
                  <c:v>0.15225004639852247</c:v>
                </c:pt>
                <c:pt idx="38">
                  <c:v>0.32973448745128886</c:v>
                </c:pt>
                <c:pt idx="39">
                  <c:v>0.77086878463690267</c:v>
                </c:pt>
                <c:pt idx="40">
                  <c:v>0.361448698006123</c:v>
                </c:pt>
                <c:pt idx="41">
                  <c:v>8.3045479853739196E-2</c:v>
                </c:pt>
                <c:pt idx="42">
                  <c:v>0.45569750926125113</c:v>
                </c:pt>
                <c:pt idx="43">
                  <c:v>0.24142865611338274</c:v>
                </c:pt>
                <c:pt idx="44">
                  <c:v>0.51427704043340461</c:v>
                </c:pt>
                <c:pt idx="45">
                  <c:v>0.32865921200710518</c:v>
                </c:pt>
                <c:pt idx="46">
                  <c:v>0.32158794041257571</c:v>
                </c:pt>
                <c:pt idx="47">
                  <c:v>-0.1044020254189397</c:v>
                </c:pt>
                <c:pt idx="48">
                  <c:v>7.2739296745330792E-2</c:v>
                </c:pt>
                <c:pt idx="49">
                  <c:v>0.43643578047198472</c:v>
                </c:pt>
                <c:pt idx="50">
                  <c:v>0.36380541613963091</c:v>
                </c:pt>
                <c:pt idx="51">
                  <c:v>0.21320071635561044</c:v>
                </c:pt>
                <c:pt idx="52">
                  <c:v>0.51934112350861195</c:v>
                </c:pt>
                <c:pt idx="53">
                  <c:v>0.428987666781869</c:v>
                </c:pt>
                <c:pt idx="54">
                  <c:v>0.53407121951154546</c:v>
                </c:pt>
                <c:pt idx="55">
                  <c:v>2.5056457989039855</c:v>
                </c:pt>
                <c:pt idx="56">
                  <c:v>2.3190036174568114</c:v>
                </c:pt>
                <c:pt idx="57">
                  <c:v>0.68898019210421302</c:v>
                </c:pt>
                <c:pt idx="58">
                  <c:v>0.57469670962524855</c:v>
                </c:pt>
                <c:pt idx="59">
                  <c:v>0.49039970970065067</c:v>
                </c:pt>
                <c:pt idx="60">
                  <c:v>0.52416359540459845</c:v>
                </c:pt>
                <c:pt idx="61">
                  <c:v>0.63505289627712025</c:v>
                </c:pt>
                <c:pt idx="62">
                  <c:v>0.63564172616372827</c:v>
                </c:pt>
                <c:pt idx="63">
                  <c:v>0.51934112350861206</c:v>
                </c:pt>
                <c:pt idx="64">
                  <c:v>0.48935602588129684</c:v>
                </c:pt>
                <c:pt idx="65">
                  <c:v>1.1428791884998912</c:v>
                </c:pt>
                <c:pt idx="66">
                  <c:v>0.6776376798202044</c:v>
                </c:pt>
                <c:pt idx="67">
                  <c:v>0.80098948708197337</c:v>
                </c:pt>
                <c:pt idx="68">
                  <c:v>0.89765641368902316</c:v>
                </c:pt>
                <c:pt idx="69">
                  <c:v>0.9271050693011047</c:v>
                </c:pt>
                <c:pt idx="70">
                  <c:v>0.62993015634694938</c:v>
                </c:pt>
                <c:pt idx="71">
                  <c:v>0.83981089032700784</c:v>
                </c:pt>
                <c:pt idx="72">
                  <c:v>0.68252287820286084</c:v>
                </c:pt>
                <c:pt idx="73">
                  <c:v>0.7995637010453801</c:v>
                </c:pt>
                <c:pt idx="74">
                  <c:v>0.74734454358556546</c:v>
                </c:pt>
                <c:pt idx="75">
                  <c:v>0.54772255750516619</c:v>
                </c:pt>
                <c:pt idx="76">
                  <c:v>0.89765641368902316</c:v>
                </c:pt>
                <c:pt idx="77">
                  <c:v>0.63504419805433532</c:v>
                </c:pt>
                <c:pt idx="78">
                  <c:v>0.5788589982507788</c:v>
                </c:pt>
                <c:pt idx="79">
                  <c:v>0.53452248382484879</c:v>
                </c:pt>
                <c:pt idx="80">
                  <c:v>0.65839779337493953</c:v>
                </c:pt>
                <c:pt idx="81">
                  <c:v>0.51239517053893435</c:v>
                </c:pt>
                <c:pt idx="82">
                  <c:v>1.9006577808748191</c:v>
                </c:pt>
                <c:pt idx="83">
                  <c:v>0.46587590487639102</c:v>
                </c:pt>
                <c:pt idx="84">
                  <c:v>0.87287156094396945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49-45C8-B7C4-6F2816F4BDB1}"/>
            </c:ext>
          </c:extLst>
        </c:ser>
        <c:ser>
          <c:idx val="1"/>
          <c:order val="1"/>
          <c:tx>
            <c:strRef>
              <c:f>'4-2'!$U$2</c:f>
              <c:strCache>
                <c:ptCount val="1"/>
                <c:pt idx="0">
                  <c:v>C_pm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'4-2'!$U$3:$U$87</c:f>
              <c:numCache>
                <c:formatCode>General</c:formatCode>
                <c:ptCount val="85"/>
                <c:pt idx="0">
                  <c:v>0.74286414825069469</c:v>
                </c:pt>
                <c:pt idx="1">
                  <c:v>0.84804739688885855</c:v>
                </c:pt>
                <c:pt idx="2">
                  <c:v>0.87337876697982719</c:v>
                </c:pt>
                <c:pt idx="3">
                  <c:v>0.48914781879471714</c:v>
                </c:pt>
                <c:pt idx="4">
                  <c:v>0.88552321258796818</c:v>
                </c:pt>
                <c:pt idx="5">
                  <c:v>1.2822030310347228</c:v>
                </c:pt>
                <c:pt idx="6">
                  <c:v>0.55354186570651753</c:v>
                </c:pt>
                <c:pt idx="7">
                  <c:v>0.86994551110346308</c:v>
                </c:pt>
                <c:pt idx="8">
                  <c:v>0.69931779858057419</c:v>
                </c:pt>
                <c:pt idx="9">
                  <c:v>0.74643162906252181</c:v>
                </c:pt>
                <c:pt idx="10">
                  <c:v>0.83333333333333337</c:v>
                </c:pt>
                <c:pt idx="11">
                  <c:v>0.78827101445970693</c:v>
                </c:pt>
                <c:pt idx="12">
                  <c:v>0.61208360038546705</c:v>
                </c:pt>
                <c:pt idx="13">
                  <c:v>0.67468089742372372</c:v>
                </c:pt>
                <c:pt idx="14">
                  <c:v>0.61797946293582395</c:v>
                </c:pt>
                <c:pt idx="15">
                  <c:v>0.75520774332751528</c:v>
                </c:pt>
                <c:pt idx="16">
                  <c:v>0.20129529156392317</c:v>
                </c:pt>
                <c:pt idx="17">
                  <c:v>0.5014623908323923</c:v>
                </c:pt>
                <c:pt idx="18">
                  <c:v>0.37243971106176149</c:v>
                </c:pt>
                <c:pt idx="19">
                  <c:v>0.48813975050034897</c:v>
                </c:pt>
                <c:pt idx="20">
                  <c:v>0.43197031928158086</c:v>
                </c:pt>
                <c:pt idx="21">
                  <c:v>0.55959928057317998</c:v>
                </c:pt>
                <c:pt idx="22">
                  <c:v>0.35577466637399935</c:v>
                </c:pt>
                <c:pt idx="23">
                  <c:v>0.36722480246699729</c:v>
                </c:pt>
                <c:pt idx="24">
                  <c:v>0.40443545076281373</c:v>
                </c:pt>
                <c:pt idx="25">
                  <c:v>0.32098800657139387</c:v>
                </c:pt>
                <c:pt idx="26">
                  <c:v>0.55699321566788818</c:v>
                </c:pt>
                <c:pt idx="27">
                  <c:v>3.5994517732556424</c:v>
                </c:pt>
                <c:pt idx="28">
                  <c:v>0.4831912573361587</c:v>
                </c:pt>
                <c:pt idx="29">
                  <c:v>0.48112522432468813</c:v>
                </c:pt>
                <c:pt idx="30">
                  <c:v>0.46748657173458319</c:v>
                </c:pt>
                <c:pt idx="31">
                  <c:v>0.48948523196776278</c:v>
                </c:pt>
                <c:pt idx="32">
                  <c:v>0.53244060381324387</c:v>
                </c:pt>
                <c:pt idx="33">
                  <c:v>0.60103100334432624</c:v>
                </c:pt>
                <c:pt idx="34">
                  <c:v>0.78048817631807821</c:v>
                </c:pt>
                <c:pt idx="35">
                  <c:v>1.8378378807968001</c:v>
                </c:pt>
                <c:pt idx="36">
                  <c:v>0.80187537387448038</c:v>
                </c:pt>
                <c:pt idx="37">
                  <c:v>0.45451240030008844</c:v>
                </c:pt>
                <c:pt idx="38">
                  <c:v>0.58367897362554644</c:v>
                </c:pt>
                <c:pt idx="39">
                  <c:v>1.0239024732979001</c:v>
                </c:pt>
                <c:pt idx="40">
                  <c:v>0.61460876329700664</c:v>
                </c:pt>
                <c:pt idx="41">
                  <c:v>0.28506734679200912</c:v>
                </c:pt>
                <c:pt idx="42">
                  <c:v>0.69386646311713829</c:v>
                </c:pt>
                <c:pt idx="43">
                  <c:v>0.5109494495708049</c:v>
                </c:pt>
                <c:pt idx="44">
                  <c:v>0.76250703797244279</c:v>
                </c:pt>
                <c:pt idx="45">
                  <c:v>0.58494297130824291</c:v>
                </c:pt>
                <c:pt idx="46">
                  <c:v>0.57692580793928117</c:v>
                </c:pt>
                <c:pt idx="47">
                  <c:v>6.4788114815561695E-2</c:v>
                </c:pt>
                <c:pt idx="48">
                  <c:v>0.412561476240281</c:v>
                </c:pt>
                <c:pt idx="49">
                  <c:v>0.68499578043898868</c:v>
                </c:pt>
                <c:pt idx="50">
                  <c:v>0.61608506117588169</c:v>
                </c:pt>
                <c:pt idx="51">
                  <c:v>0.4944923575807722</c:v>
                </c:pt>
                <c:pt idx="52">
                  <c:v>0.74908069301731162</c:v>
                </c:pt>
                <c:pt idx="53">
                  <c:v>0.67717115966346142</c:v>
                </c:pt>
                <c:pt idx="54">
                  <c:v>0.77994104118156338</c:v>
                </c:pt>
                <c:pt idx="55">
                  <c:v>2.0187565962979699</c:v>
                </c:pt>
                <c:pt idx="56">
                  <c:v>2.2271770159368693</c:v>
                </c:pt>
                <c:pt idx="57">
                  <c:v>0.80697240831617778</c:v>
                </c:pt>
                <c:pt idx="58">
                  <c:v>0.67450407108143318</c:v>
                </c:pt>
                <c:pt idx="59">
                  <c:v>0.73587999931857151</c:v>
                </c:pt>
                <c:pt idx="60">
                  <c:v>0.77453223084040446</c:v>
                </c:pt>
                <c:pt idx="61">
                  <c:v>0.87841046115788313</c:v>
                </c:pt>
                <c:pt idx="62">
                  <c:v>0.79455215770466037</c:v>
                </c:pt>
                <c:pt idx="63">
                  <c:v>0.74908069301731162</c:v>
                </c:pt>
                <c:pt idx="64">
                  <c:v>0.73020795545081552</c:v>
                </c:pt>
                <c:pt idx="65">
                  <c:v>0.65199744158792172</c:v>
                </c:pt>
                <c:pt idx="66">
                  <c:v>0.87919231308049794</c:v>
                </c:pt>
                <c:pt idx="67">
                  <c:v>0.91272490487150704</c:v>
                </c:pt>
                <c:pt idx="68">
                  <c:v>0.87958402275155978</c:v>
                </c:pt>
                <c:pt idx="69">
                  <c:v>0.96199395112418939</c:v>
                </c:pt>
                <c:pt idx="70">
                  <c:v>0.84455603831443471</c:v>
                </c:pt>
                <c:pt idx="71">
                  <c:v>0.58552023679098275</c:v>
                </c:pt>
                <c:pt idx="72">
                  <c:v>0.79950995463889141</c:v>
                </c:pt>
                <c:pt idx="73">
                  <c:v>0.79542036283459594</c:v>
                </c:pt>
                <c:pt idx="74">
                  <c:v>0.67645684389538341</c:v>
                </c:pt>
                <c:pt idx="75">
                  <c:v>0.74835542511156217</c:v>
                </c:pt>
                <c:pt idx="76">
                  <c:v>0.76792685497342361</c:v>
                </c:pt>
                <c:pt idx="77">
                  <c:v>0.76123343254361442</c:v>
                </c:pt>
                <c:pt idx="78">
                  <c:v>0.76507354485221934</c:v>
                </c:pt>
                <c:pt idx="79">
                  <c:v>0.73088168275585774</c:v>
                </c:pt>
                <c:pt idx="80">
                  <c:v>0.77160493827160448</c:v>
                </c:pt>
                <c:pt idx="81">
                  <c:v>0.72248300537664001</c:v>
                </c:pt>
                <c:pt idx="82">
                  <c:v>0.81340500983648822</c:v>
                </c:pt>
                <c:pt idx="83">
                  <c:v>0.7160531859606315</c:v>
                </c:pt>
                <c:pt idx="84">
                  <c:v>0.83333333333333337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49-45C8-B7C4-6F2816F4B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427760"/>
        <c:axId val="252428176"/>
      </c:scatterChart>
      <c:valAx>
        <c:axId val="25242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428176"/>
        <c:crosses val="autoZero"/>
        <c:crossBetween val="midCat"/>
      </c:valAx>
      <c:valAx>
        <c:axId val="25242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52427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'4-2'!$O$2</c:f>
              <c:strCache>
                <c:ptCount val="1"/>
                <c:pt idx="0">
                  <c:v>(LSL+USL)/2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'4-2'!$O$3:$O$87</c:f>
              <c:numCache>
                <c:formatCode>General</c:formatCode>
                <c:ptCount val="85"/>
                <c:pt idx="0">
                  <c:v>347.5</c:v>
                </c:pt>
                <c:pt idx="1">
                  <c:v>347.5</c:v>
                </c:pt>
                <c:pt idx="2">
                  <c:v>347.5</c:v>
                </c:pt>
                <c:pt idx="3">
                  <c:v>347.5</c:v>
                </c:pt>
                <c:pt idx="4">
                  <c:v>347.5</c:v>
                </c:pt>
                <c:pt idx="5">
                  <c:v>347.5</c:v>
                </c:pt>
                <c:pt idx="6">
                  <c:v>347.5</c:v>
                </c:pt>
                <c:pt idx="7">
                  <c:v>347.5</c:v>
                </c:pt>
                <c:pt idx="8">
                  <c:v>347.5</c:v>
                </c:pt>
                <c:pt idx="9">
                  <c:v>347.5</c:v>
                </c:pt>
                <c:pt idx="10">
                  <c:v>347.5</c:v>
                </c:pt>
                <c:pt idx="11">
                  <c:v>347.5</c:v>
                </c:pt>
                <c:pt idx="12">
                  <c:v>347.5</c:v>
                </c:pt>
                <c:pt idx="13">
                  <c:v>347.5</c:v>
                </c:pt>
                <c:pt idx="14">
                  <c:v>347.5</c:v>
                </c:pt>
                <c:pt idx="15">
                  <c:v>347.5</c:v>
                </c:pt>
                <c:pt idx="16">
                  <c:v>347.5</c:v>
                </c:pt>
                <c:pt idx="17">
                  <c:v>347.5</c:v>
                </c:pt>
                <c:pt idx="18">
                  <c:v>347.5</c:v>
                </c:pt>
                <c:pt idx="19">
                  <c:v>347.5</c:v>
                </c:pt>
                <c:pt idx="20">
                  <c:v>347.5</c:v>
                </c:pt>
                <c:pt idx="21">
                  <c:v>347.5</c:v>
                </c:pt>
                <c:pt idx="22">
                  <c:v>347.5</c:v>
                </c:pt>
                <c:pt idx="23">
                  <c:v>347.5</c:v>
                </c:pt>
                <c:pt idx="24">
                  <c:v>347.5</c:v>
                </c:pt>
                <c:pt idx="25">
                  <c:v>347.5</c:v>
                </c:pt>
                <c:pt idx="26">
                  <c:v>347.5</c:v>
                </c:pt>
                <c:pt idx="27">
                  <c:v>347.5</c:v>
                </c:pt>
                <c:pt idx="28">
                  <c:v>347.5</c:v>
                </c:pt>
                <c:pt idx="29">
                  <c:v>347.5</c:v>
                </c:pt>
                <c:pt idx="30">
                  <c:v>347.5</c:v>
                </c:pt>
                <c:pt idx="31">
                  <c:v>347.5</c:v>
                </c:pt>
                <c:pt idx="32">
                  <c:v>347.5</c:v>
                </c:pt>
                <c:pt idx="33">
                  <c:v>347.5</c:v>
                </c:pt>
                <c:pt idx="34">
                  <c:v>347.5</c:v>
                </c:pt>
                <c:pt idx="35">
                  <c:v>347.5</c:v>
                </c:pt>
                <c:pt idx="36">
                  <c:v>347.5</c:v>
                </c:pt>
                <c:pt idx="37">
                  <c:v>347.5</c:v>
                </c:pt>
                <c:pt idx="38">
                  <c:v>347.5</c:v>
                </c:pt>
                <c:pt idx="39">
                  <c:v>347.5</c:v>
                </c:pt>
                <c:pt idx="40">
                  <c:v>347.5</c:v>
                </c:pt>
                <c:pt idx="41">
                  <c:v>347.5</c:v>
                </c:pt>
                <c:pt idx="42">
                  <c:v>347.5</c:v>
                </c:pt>
                <c:pt idx="43">
                  <c:v>347.5</c:v>
                </c:pt>
                <c:pt idx="44">
                  <c:v>347.5</c:v>
                </c:pt>
                <c:pt idx="45">
                  <c:v>347.5</c:v>
                </c:pt>
                <c:pt idx="46">
                  <c:v>347.5</c:v>
                </c:pt>
                <c:pt idx="47">
                  <c:v>347.5</c:v>
                </c:pt>
                <c:pt idx="48">
                  <c:v>347.5</c:v>
                </c:pt>
                <c:pt idx="49">
                  <c:v>347.5</c:v>
                </c:pt>
                <c:pt idx="50">
                  <c:v>347.5</c:v>
                </c:pt>
                <c:pt idx="51">
                  <c:v>347.5</c:v>
                </c:pt>
                <c:pt idx="52">
                  <c:v>347.5</c:v>
                </c:pt>
                <c:pt idx="53">
                  <c:v>347.5</c:v>
                </c:pt>
                <c:pt idx="54">
                  <c:v>347.5</c:v>
                </c:pt>
                <c:pt idx="55">
                  <c:v>347.5</c:v>
                </c:pt>
                <c:pt idx="56">
                  <c:v>347.5</c:v>
                </c:pt>
                <c:pt idx="57">
                  <c:v>347.5</c:v>
                </c:pt>
                <c:pt idx="58">
                  <c:v>347.5</c:v>
                </c:pt>
                <c:pt idx="59">
                  <c:v>347.5</c:v>
                </c:pt>
                <c:pt idx="60">
                  <c:v>347.5</c:v>
                </c:pt>
                <c:pt idx="61">
                  <c:v>347.5</c:v>
                </c:pt>
                <c:pt idx="62">
                  <c:v>347.5</c:v>
                </c:pt>
                <c:pt idx="63">
                  <c:v>347.5</c:v>
                </c:pt>
                <c:pt idx="64">
                  <c:v>347.5</c:v>
                </c:pt>
                <c:pt idx="65">
                  <c:v>347.5</c:v>
                </c:pt>
                <c:pt idx="66">
                  <c:v>347.5</c:v>
                </c:pt>
                <c:pt idx="67">
                  <c:v>347.5</c:v>
                </c:pt>
                <c:pt idx="68">
                  <c:v>347.5</c:v>
                </c:pt>
                <c:pt idx="69">
                  <c:v>347.5</c:v>
                </c:pt>
                <c:pt idx="70">
                  <c:v>347.5</c:v>
                </c:pt>
                <c:pt idx="71">
                  <c:v>347.5</c:v>
                </c:pt>
                <c:pt idx="72">
                  <c:v>347.5</c:v>
                </c:pt>
                <c:pt idx="73">
                  <c:v>347.5</c:v>
                </c:pt>
                <c:pt idx="74">
                  <c:v>347.5</c:v>
                </c:pt>
                <c:pt idx="75">
                  <c:v>347.5</c:v>
                </c:pt>
                <c:pt idx="76">
                  <c:v>347.5</c:v>
                </c:pt>
                <c:pt idx="77">
                  <c:v>347.5</c:v>
                </c:pt>
                <c:pt idx="78">
                  <c:v>347.5</c:v>
                </c:pt>
                <c:pt idx="79">
                  <c:v>347.5</c:v>
                </c:pt>
                <c:pt idx="80">
                  <c:v>347.5</c:v>
                </c:pt>
                <c:pt idx="81">
                  <c:v>347.5</c:v>
                </c:pt>
                <c:pt idx="82">
                  <c:v>347.5</c:v>
                </c:pt>
                <c:pt idx="83">
                  <c:v>347.5</c:v>
                </c:pt>
                <c:pt idx="84">
                  <c:v>347.5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4A-485C-80AE-E157F6D719CF}"/>
            </c:ext>
          </c:extLst>
        </c:ser>
        <c:ser>
          <c:idx val="1"/>
          <c:order val="1"/>
          <c:tx>
            <c:strRef>
              <c:f>'4-2'!$H$2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'4-2'!$H$3:$H$87</c:f>
              <c:numCache>
                <c:formatCode>General</c:formatCode>
                <c:ptCount val="8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  <c:pt idx="45">
                  <c:v>355.2</c:v>
                </c:pt>
                <c:pt idx="46">
                  <c:v>355.6</c:v>
                </c:pt>
                <c:pt idx="47">
                  <c:v>317.60000000000002</c:v>
                </c:pt>
                <c:pt idx="48">
                  <c:v>359</c:v>
                </c:pt>
                <c:pt idx="49">
                  <c:v>354</c:v>
                </c:pt>
                <c:pt idx="50">
                  <c:v>354.8</c:v>
                </c:pt>
                <c:pt idx="51">
                  <c:v>357</c:v>
                </c:pt>
                <c:pt idx="52">
                  <c:v>351.8</c:v>
                </c:pt>
                <c:pt idx="53">
                  <c:v>353.4</c:v>
                </c:pt>
                <c:pt idx="54">
                  <c:v>352.2</c:v>
                </c:pt>
                <c:pt idx="55">
                  <c:v>348.6</c:v>
                </c:pt>
                <c:pt idx="56">
                  <c:v>349</c:v>
                </c:pt>
                <c:pt idx="57">
                  <c:v>349.4</c:v>
                </c:pt>
                <c:pt idx="58">
                  <c:v>349.4</c:v>
                </c:pt>
                <c:pt idx="59">
                  <c:v>352.6</c:v>
                </c:pt>
                <c:pt idx="60">
                  <c:v>353.2</c:v>
                </c:pt>
                <c:pt idx="61">
                  <c:v>353</c:v>
                </c:pt>
                <c:pt idx="62">
                  <c:v>350</c:v>
                </c:pt>
                <c:pt idx="63">
                  <c:v>351.8</c:v>
                </c:pt>
                <c:pt idx="64">
                  <c:v>352.4</c:v>
                </c:pt>
                <c:pt idx="65">
                  <c:v>344.2</c:v>
                </c:pt>
                <c:pt idx="66">
                  <c:v>350.4</c:v>
                </c:pt>
                <c:pt idx="67">
                  <c:v>349.2</c:v>
                </c:pt>
                <c:pt idx="68">
                  <c:v>348.2</c:v>
                </c:pt>
                <c:pt idx="69">
                  <c:v>348.6</c:v>
                </c:pt>
                <c:pt idx="70">
                  <c:v>350.8</c:v>
                </c:pt>
                <c:pt idx="71">
                  <c:v>343.8</c:v>
                </c:pt>
                <c:pt idx="72">
                  <c:v>349.4</c:v>
                </c:pt>
                <c:pt idx="73">
                  <c:v>348.2</c:v>
                </c:pt>
                <c:pt idx="74">
                  <c:v>346.8</c:v>
                </c:pt>
                <c:pt idx="75">
                  <c:v>351</c:v>
                </c:pt>
                <c:pt idx="76">
                  <c:v>346.8</c:v>
                </c:pt>
                <c:pt idx="77">
                  <c:v>349.6</c:v>
                </c:pt>
                <c:pt idx="78">
                  <c:v>350.6</c:v>
                </c:pt>
                <c:pt idx="79">
                  <c:v>351</c:v>
                </c:pt>
                <c:pt idx="80">
                  <c:v>349.4</c:v>
                </c:pt>
                <c:pt idx="81">
                  <c:v>351.4</c:v>
                </c:pt>
                <c:pt idx="82">
                  <c:v>345.2</c:v>
                </c:pt>
                <c:pt idx="83">
                  <c:v>353.4</c:v>
                </c:pt>
                <c:pt idx="84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4A-485C-80AE-E157F6D71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983952"/>
        <c:axId val="476984368"/>
      </c:scatterChart>
      <c:valAx>
        <c:axId val="47698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6984368"/>
        <c:crosses val="autoZero"/>
        <c:crossBetween val="midCat"/>
      </c:valAx>
      <c:valAx>
        <c:axId val="47698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6983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'4-2'!$P$2</c:f>
              <c:strCache>
                <c:ptCount val="1"/>
                <c:pt idx="0">
                  <c:v>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'4-2'!$P$3:$P$87</c:f>
              <c:numCache>
                <c:formatCode>General</c:formatCode>
                <c:ptCount val="85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350</c:v>
                </c:pt>
                <c:pt idx="29">
                  <c:v>350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350</c:v>
                </c:pt>
                <c:pt idx="40">
                  <c:v>350</c:v>
                </c:pt>
                <c:pt idx="41">
                  <c:v>350</c:v>
                </c:pt>
                <c:pt idx="42">
                  <c:v>350</c:v>
                </c:pt>
                <c:pt idx="43">
                  <c:v>350</c:v>
                </c:pt>
                <c:pt idx="44">
                  <c:v>350</c:v>
                </c:pt>
                <c:pt idx="45">
                  <c:v>350</c:v>
                </c:pt>
                <c:pt idx="46">
                  <c:v>350</c:v>
                </c:pt>
                <c:pt idx="47">
                  <c:v>350</c:v>
                </c:pt>
                <c:pt idx="48">
                  <c:v>350</c:v>
                </c:pt>
                <c:pt idx="49">
                  <c:v>350</c:v>
                </c:pt>
                <c:pt idx="50">
                  <c:v>350</c:v>
                </c:pt>
                <c:pt idx="51">
                  <c:v>350</c:v>
                </c:pt>
                <c:pt idx="52">
                  <c:v>350</c:v>
                </c:pt>
                <c:pt idx="53">
                  <c:v>350</c:v>
                </c:pt>
                <c:pt idx="54">
                  <c:v>350</c:v>
                </c:pt>
                <c:pt idx="55">
                  <c:v>350</c:v>
                </c:pt>
                <c:pt idx="56">
                  <c:v>350</c:v>
                </c:pt>
                <c:pt idx="57">
                  <c:v>350</c:v>
                </c:pt>
                <c:pt idx="58">
                  <c:v>350</c:v>
                </c:pt>
                <c:pt idx="59">
                  <c:v>350</c:v>
                </c:pt>
                <c:pt idx="60">
                  <c:v>350</c:v>
                </c:pt>
                <c:pt idx="61">
                  <c:v>350</c:v>
                </c:pt>
                <c:pt idx="62">
                  <c:v>350</c:v>
                </c:pt>
                <c:pt idx="63">
                  <c:v>350</c:v>
                </c:pt>
                <c:pt idx="64">
                  <c:v>350</c:v>
                </c:pt>
                <c:pt idx="65">
                  <c:v>350</c:v>
                </c:pt>
                <c:pt idx="66">
                  <c:v>350</c:v>
                </c:pt>
                <c:pt idx="67">
                  <c:v>350</c:v>
                </c:pt>
                <c:pt idx="68">
                  <c:v>350</c:v>
                </c:pt>
                <c:pt idx="69">
                  <c:v>350</c:v>
                </c:pt>
                <c:pt idx="70">
                  <c:v>350</c:v>
                </c:pt>
                <c:pt idx="71">
                  <c:v>350</c:v>
                </c:pt>
                <c:pt idx="72">
                  <c:v>350</c:v>
                </c:pt>
                <c:pt idx="73">
                  <c:v>350</c:v>
                </c:pt>
                <c:pt idx="74">
                  <c:v>350</c:v>
                </c:pt>
                <c:pt idx="75">
                  <c:v>350</c:v>
                </c:pt>
                <c:pt idx="76">
                  <c:v>350</c:v>
                </c:pt>
                <c:pt idx="77">
                  <c:v>350</c:v>
                </c:pt>
                <c:pt idx="78">
                  <c:v>350</c:v>
                </c:pt>
                <c:pt idx="79">
                  <c:v>350</c:v>
                </c:pt>
                <c:pt idx="80">
                  <c:v>350</c:v>
                </c:pt>
                <c:pt idx="81">
                  <c:v>350</c:v>
                </c:pt>
                <c:pt idx="82">
                  <c:v>350</c:v>
                </c:pt>
                <c:pt idx="83">
                  <c:v>350</c:v>
                </c:pt>
                <c:pt idx="84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35-4AE1-98BD-E99FE6D30ED5}"/>
            </c:ext>
          </c:extLst>
        </c:ser>
        <c:ser>
          <c:idx val="1"/>
          <c:order val="1"/>
          <c:tx>
            <c:strRef>
              <c:f>'4-2'!$H$2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'4-2'!$H$3:$H$87</c:f>
              <c:numCache>
                <c:formatCode>General</c:formatCode>
                <c:ptCount val="85"/>
                <c:pt idx="0">
                  <c:v>354.6</c:v>
                </c:pt>
                <c:pt idx="1">
                  <c:v>353.8</c:v>
                </c:pt>
                <c:pt idx="2">
                  <c:v>353.6</c:v>
                </c:pt>
                <c:pt idx="3">
                  <c:v>357.6</c:v>
                </c:pt>
                <c:pt idx="4">
                  <c:v>353.8</c:v>
                </c:pt>
                <c:pt idx="5">
                  <c:v>352.4</c:v>
                </c:pt>
                <c:pt idx="6">
                  <c:v>355.6</c:v>
                </c:pt>
                <c:pt idx="7">
                  <c:v>353.2</c:v>
                </c:pt>
                <c:pt idx="8">
                  <c:v>355</c:v>
                </c:pt>
                <c:pt idx="9">
                  <c:v>354.4</c:v>
                </c:pt>
                <c:pt idx="10">
                  <c:v>354</c:v>
                </c:pt>
                <c:pt idx="11">
                  <c:v>353.2</c:v>
                </c:pt>
                <c:pt idx="12">
                  <c:v>354.2</c:v>
                </c:pt>
                <c:pt idx="13">
                  <c:v>353.8</c:v>
                </c:pt>
                <c:pt idx="14">
                  <c:v>354.6</c:v>
                </c:pt>
                <c:pt idx="15">
                  <c:v>353.2</c:v>
                </c:pt>
                <c:pt idx="16">
                  <c:v>370.4</c:v>
                </c:pt>
                <c:pt idx="17">
                  <c:v>357.2</c:v>
                </c:pt>
                <c:pt idx="18">
                  <c:v>359.4</c:v>
                </c:pt>
                <c:pt idx="19">
                  <c:v>356.6</c:v>
                </c:pt>
                <c:pt idx="20">
                  <c:v>357.8</c:v>
                </c:pt>
                <c:pt idx="21">
                  <c:v>356.8</c:v>
                </c:pt>
                <c:pt idx="22">
                  <c:v>360.6</c:v>
                </c:pt>
                <c:pt idx="23">
                  <c:v>360.2</c:v>
                </c:pt>
                <c:pt idx="24">
                  <c:v>358.8</c:v>
                </c:pt>
                <c:pt idx="25">
                  <c:v>338</c:v>
                </c:pt>
                <c:pt idx="26">
                  <c:v>354.6</c:v>
                </c:pt>
                <c:pt idx="27">
                  <c:v>349.2</c:v>
                </c:pt>
                <c:pt idx="28">
                  <c:v>356.6</c:v>
                </c:pt>
                <c:pt idx="29">
                  <c:v>357</c:v>
                </c:pt>
                <c:pt idx="30">
                  <c:v>356.8</c:v>
                </c:pt>
                <c:pt idx="31">
                  <c:v>355.4</c:v>
                </c:pt>
                <c:pt idx="32">
                  <c:v>354.8</c:v>
                </c:pt>
                <c:pt idx="33">
                  <c:v>352.6</c:v>
                </c:pt>
                <c:pt idx="34">
                  <c:v>351</c:v>
                </c:pt>
                <c:pt idx="35">
                  <c:v>351.2</c:v>
                </c:pt>
                <c:pt idx="36">
                  <c:v>348</c:v>
                </c:pt>
                <c:pt idx="37">
                  <c:v>357.8</c:v>
                </c:pt>
                <c:pt idx="38">
                  <c:v>354.6</c:v>
                </c:pt>
                <c:pt idx="39">
                  <c:v>352.4</c:v>
                </c:pt>
                <c:pt idx="40">
                  <c:v>354.6</c:v>
                </c:pt>
                <c:pt idx="41">
                  <c:v>336.2</c:v>
                </c:pt>
                <c:pt idx="42">
                  <c:v>352.6</c:v>
                </c:pt>
                <c:pt idx="43">
                  <c:v>356</c:v>
                </c:pt>
                <c:pt idx="44">
                  <c:v>353.4</c:v>
                </c:pt>
                <c:pt idx="45">
                  <c:v>355.2</c:v>
                </c:pt>
                <c:pt idx="46">
                  <c:v>355.6</c:v>
                </c:pt>
                <c:pt idx="47">
                  <c:v>317.60000000000002</c:v>
                </c:pt>
                <c:pt idx="48">
                  <c:v>359</c:v>
                </c:pt>
                <c:pt idx="49">
                  <c:v>354</c:v>
                </c:pt>
                <c:pt idx="50">
                  <c:v>354.8</c:v>
                </c:pt>
                <c:pt idx="51">
                  <c:v>357</c:v>
                </c:pt>
                <c:pt idx="52">
                  <c:v>351.8</c:v>
                </c:pt>
                <c:pt idx="53">
                  <c:v>353.4</c:v>
                </c:pt>
                <c:pt idx="54">
                  <c:v>352.2</c:v>
                </c:pt>
                <c:pt idx="55">
                  <c:v>348.6</c:v>
                </c:pt>
                <c:pt idx="56">
                  <c:v>349</c:v>
                </c:pt>
                <c:pt idx="57">
                  <c:v>349.4</c:v>
                </c:pt>
                <c:pt idx="58">
                  <c:v>349.4</c:v>
                </c:pt>
                <c:pt idx="59">
                  <c:v>352.6</c:v>
                </c:pt>
                <c:pt idx="60">
                  <c:v>353.2</c:v>
                </c:pt>
                <c:pt idx="61">
                  <c:v>353</c:v>
                </c:pt>
                <c:pt idx="62">
                  <c:v>350</c:v>
                </c:pt>
                <c:pt idx="63">
                  <c:v>351.8</c:v>
                </c:pt>
                <c:pt idx="64">
                  <c:v>352.4</c:v>
                </c:pt>
                <c:pt idx="65">
                  <c:v>344.2</c:v>
                </c:pt>
                <c:pt idx="66">
                  <c:v>350.4</c:v>
                </c:pt>
                <c:pt idx="67">
                  <c:v>349.2</c:v>
                </c:pt>
                <c:pt idx="68">
                  <c:v>348.2</c:v>
                </c:pt>
                <c:pt idx="69">
                  <c:v>348.6</c:v>
                </c:pt>
                <c:pt idx="70">
                  <c:v>350.8</c:v>
                </c:pt>
                <c:pt idx="71">
                  <c:v>343.8</c:v>
                </c:pt>
                <c:pt idx="72">
                  <c:v>349.4</c:v>
                </c:pt>
                <c:pt idx="73">
                  <c:v>348.2</c:v>
                </c:pt>
                <c:pt idx="74">
                  <c:v>346.8</c:v>
                </c:pt>
                <c:pt idx="75">
                  <c:v>351</c:v>
                </c:pt>
                <c:pt idx="76">
                  <c:v>346.8</c:v>
                </c:pt>
                <c:pt idx="77">
                  <c:v>349.6</c:v>
                </c:pt>
                <c:pt idx="78">
                  <c:v>350.6</c:v>
                </c:pt>
                <c:pt idx="79">
                  <c:v>351</c:v>
                </c:pt>
                <c:pt idx="80">
                  <c:v>349.4</c:v>
                </c:pt>
                <c:pt idx="81">
                  <c:v>351.4</c:v>
                </c:pt>
                <c:pt idx="82">
                  <c:v>345.2</c:v>
                </c:pt>
                <c:pt idx="83">
                  <c:v>353.4</c:v>
                </c:pt>
                <c:pt idx="84">
                  <c:v>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35-4AE1-98BD-E99FE6D30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6292624"/>
        <c:axId val="2096293456"/>
      </c:scatterChart>
      <c:valAx>
        <c:axId val="209629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6293456"/>
        <c:crosses val="autoZero"/>
        <c:crossBetween val="midCat"/>
      </c:valAx>
      <c:valAx>
        <c:axId val="209629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6292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'4-2'!$W$2</c:f>
              <c:strCache>
                <c:ptCount val="1"/>
                <c:pt idx="0">
                  <c:v>out-of-spec%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'4-2'!$W$3:$W$87</c:f>
              <c:numCache>
                <c:formatCode>General</c:formatCode>
                <c:ptCount val="85"/>
                <c:pt idx="0">
                  <c:v>4.6228429290179084E-2</c:v>
                </c:pt>
                <c:pt idx="1">
                  <c:v>2.3256938660168647E-2</c:v>
                </c:pt>
                <c:pt idx="2">
                  <c:v>2.045677790392901E-2</c:v>
                </c:pt>
                <c:pt idx="3">
                  <c:v>0.26636295534086596</c:v>
                </c:pt>
                <c:pt idx="4">
                  <c:v>1.2730851321492468E-2</c:v>
                </c:pt>
                <c:pt idx="5">
                  <c:v>2.6128769756305752E-4</c:v>
                </c:pt>
                <c:pt idx="6">
                  <c:v>0.19087139748098914</c:v>
                </c:pt>
                <c:pt idx="7">
                  <c:v>2.8187629275044378E-2</c:v>
                </c:pt>
                <c:pt idx="8">
                  <c:v>6.1411324387568071E-2</c:v>
                </c:pt>
                <c:pt idx="9">
                  <c:v>5.1527192541733005E-2</c:v>
                </c:pt>
                <c:pt idx="10">
                  <c:v>2.2750132068139434E-2</c:v>
                </c:pt>
                <c:pt idx="11">
                  <c:v>5.3022202804315986E-2</c:v>
                </c:pt>
                <c:pt idx="12">
                  <c:v>0.1396517027298099</c:v>
                </c:pt>
                <c:pt idx="13">
                  <c:v>0.10146697239602272</c:v>
                </c:pt>
                <c:pt idx="14">
                  <c:v>0.13669587236643924</c:v>
                </c:pt>
                <c:pt idx="15">
                  <c:v>6.5168020929569193E-2</c:v>
                </c:pt>
                <c:pt idx="16">
                  <c:v>0.99848846811338177</c:v>
                </c:pt>
                <c:pt idx="17">
                  <c:v>0.24979346999829402</c:v>
                </c:pt>
                <c:pt idx="18">
                  <c:v>0.46063485326867681</c:v>
                </c:pt>
                <c:pt idx="19">
                  <c:v>0.26499446554153488</c:v>
                </c:pt>
                <c:pt idx="20">
                  <c:v>0.34914872733925467</c:v>
                </c:pt>
                <c:pt idx="21">
                  <c:v>0.14571065977136125</c:v>
                </c:pt>
                <c:pt idx="22">
                  <c:v>0.54794982427109074</c:v>
                </c:pt>
                <c:pt idx="23">
                  <c:v>0.51605017406359666</c:v>
                </c:pt>
                <c:pt idx="24">
                  <c:v>0.41138464506177924</c:v>
                </c:pt>
                <c:pt idx="25">
                  <c:v>0.27223138995682772</c:v>
                </c:pt>
                <c:pt idx="26">
                  <c:v>0.18044063907916255</c:v>
                </c:pt>
                <c:pt idx="27">
                  <c:v>6.5896467169892424E-65</c:v>
                </c:pt>
                <c:pt idx="28">
                  <c:v>0.27010773723604692</c:v>
                </c:pt>
                <c:pt idx="29">
                  <c:v>0.27815722687416394</c:v>
                </c:pt>
                <c:pt idx="30">
                  <c:v>0.28939878728743934</c:v>
                </c:pt>
                <c:pt idx="31">
                  <c:v>0.24322458516663897</c:v>
                </c:pt>
                <c:pt idx="32">
                  <c:v>0.20075736370993158</c:v>
                </c:pt>
                <c:pt idx="33">
                  <c:v>0.12785178354779178</c:v>
                </c:pt>
                <c:pt idx="34">
                  <c:v>4.4199831796771248E-2</c:v>
                </c:pt>
                <c:pt idx="35">
                  <c:v>2.3822129901115112E-6</c:v>
                </c:pt>
                <c:pt idx="36">
                  <c:v>9.5288750695022711E-3</c:v>
                </c:pt>
                <c:pt idx="37">
                  <c:v>0.32392642682654982</c:v>
                </c:pt>
                <c:pt idx="38">
                  <c:v>0.1614468610972965</c:v>
                </c:pt>
                <c:pt idx="39">
                  <c:v>1.0372205558892202E-2</c:v>
                </c:pt>
                <c:pt idx="40">
                  <c:v>0.13914715192981192</c:v>
                </c:pt>
                <c:pt idx="41">
                  <c:v>0.40162800981485641</c:v>
                </c:pt>
                <c:pt idx="42">
                  <c:v>8.637221551904585E-2</c:v>
                </c:pt>
                <c:pt idx="43">
                  <c:v>0.234516716037974</c:v>
                </c:pt>
                <c:pt idx="44">
                  <c:v>6.1444370964377583E-2</c:v>
                </c:pt>
                <c:pt idx="45">
                  <c:v>0.16208871670586913</c:v>
                </c:pt>
                <c:pt idx="46">
                  <c:v>0.16733469868068845</c:v>
                </c:pt>
                <c:pt idx="47">
                  <c:v>0.84560559877234454</c:v>
                </c:pt>
                <c:pt idx="48">
                  <c:v>0.41362975478388997</c:v>
                </c:pt>
                <c:pt idx="49">
                  <c:v>9.5232038275578496E-2</c:v>
                </c:pt>
                <c:pt idx="50">
                  <c:v>0.13756109215444035</c:v>
                </c:pt>
                <c:pt idx="51">
                  <c:v>0.2612170057331103</c:v>
                </c:pt>
                <c:pt idx="52">
                  <c:v>6.0320193653663937E-2</c:v>
                </c:pt>
                <c:pt idx="53">
                  <c:v>9.9220270380297362E-2</c:v>
                </c:pt>
                <c:pt idx="54">
                  <c:v>5.4759554376309937E-2</c:v>
                </c:pt>
                <c:pt idx="55">
                  <c:v>2.8088794080832636E-14</c:v>
                </c:pt>
                <c:pt idx="56">
                  <c:v>1.7378325212065933E-12</c:v>
                </c:pt>
                <c:pt idx="57">
                  <c:v>2.1863013067937101E-2</c:v>
                </c:pt>
                <c:pt idx="58">
                  <c:v>5.1932029279289756E-2</c:v>
                </c:pt>
                <c:pt idx="59">
                  <c:v>7.0852079899452289E-2</c:v>
                </c:pt>
                <c:pt idx="60">
                  <c:v>5.7931227925770636E-2</c:v>
                </c:pt>
                <c:pt idx="61">
                  <c:v>2.8380204871511067E-2</c:v>
                </c:pt>
                <c:pt idx="62">
                  <c:v>3.0380755033581123E-2</c:v>
                </c:pt>
                <c:pt idx="63">
                  <c:v>6.0320193653663937E-2</c:v>
                </c:pt>
                <c:pt idx="64">
                  <c:v>7.1431024872177687E-2</c:v>
                </c:pt>
                <c:pt idx="65">
                  <c:v>3.0331146128782175E-4</c:v>
                </c:pt>
                <c:pt idx="66">
                  <c:v>2.1585497856838609E-2</c:v>
                </c:pt>
                <c:pt idx="67">
                  <c:v>8.9216079270608359E-3</c:v>
                </c:pt>
                <c:pt idx="68">
                  <c:v>4.836577989201082E-3</c:v>
                </c:pt>
                <c:pt idx="69">
                  <c:v>3.1601817956089721E-3</c:v>
                </c:pt>
                <c:pt idx="70">
                  <c:v>2.9979197191919271E-2</c:v>
                </c:pt>
                <c:pt idx="71">
                  <c:v>5.8789644987700526E-3</c:v>
                </c:pt>
                <c:pt idx="72">
                  <c:v>2.3005703540274449E-2</c:v>
                </c:pt>
                <c:pt idx="73">
                  <c:v>1.1872073180558893E-2</c:v>
                </c:pt>
                <c:pt idx="74">
                  <c:v>1.8549786449150112E-2</c:v>
                </c:pt>
                <c:pt idx="75">
                  <c:v>5.1917625677216035E-2</c:v>
                </c:pt>
                <c:pt idx="76">
                  <c:v>4.8365779892010838E-3</c:v>
                </c:pt>
                <c:pt idx="77">
                  <c:v>3.2123311744161984E-2</c:v>
                </c:pt>
                <c:pt idx="78">
                  <c:v>4.3206862891683115E-2</c:v>
                </c:pt>
                <c:pt idx="79">
                  <c:v>5.6585276547093201E-2</c:v>
                </c:pt>
                <c:pt idx="80">
                  <c:v>2.7768282485084315E-2</c:v>
                </c:pt>
                <c:pt idx="81">
                  <c:v>6.3811258371342369E-2</c:v>
                </c:pt>
                <c:pt idx="82">
                  <c:v>5.921417708285408E-9</c:v>
                </c:pt>
                <c:pt idx="83">
                  <c:v>8.1161258858601981E-2</c:v>
                </c:pt>
                <c:pt idx="84">
                  <c:v>6.6925553780018618E-3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66-4B86-9449-003913419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72128"/>
        <c:axId val="473372544"/>
      </c:scatterChart>
      <c:valAx>
        <c:axId val="47337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3372544"/>
        <c:crosses val="autoZero"/>
        <c:crossBetween val="midCat"/>
      </c:valAx>
      <c:valAx>
        <c:axId val="47337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73372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447674</xdr:colOff>
      <xdr:row>6</xdr:row>
      <xdr:rowOff>104775</xdr:rowOff>
    </xdr:from>
    <xdr:to>
      <xdr:col>29</xdr:col>
      <xdr:colOff>152400</xdr:colOff>
      <xdr:row>27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A5D809-0522-4E67-9218-483B3AA37A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2BC7EAD0-5196-402E-AB26-A4589CF7EEA0}"/>
            </a:ext>
          </a:extLst>
        </xdr:cNvPr>
        <xdr:cNvSpPr txBox="1"/>
      </xdr:nvSpPr>
      <xdr:spPr>
        <a:xfrm>
          <a:off x="84201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708025</xdr:colOff>
      <xdr:row>13</xdr:row>
      <xdr:rowOff>19050</xdr:rowOff>
    </xdr:from>
    <xdr:to>
      <xdr:col>16</xdr:col>
      <xdr:colOff>53974</xdr:colOff>
      <xdr:row>30</xdr:row>
      <xdr:rowOff>101600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C081FE7-0807-4184-B4D9-1F8EA96D5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285750</xdr:colOff>
      <xdr:row>14</xdr:row>
      <xdr:rowOff>180975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FFF0BA8-4DC9-4D0E-97C5-CBFEA688DD94}"/>
            </a:ext>
          </a:extLst>
        </xdr:cNvPr>
        <xdr:cNvSpPr txBox="1"/>
      </xdr:nvSpPr>
      <xdr:spPr>
        <a:xfrm>
          <a:off x="9105900" y="3114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234950</xdr:colOff>
      <xdr:row>10</xdr:row>
      <xdr:rowOff>73025</xdr:rowOff>
    </xdr:from>
    <xdr:to>
      <xdr:col>34</xdr:col>
      <xdr:colOff>673100</xdr:colOff>
      <xdr:row>23</xdr:row>
      <xdr:rowOff>92075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DA669D3-D3ED-4DCD-BFC9-F9A1CF4BD1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35</xdr:row>
      <xdr:rowOff>76200</xdr:rowOff>
    </xdr:from>
    <xdr:to>
      <xdr:col>13</xdr:col>
      <xdr:colOff>285750</xdr:colOff>
      <xdr:row>48</xdr:row>
      <xdr:rowOff>95250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9EB500A-E53A-49AA-9FEF-1F103DD93B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104774</xdr:colOff>
      <xdr:row>5</xdr:row>
      <xdr:rowOff>19051</xdr:rowOff>
    </xdr:from>
    <xdr:to>
      <xdr:col>22</xdr:col>
      <xdr:colOff>657225</xdr:colOff>
      <xdr:row>26</xdr:row>
      <xdr:rowOff>28575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7EFDE12-5362-49F2-B2E6-465E81EFC2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49</xdr:row>
      <xdr:rowOff>9525</xdr:rowOff>
    </xdr:from>
    <xdr:to>
      <xdr:col>10</xdr:col>
      <xdr:colOff>219075</xdr:colOff>
      <xdr:row>62</xdr:row>
      <xdr:rowOff>28575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2E5BF13-6132-4C2B-8F50-FCA208AF9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660690</xdr:colOff>
      <xdr:row>49</xdr:row>
      <xdr:rowOff>34636</xdr:rowOff>
    </xdr:from>
    <xdr:to>
      <xdr:col>13</xdr:col>
      <xdr:colOff>478848</xdr:colOff>
      <xdr:row>62</xdr:row>
      <xdr:rowOff>53686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2E5AC537-E242-445E-9140-C7B0F7EE2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112569</xdr:colOff>
      <xdr:row>49</xdr:row>
      <xdr:rowOff>13854</xdr:rowOff>
    </xdr:from>
    <xdr:to>
      <xdr:col>20</xdr:col>
      <xdr:colOff>528206</xdr:colOff>
      <xdr:row>62</xdr:row>
      <xdr:rowOff>55418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AD6B73A-F956-4472-A19A-5CF6E52A74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25976</xdr:colOff>
      <xdr:row>49</xdr:row>
      <xdr:rowOff>31172</xdr:rowOff>
    </xdr:from>
    <xdr:to>
      <xdr:col>26</xdr:col>
      <xdr:colOff>372340</xdr:colOff>
      <xdr:row>62</xdr:row>
      <xdr:rowOff>72736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833EAF46-4864-4990-BE22-92E2F380D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874568</xdr:colOff>
      <xdr:row>48</xdr:row>
      <xdr:rowOff>100445</xdr:rowOff>
    </xdr:from>
    <xdr:to>
      <xdr:col>33</xdr:col>
      <xdr:colOff>112568</xdr:colOff>
      <xdr:row>61</xdr:row>
      <xdr:rowOff>142009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36D07F33-80F1-4797-AF4E-B866ECE60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424295</xdr:colOff>
      <xdr:row>47</xdr:row>
      <xdr:rowOff>187036</xdr:rowOff>
    </xdr:from>
    <xdr:to>
      <xdr:col>40</xdr:col>
      <xdr:colOff>147204</xdr:colOff>
      <xdr:row>61</xdr:row>
      <xdr:rowOff>20782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65AE10C9-8FEA-4DC9-A4BC-DCD140B37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1186293</xdr:colOff>
      <xdr:row>25</xdr:row>
      <xdr:rowOff>48491</xdr:rowOff>
    </xdr:from>
    <xdr:to>
      <xdr:col>23</xdr:col>
      <xdr:colOff>337702</xdr:colOff>
      <xdr:row>38</xdr:row>
      <xdr:rowOff>90055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C910B47-CD72-4110-AF9C-B7DCA8381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1168976</xdr:colOff>
      <xdr:row>43</xdr:row>
      <xdr:rowOff>155862</xdr:rowOff>
    </xdr:from>
    <xdr:to>
      <xdr:col>25</xdr:col>
      <xdr:colOff>710045</xdr:colOff>
      <xdr:row>70</xdr:row>
      <xdr:rowOff>173181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71820E4-A791-44EA-9EBE-2F3EE821B1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337703</xdr:colOff>
      <xdr:row>48</xdr:row>
      <xdr:rowOff>13853</xdr:rowOff>
    </xdr:from>
    <xdr:to>
      <xdr:col>40</xdr:col>
      <xdr:colOff>17319</xdr:colOff>
      <xdr:row>75</xdr:row>
      <xdr:rowOff>69270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95481F6-6394-47F3-9D4F-38981699E0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11</xdr:row>
      <xdr:rowOff>171450</xdr:rowOff>
    </xdr:from>
    <xdr:to>
      <xdr:col>20</xdr:col>
      <xdr:colOff>666749</xdr:colOff>
      <xdr:row>28</xdr:row>
      <xdr:rowOff>47625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99B6303-425A-48BE-AD3C-D314874CD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604837</xdr:colOff>
      <xdr:row>7</xdr:row>
      <xdr:rowOff>85725</xdr:rowOff>
    </xdr:from>
    <xdr:to>
      <xdr:col>25</xdr:col>
      <xdr:colOff>195262</xdr:colOff>
      <xdr:row>20</xdr:row>
      <xdr:rowOff>104775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FE3A80F-4AE2-4D13-A4A7-CE39EEC30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10</xdr:row>
      <xdr:rowOff>47625</xdr:rowOff>
    </xdr:from>
    <xdr:to>
      <xdr:col>30</xdr:col>
      <xdr:colOff>628650</xdr:colOff>
      <xdr:row>23</xdr:row>
      <xdr:rowOff>66675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FFD812A-12EB-4A7B-B8BB-F412977272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647700</xdr:colOff>
      <xdr:row>5</xdr:row>
      <xdr:rowOff>38100</xdr:rowOff>
    </xdr:from>
    <xdr:to>
      <xdr:col>22</xdr:col>
      <xdr:colOff>914400</xdr:colOff>
      <xdr:row>18</xdr:row>
      <xdr:rowOff>57150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12CF7BE0-69FD-4F16-A40E-EBA58C430C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671512</xdr:colOff>
      <xdr:row>12</xdr:row>
      <xdr:rowOff>38100</xdr:rowOff>
    </xdr:from>
    <xdr:to>
      <xdr:col>19</xdr:col>
      <xdr:colOff>557212</xdr:colOff>
      <xdr:row>25</xdr:row>
      <xdr:rowOff>57150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64D8AE2-21D8-4365-A731-181720D34D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481012</xdr:colOff>
      <xdr:row>4</xdr:row>
      <xdr:rowOff>171450</xdr:rowOff>
    </xdr:from>
    <xdr:to>
      <xdr:col>25</xdr:col>
      <xdr:colOff>4762</xdr:colOff>
      <xdr:row>17</xdr:row>
      <xdr:rowOff>190500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681EED8B-ED94-40E0-BBF2-87C8AAE86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4705-1EED-4F7E-973F-2463947EEE40}">
  <dimension ref="A1:B4"/>
  <sheetViews>
    <sheetView workbookViewId="0">
      <selection activeCell="B4" sqref="B4"/>
    </sheetView>
  </sheetViews>
  <sheetFormatPr defaultRowHeight="16.5"/>
  <cols>
    <col min="1" max="1" width="58.5" customWidth="1"/>
    <col min="2" max="2" width="12.875" bestFit="1" customWidth="1"/>
  </cols>
  <sheetData>
    <row r="1" spans="1:2">
      <c r="A1" s="1" t="s">
        <v>0</v>
      </c>
      <c r="B1" t="s">
        <v>28</v>
      </c>
    </row>
    <row r="2" spans="1:2">
      <c r="A2" s="1">
        <f>COMBIN(6,4)*COMBIN(42,2)/COMBIN(49,6)</f>
        <v>9.2356764419669135E-4</v>
      </c>
      <c r="B2">
        <f>1*COMBIN(6,4)*COMBIN(42,1)/COMBIN(49,6)</f>
        <v>4.5052080204716649E-5</v>
      </c>
    </row>
    <row r="3" spans="1:2">
      <c r="A3" s="41" t="s">
        <v>201</v>
      </c>
      <c r="B3" s="41"/>
    </row>
    <row r="4" spans="1:2">
      <c r="A4">
        <f>COMBIN(6,4)*COMBIN(42,1)/COMBIN(49,6)</f>
        <v>4.5052080204716649E-5</v>
      </c>
      <c r="B4">
        <f>COMBIN(6,4)*COMBIN(42,1)/COMBIN(48,5)</f>
        <v>3.6792532167185269E-4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673D-6759-4550-A2E0-E429C12790D6}">
  <dimension ref="A1:U80"/>
  <sheetViews>
    <sheetView workbookViewId="0">
      <selection activeCell="E1" sqref="E1:E51"/>
    </sheetView>
  </sheetViews>
  <sheetFormatPr defaultRowHeight="16.5"/>
  <cols>
    <col min="1" max="1" width="9.5" bestFit="1" customWidth="1"/>
    <col min="2" max="2" width="16.25" style="3" bestFit="1" customWidth="1"/>
    <col min="4" max="4" width="9.75" customWidth="1"/>
    <col min="5" max="5" width="10.5" bestFit="1" customWidth="1"/>
    <col min="6" max="6" width="14.25" customWidth="1"/>
    <col min="8" max="8" width="9.875" customWidth="1"/>
    <col min="10" max="10" width="10.5" bestFit="1" customWidth="1"/>
    <col min="11" max="11" width="12.875" bestFit="1" customWidth="1"/>
    <col min="12" max="12" width="11.75" customWidth="1"/>
    <col min="15" max="15" width="0" hidden="1" customWidth="1"/>
    <col min="19" max="19" width="15.25" hidden="1" customWidth="1"/>
  </cols>
  <sheetData>
    <row r="1" spans="1:21">
      <c r="A1" t="s">
        <v>2</v>
      </c>
      <c r="B1" s="3" t="s">
        <v>1</v>
      </c>
      <c r="C1" t="s">
        <v>3</v>
      </c>
      <c r="D1" t="s">
        <v>4</v>
      </c>
      <c r="E1" t="s">
        <v>126</v>
      </c>
      <c r="I1" t="s">
        <v>5</v>
      </c>
      <c r="J1" t="s">
        <v>6</v>
      </c>
      <c r="K1" t="s">
        <v>7</v>
      </c>
      <c r="L1" t="s">
        <v>8</v>
      </c>
      <c r="N1" t="s">
        <v>2</v>
      </c>
      <c r="O1" s="3" t="s">
        <v>1</v>
      </c>
      <c r="P1" t="s">
        <v>3</v>
      </c>
      <c r="Q1" t="s">
        <v>126</v>
      </c>
      <c r="R1" t="s">
        <v>2</v>
      </c>
      <c r="S1" s="3" t="s">
        <v>1</v>
      </c>
      <c r="T1" t="s">
        <v>3</v>
      </c>
      <c r="U1" t="s">
        <v>126</v>
      </c>
    </row>
    <row r="2" spans="1:21">
      <c r="A2" s="2">
        <v>45405</v>
      </c>
      <c r="B2" s="3">
        <v>94533100</v>
      </c>
      <c r="C2">
        <f>B2/50</f>
        <v>1890662</v>
      </c>
      <c r="D2">
        <v>1659</v>
      </c>
      <c r="E2">
        <v>78</v>
      </c>
      <c r="I2">
        <f>SUM(D2:D51)</f>
        <v>125698</v>
      </c>
      <c r="J2">
        <f>SUM(C2:C51)</f>
        <v>140298121</v>
      </c>
      <c r="K2">
        <f>I2/J2</f>
        <v>8.959350211112236E-4</v>
      </c>
      <c r="L2">
        <f>(K2*(1-K2)/J2)^0.5</f>
        <v>2.5259089526121055E-6</v>
      </c>
      <c r="N2" s="2">
        <v>45405</v>
      </c>
      <c r="O2" s="3">
        <v>94533100</v>
      </c>
      <c r="P2">
        <f t="shared" ref="P2:P26" si="0">O2/50</f>
        <v>1890662</v>
      </c>
      <c r="Q2">
        <v>78</v>
      </c>
      <c r="R2" s="2">
        <v>45338</v>
      </c>
      <c r="S2" s="3">
        <v>188302250</v>
      </c>
      <c r="T2">
        <f t="shared" ref="T2:T26" si="1">S2/50</f>
        <v>3766045</v>
      </c>
      <c r="U2">
        <v>151</v>
      </c>
    </row>
    <row r="3" spans="1:21">
      <c r="A3" s="2">
        <v>45401</v>
      </c>
      <c r="B3" s="3">
        <v>91260750</v>
      </c>
      <c r="C3">
        <f t="shared" ref="C3:C51" si="2">B3/50</f>
        <v>1825215</v>
      </c>
      <c r="D3">
        <v>1736</v>
      </c>
      <c r="E3">
        <v>83</v>
      </c>
      <c r="I3" s="41" t="s">
        <v>201</v>
      </c>
      <c r="J3" s="41"/>
      <c r="K3" s="41"/>
      <c r="L3" s="41"/>
      <c r="N3" s="2">
        <v>45401</v>
      </c>
      <c r="O3" s="3">
        <v>91260750</v>
      </c>
      <c r="P3">
        <f t="shared" si="0"/>
        <v>1825215</v>
      </c>
      <c r="Q3">
        <v>83</v>
      </c>
      <c r="R3" s="2">
        <v>45337</v>
      </c>
      <c r="S3" s="3">
        <v>197336000</v>
      </c>
      <c r="T3">
        <f t="shared" si="1"/>
        <v>3946720</v>
      </c>
      <c r="U3">
        <v>187</v>
      </c>
    </row>
    <row r="4" spans="1:21">
      <c r="A4" s="2">
        <v>45398</v>
      </c>
      <c r="B4" s="3">
        <v>93796550</v>
      </c>
      <c r="C4">
        <f t="shared" si="2"/>
        <v>1875931</v>
      </c>
      <c r="D4">
        <v>1750</v>
      </c>
      <c r="E4">
        <v>80</v>
      </c>
      <c r="I4">
        <f>SUM(E2:E51)</f>
        <v>6199</v>
      </c>
      <c r="J4">
        <f>SUM(C2:C51)</f>
        <v>140298121</v>
      </c>
      <c r="K4">
        <f>I4/J4</f>
        <v>4.4184483411577548E-5</v>
      </c>
      <c r="L4">
        <f>(K4*(1-K4)/J4)^0.5</f>
        <v>5.6117636139920063E-7</v>
      </c>
      <c r="N4" s="2">
        <v>45398</v>
      </c>
      <c r="O4" s="3">
        <v>93796550</v>
      </c>
      <c r="P4">
        <f t="shared" si="0"/>
        <v>1875931</v>
      </c>
      <c r="Q4">
        <v>80</v>
      </c>
      <c r="R4" s="2">
        <v>45336</v>
      </c>
      <c r="S4" s="3">
        <v>272001450</v>
      </c>
      <c r="T4">
        <f t="shared" si="1"/>
        <v>5440029</v>
      </c>
      <c r="U4">
        <v>233</v>
      </c>
    </row>
    <row r="5" spans="1:21">
      <c r="A5" s="2">
        <v>45394</v>
      </c>
      <c r="B5" s="3">
        <v>94919950</v>
      </c>
      <c r="C5">
        <f t="shared" si="2"/>
        <v>1898399</v>
      </c>
      <c r="D5">
        <v>2037</v>
      </c>
      <c r="E5">
        <v>89</v>
      </c>
      <c r="N5" s="2">
        <v>45394</v>
      </c>
      <c r="O5" s="3">
        <v>94919950</v>
      </c>
      <c r="P5">
        <f t="shared" si="0"/>
        <v>1898399</v>
      </c>
      <c r="Q5">
        <v>89</v>
      </c>
      <c r="R5" s="2">
        <v>45335</v>
      </c>
      <c r="S5" s="3">
        <v>190351800</v>
      </c>
      <c r="T5">
        <f t="shared" si="1"/>
        <v>3807036</v>
      </c>
      <c r="U5">
        <v>130</v>
      </c>
    </row>
    <row r="6" spans="1:21">
      <c r="A6" s="2">
        <v>45391</v>
      </c>
      <c r="B6" s="3">
        <v>110857850</v>
      </c>
      <c r="C6">
        <f t="shared" si="2"/>
        <v>2217157</v>
      </c>
      <c r="D6">
        <v>2101</v>
      </c>
      <c r="E6">
        <v>139</v>
      </c>
      <c r="N6" s="2">
        <v>45391</v>
      </c>
      <c r="O6" s="3">
        <v>110857850</v>
      </c>
      <c r="P6">
        <f t="shared" si="0"/>
        <v>2217157</v>
      </c>
      <c r="Q6">
        <v>139</v>
      </c>
      <c r="R6" s="2">
        <v>45334</v>
      </c>
      <c r="S6" s="3">
        <v>248903050</v>
      </c>
      <c r="T6">
        <f t="shared" si="1"/>
        <v>4978061</v>
      </c>
      <c r="U6">
        <v>190</v>
      </c>
    </row>
    <row r="7" spans="1:21">
      <c r="A7" s="2">
        <v>45391</v>
      </c>
      <c r="B7" s="3">
        <v>101158800</v>
      </c>
      <c r="C7">
        <f t="shared" si="2"/>
        <v>2023176</v>
      </c>
      <c r="D7">
        <v>1686</v>
      </c>
      <c r="E7">
        <v>76</v>
      </c>
      <c r="N7" s="2">
        <v>45391</v>
      </c>
      <c r="O7" s="3">
        <v>101158800</v>
      </c>
      <c r="P7">
        <f t="shared" si="0"/>
        <v>2023176</v>
      </c>
      <c r="Q7">
        <v>76</v>
      </c>
      <c r="R7" s="2">
        <v>45333</v>
      </c>
      <c r="S7" s="3">
        <v>271083500</v>
      </c>
      <c r="T7">
        <f t="shared" si="1"/>
        <v>5421670</v>
      </c>
      <c r="U7">
        <v>178</v>
      </c>
    </row>
    <row r="8" spans="1:21">
      <c r="A8" s="2">
        <v>45384</v>
      </c>
      <c r="B8" s="3">
        <v>102237750</v>
      </c>
      <c r="C8">
        <f t="shared" si="2"/>
        <v>2044755</v>
      </c>
      <c r="D8">
        <v>1676</v>
      </c>
      <c r="E8">
        <v>77</v>
      </c>
      <c r="N8" s="2">
        <v>45384</v>
      </c>
      <c r="O8" s="3">
        <v>102237750</v>
      </c>
      <c r="P8">
        <f t="shared" si="0"/>
        <v>2044755</v>
      </c>
      <c r="Q8">
        <v>77</v>
      </c>
      <c r="R8" s="2">
        <v>45332</v>
      </c>
      <c r="S8" s="3">
        <v>311420200</v>
      </c>
      <c r="T8">
        <f t="shared" si="1"/>
        <v>6228404</v>
      </c>
      <c r="U8">
        <v>344</v>
      </c>
    </row>
    <row r="9" spans="1:21">
      <c r="A9" s="2">
        <v>45380</v>
      </c>
      <c r="B9" s="3">
        <v>98140150</v>
      </c>
      <c r="C9">
        <f t="shared" si="2"/>
        <v>1962803</v>
      </c>
      <c r="D9">
        <v>1608</v>
      </c>
      <c r="E9">
        <v>93</v>
      </c>
      <c r="N9" s="2">
        <v>45380</v>
      </c>
      <c r="O9" s="3">
        <v>98140150</v>
      </c>
      <c r="P9">
        <f t="shared" si="0"/>
        <v>1962803</v>
      </c>
      <c r="Q9">
        <v>93</v>
      </c>
      <c r="R9" s="2">
        <v>45331</v>
      </c>
      <c r="S9" s="3">
        <v>289130550</v>
      </c>
      <c r="T9">
        <f t="shared" si="1"/>
        <v>5782611</v>
      </c>
      <c r="U9">
        <v>271</v>
      </c>
    </row>
    <row r="10" spans="1:21">
      <c r="A10" s="2">
        <v>45377</v>
      </c>
      <c r="B10" s="3">
        <v>98682250</v>
      </c>
      <c r="C10">
        <f t="shared" si="2"/>
        <v>1973645</v>
      </c>
      <c r="D10">
        <v>1758</v>
      </c>
      <c r="E10">
        <v>87</v>
      </c>
      <c r="N10" s="2">
        <v>45377</v>
      </c>
      <c r="O10" s="3">
        <v>98682250</v>
      </c>
      <c r="P10">
        <f t="shared" si="0"/>
        <v>1973645</v>
      </c>
      <c r="Q10">
        <v>87</v>
      </c>
      <c r="R10" s="2">
        <v>45330</v>
      </c>
      <c r="S10" s="3">
        <v>183653950</v>
      </c>
      <c r="T10">
        <f t="shared" si="1"/>
        <v>3673079</v>
      </c>
      <c r="U10">
        <v>158</v>
      </c>
    </row>
    <row r="11" spans="1:21">
      <c r="A11" s="2">
        <v>45373</v>
      </c>
      <c r="B11" s="3">
        <v>100908850</v>
      </c>
      <c r="C11">
        <f t="shared" si="2"/>
        <v>2018177</v>
      </c>
      <c r="D11">
        <v>1537</v>
      </c>
      <c r="E11">
        <v>90</v>
      </c>
      <c r="N11" s="2">
        <v>45373</v>
      </c>
      <c r="O11" s="3">
        <v>100908850</v>
      </c>
      <c r="P11">
        <f t="shared" si="0"/>
        <v>2018177</v>
      </c>
      <c r="Q11">
        <v>90</v>
      </c>
      <c r="R11" s="2">
        <v>45329</v>
      </c>
      <c r="S11" s="3">
        <v>147109300</v>
      </c>
      <c r="T11">
        <f t="shared" si="1"/>
        <v>2942186</v>
      </c>
      <c r="U11">
        <v>109</v>
      </c>
    </row>
    <row r="12" spans="1:21">
      <c r="A12" s="2">
        <v>45370</v>
      </c>
      <c r="B12" s="3">
        <v>102852250</v>
      </c>
      <c r="C12">
        <f t="shared" si="2"/>
        <v>2057045</v>
      </c>
      <c r="D12">
        <v>1907</v>
      </c>
      <c r="E12">
        <v>111</v>
      </c>
      <c r="N12" s="2">
        <v>45370</v>
      </c>
      <c r="O12" s="3">
        <v>102852250</v>
      </c>
      <c r="P12">
        <f t="shared" si="0"/>
        <v>2057045</v>
      </c>
      <c r="Q12">
        <v>111</v>
      </c>
      <c r="R12" s="2">
        <v>45328</v>
      </c>
      <c r="S12" s="3">
        <v>215438650</v>
      </c>
      <c r="T12">
        <f t="shared" si="1"/>
        <v>4308773</v>
      </c>
      <c r="U12">
        <v>216</v>
      </c>
    </row>
    <row r="13" spans="1:21">
      <c r="A13" s="2">
        <v>45366</v>
      </c>
      <c r="B13" s="3">
        <v>102625750</v>
      </c>
      <c r="C13">
        <f t="shared" si="2"/>
        <v>2052515</v>
      </c>
      <c r="D13">
        <v>1607</v>
      </c>
      <c r="E13">
        <v>100</v>
      </c>
      <c r="N13" s="2">
        <v>45366</v>
      </c>
      <c r="O13" s="3">
        <v>102625750</v>
      </c>
      <c r="P13">
        <f t="shared" si="0"/>
        <v>2052515</v>
      </c>
      <c r="Q13">
        <v>100</v>
      </c>
      <c r="R13" s="2">
        <v>45324</v>
      </c>
      <c r="S13" s="3">
        <v>108994850</v>
      </c>
      <c r="T13">
        <f t="shared" si="1"/>
        <v>2179897</v>
      </c>
      <c r="U13">
        <v>81</v>
      </c>
    </row>
    <row r="14" spans="1:21">
      <c r="A14" s="2">
        <v>45363</v>
      </c>
      <c r="B14" s="3">
        <v>147291700</v>
      </c>
      <c r="C14">
        <f t="shared" si="2"/>
        <v>2945834</v>
      </c>
      <c r="D14">
        <v>2391</v>
      </c>
      <c r="E14">
        <v>100</v>
      </c>
      <c r="N14" s="2">
        <v>45363</v>
      </c>
      <c r="O14" s="3">
        <v>147291700</v>
      </c>
      <c r="P14">
        <f t="shared" si="0"/>
        <v>2945834</v>
      </c>
      <c r="Q14">
        <v>100</v>
      </c>
      <c r="R14" s="2">
        <v>45321</v>
      </c>
      <c r="S14" s="3">
        <v>106791850</v>
      </c>
      <c r="T14">
        <f t="shared" si="1"/>
        <v>2135837</v>
      </c>
      <c r="U14">
        <v>78</v>
      </c>
    </row>
    <row r="15" spans="1:21">
      <c r="A15" s="2">
        <v>45359</v>
      </c>
      <c r="B15" s="3">
        <v>132588250</v>
      </c>
      <c r="C15">
        <f t="shared" si="2"/>
        <v>2651765</v>
      </c>
      <c r="D15">
        <v>2237</v>
      </c>
      <c r="E15">
        <v>100</v>
      </c>
      <c r="N15" s="2">
        <v>45359</v>
      </c>
      <c r="O15" s="3">
        <v>132588250</v>
      </c>
      <c r="P15">
        <f t="shared" si="0"/>
        <v>2651765</v>
      </c>
      <c r="Q15">
        <v>100</v>
      </c>
      <c r="R15" s="2">
        <v>45317</v>
      </c>
      <c r="S15" s="3">
        <v>102419000</v>
      </c>
      <c r="T15">
        <f t="shared" si="1"/>
        <v>2048380</v>
      </c>
      <c r="U15">
        <v>69</v>
      </c>
    </row>
    <row r="16" spans="1:21">
      <c r="A16" s="2">
        <v>45356</v>
      </c>
      <c r="B16" s="3">
        <v>134655600</v>
      </c>
      <c r="C16">
        <f t="shared" si="2"/>
        <v>2693112</v>
      </c>
      <c r="D16">
        <v>2565</v>
      </c>
      <c r="E16">
        <v>143</v>
      </c>
      <c r="N16" s="2">
        <v>45356</v>
      </c>
      <c r="O16" s="3">
        <v>134655600</v>
      </c>
      <c r="P16">
        <f t="shared" si="0"/>
        <v>2693112</v>
      </c>
      <c r="Q16">
        <v>143</v>
      </c>
      <c r="R16" s="2">
        <v>45314</v>
      </c>
      <c r="S16" s="3">
        <v>92997300</v>
      </c>
      <c r="T16">
        <f t="shared" si="1"/>
        <v>1859946</v>
      </c>
      <c r="U16">
        <v>105</v>
      </c>
    </row>
    <row r="17" spans="1:21">
      <c r="A17" s="2">
        <v>45352</v>
      </c>
      <c r="B17" s="3">
        <v>119882400</v>
      </c>
      <c r="C17">
        <f t="shared" si="2"/>
        <v>2397648</v>
      </c>
      <c r="D17">
        <v>1873</v>
      </c>
      <c r="E17">
        <v>89</v>
      </c>
      <c r="N17" s="2">
        <v>45352</v>
      </c>
      <c r="O17" s="3">
        <v>119882400</v>
      </c>
      <c r="P17">
        <f t="shared" si="0"/>
        <v>2397648</v>
      </c>
      <c r="Q17">
        <v>89</v>
      </c>
      <c r="R17" s="2">
        <v>45310</v>
      </c>
      <c r="S17" s="3">
        <v>102906750</v>
      </c>
      <c r="T17">
        <f t="shared" si="1"/>
        <v>2058135</v>
      </c>
      <c r="U17">
        <v>72</v>
      </c>
    </row>
    <row r="18" spans="1:21">
      <c r="A18" s="2">
        <v>45349</v>
      </c>
      <c r="B18" s="3">
        <v>114267850</v>
      </c>
      <c r="C18">
        <f t="shared" si="2"/>
        <v>2285357</v>
      </c>
      <c r="D18">
        <v>1923</v>
      </c>
      <c r="E18">
        <v>107</v>
      </c>
      <c r="N18" s="2">
        <v>45349</v>
      </c>
      <c r="O18" s="3">
        <v>114267850</v>
      </c>
      <c r="P18">
        <f t="shared" si="0"/>
        <v>2285357</v>
      </c>
      <c r="Q18">
        <v>107</v>
      </c>
      <c r="R18" s="2">
        <v>45307</v>
      </c>
      <c r="S18" s="3">
        <v>104587000</v>
      </c>
      <c r="T18">
        <f t="shared" si="1"/>
        <v>2091740</v>
      </c>
      <c r="U18">
        <v>90</v>
      </c>
    </row>
    <row r="19" spans="1:21">
      <c r="A19" s="2">
        <v>45346</v>
      </c>
      <c r="B19" s="3">
        <v>140742000</v>
      </c>
      <c r="C19">
        <f t="shared" si="2"/>
        <v>2814840</v>
      </c>
      <c r="D19">
        <v>2466</v>
      </c>
      <c r="E19">
        <v>150</v>
      </c>
      <c r="N19" s="2">
        <v>45346</v>
      </c>
      <c r="O19" s="3">
        <v>140742000</v>
      </c>
      <c r="P19">
        <f t="shared" si="0"/>
        <v>2814840</v>
      </c>
      <c r="Q19">
        <v>150</v>
      </c>
      <c r="R19" s="2">
        <v>45303</v>
      </c>
      <c r="S19" s="3">
        <v>104749750</v>
      </c>
      <c r="T19">
        <f t="shared" si="1"/>
        <v>2094995</v>
      </c>
      <c r="U19">
        <v>91</v>
      </c>
    </row>
    <row r="20" spans="1:21">
      <c r="A20" s="2">
        <v>45345</v>
      </c>
      <c r="B20" s="3">
        <v>154793450</v>
      </c>
      <c r="C20">
        <f t="shared" si="2"/>
        <v>3095869</v>
      </c>
      <c r="D20">
        <v>2878</v>
      </c>
      <c r="E20">
        <v>153</v>
      </c>
      <c r="N20" s="2">
        <v>45345</v>
      </c>
      <c r="O20" s="3">
        <v>154793450</v>
      </c>
      <c r="P20">
        <f t="shared" si="0"/>
        <v>3095869</v>
      </c>
      <c r="Q20">
        <v>153</v>
      </c>
      <c r="R20" s="2">
        <v>45300</v>
      </c>
      <c r="S20" s="3">
        <v>104402400</v>
      </c>
      <c r="T20">
        <f t="shared" si="1"/>
        <v>2088048</v>
      </c>
      <c r="U20">
        <v>69</v>
      </c>
    </row>
    <row r="21" spans="1:21">
      <c r="A21" s="2">
        <v>45344</v>
      </c>
      <c r="B21" s="3">
        <v>136989650</v>
      </c>
      <c r="C21">
        <f t="shared" si="2"/>
        <v>2739793</v>
      </c>
      <c r="D21">
        <v>2445</v>
      </c>
      <c r="E21">
        <v>127</v>
      </c>
      <c r="N21" s="2">
        <v>45344</v>
      </c>
      <c r="O21" s="3">
        <v>136989650</v>
      </c>
      <c r="P21">
        <f t="shared" si="0"/>
        <v>2739793</v>
      </c>
      <c r="Q21">
        <v>127</v>
      </c>
      <c r="R21" s="2">
        <v>45296</v>
      </c>
      <c r="S21" s="3">
        <v>101273350</v>
      </c>
      <c r="T21">
        <f t="shared" si="1"/>
        <v>2025467</v>
      </c>
      <c r="U21">
        <v>81</v>
      </c>
    </row>
    <row r="22" spans="1:21">
      <c r="A22" s="2">
        <v>45343</v>
      </c>
      <c r="B22" s="3">
        <v>138635750</v>
      </c>
      <c r="C22">
        <f t="shared" si="2"/>
        <v>2772715</v>
      </c>
      <c r="D22">
        <v>2418</v>
      </c>
      <c r="E22">
        <v>119</v>
      </c>
      <c r="N22" s="2">
        <v>45343</v>
      </c>
      <c r="O22" s="3">
        <v>138635750</v>
      </c>
      <c r="P22">
        <f t="shared" si="0"/>
        <v>2772715</v>
      </c>
      <c r="Q22">
        <v>119</v>
      </c>
      <c r="R22" s="2">
        <v>45293</v>
      </c>
      <c r="S22" s="3">
        <v>94153750</v>
      </c>
      <c r="T22">
        <f t="shared" si="1"/>
        <v>1883075</v>
      </c>
      <c r="U22">
        <v>90</v>
      </c>
    </row>
    <row r="23" spans="1:21">
      <c r="A23" s="2">
        <v>45342</v>
      </c>
      <c r="B23" s="3">
        <v>156102700</v>
      </c>
      <c r="C23">
        <f t="shared" si="2"/>
        <v>3122054</v>
      </c>
      <c r="D23">
        <v>3003</v>
      </c>
      <c r="E23">
        <v>146</v>
      </c>
      <c r="N23" s="2">
        <v>45342</v>
      </c>
      <c r="O23" s="3">
        <v>156102700</v>
      </c>
      <c r="P23">
        <f t="shared" si="0"/>
        <v>3122054</v>
      </c>
      <c r="Q23">
        <v>146</v>
      </c>
      <c r="R23" s="2">
        <v>45289</v>
      </c>
      <c r="S23" s="3">
        <v>157827150</v>
      </c>
      <c r="T23">
        <f t="shared" si="1"/>
        <v>3156543</v>
      </c>
      <c r="U23">
        <v>156</v>
      </c>
    </row>
    <row r="24" spans="1:21">
      <c r="A24" s="2">
        <v>45341</v>
      </c>
      <c r="B24" s="3">
        <v>148157600</v>
      </c>
      <c r="C24">
        <f t="shared" si="2"/>
        <v>2963152</v>
      </c>
      <c r="D24">
        <v>2844</v>
      </c>
      <c r="E24">
        <v>133</v>
      </c>
      <c r="N24" s="2">
        <v>45341</v>
      </c>
      <c r="O24" s="3">
        <v>148157600</v>
      </c>
      <c r="P24">
        <f t="shared" si="0"/>
        <v>2963152</v>
      </c>
      <c r="Q24">
        <v>133</v>
      </c>
      <c r="R24" s="2">
        <v>45286</v>
      </c>
      <c r="S24" s="3">
        <v>97816250</v>
      </c>
      <c r="T24">
        <f t="shared" si="1"/>
        <v>1956325</v>
      </c>
      <c r="U24">
        <v>129</v>
      </c>
    </row>
    <row r="25" spans="1:21">
      <c r="A25" s="2">
        <v>45340</v>
      </c>
      <c r="B25" s="3">
        <v>151708250</v>
      </c>
      <c r="C25">
        <f t="shared" si="2"/>
        <v>3034165</v>
      </c>
      <c r="D25">
        <v>2970</v>
      </c>
      <c r="E25">
        <v>120</v>
      </c>
      <c r="N25" s="2">
        <v>45340</v>
      </c>
      <c r="O25" s="3">
        <v>151708250</v>
      </c>
      <c r="P25">
        <f t="shared" si="0"/>
        <v>3034165</v>
      </c>
      <c r="Q25">
        <v>120</v>
      </c>
      <c r="R25" s="2">
        <v>45282</v>
      </c>
      <c r="S25" s="3">
        <v>92432900</v>
      </c>
      <c r="T25">
        <f t="shared" si="1"/>
        <v>1848658</v>
      </c>
      <c r="U25">
        <v>61</v>
      </c>
    </row>
    <row r="26" spans="1:21">
      <c r="A26" s="2">
        <v>45339</v>
      </c>
      <c r="B26" s="3">
        <v>164832950</v>
      </c>
      <c r="C26">
        <f t="shared" si="2"/>
        <v>3296659</v>
      </c>
      <c r="D26">
        <v>2931</v>
      </c>
      <c r="E26">
        <v>148</v>
      </c>
      <c r="N26" s="2">
        <v>45339</v>
      </c>
      <c r="O26" s="3">
        <v>164832950</v>
      </c>
      <c r="P26">
        <f t="shared" si="0"/>
        <v>3296659</v>
      </c>
      <c r="Q26">
        <v>148</v>
      </c>
      <c r="R26" s="2">
        <v>45279</v>
      </c>
      <c r="S26" s="3">
        <v>96200900</v>
      </c>
      <c r="T26">
        <f t="shared" si="1"/>
        <v>1924018</v>
      </c>
      <c r="U26">
        <v>122</v>
      </c>
    </row>
    <row r="27" spans="1:21">
      <c r="A27" s="2">
        <v>45338</v>
      </c>
      <c r="B27" s="3">
        <v>188302250</v>
      </c>
      <c r="C27">
        <f t="shared" si="2"/>
        <v>3766045</v>
      </c>
      <c r="D27">
        <v>2846</v>
      </c>
      <c r="E27">
        <v>151</v>
      </c>
    </row>
    <row r="28" spans="1:21">
      <c r="A28" s="2">
        <v>45337</v>
      </c>
      <c r="B28" s="3">
        <v>197336000</v>
      </c>
      <c r="C28">
        <f t="shared" si="2"/>
        <v>3946720</v>
      </c>
      <c r="D28">
        <v>3977</v>
      </c>
      <c r="E28">
        <v>187</v>
      </c>
    </row>
    <row r="29" spans="1:21">
      <c r="A29" s="2">
        <v>45336</v>
      </c>
      <c r="B29" s="3">
        <v>272001450</v>
      </c>
      <c r="C29">
        <f t="shared" si="2"/>
        <v>5440029</v>
      </c>
      <c r="D29">
        <v>5332</v>
      </c>
      <c r="E29">
        <v>233</v>
      </c>
    </row>
    <row r="30" spans="1:21">
      <c r="A30" s="2">
        <v>45335</v>
      </c>
      <c r="B30" s="3">
        <v>190351800</v>
      </c>
      <c r="C30">
        <f t="shared" si="2"/>
        <v>3807036</v>
      </c>
      <c r="D30">
        <v>3120</v>
      </c>
      <c r="E30">
        <v>130</v>
      </c>
    </row>
    <row r="31" spans="1:21">
      <c r="A31" s="2">
        <v>45334</v>
      </c>
      <c r="B31" s="3">
        <v>248903050</v>
      </c>
      <c r="C31">
        <f t="shared" si="2"/>
        <v>4978061</v>
      </c>
      <c r="D31">
        <v>3965</v>
      </c>
      <c r="E31">
        <v>190</v>
      </c>
    </row>
    <row r="32" spans="1:21">
      <c r="A32" s="2">
        <v>45333</v>
      </c>
      <c r="B32" s="3">
        <v>271083500</v>
      </c>
      <c r="C32">
        <f t="shared" si="2"/>
        <v>5421670</v>
      </c>
      <c r="D32">
        <v>4520</v>
      </c>
      <c r="E32">
        <v>178</v>
      </c>
    </row>
    <row r="33" spans="1:5">
      <c r="A33" s="2">
        <v>45332</v>
      </c>
      <c r="B33" s="3">
        <v>311420200</v>
      </c>
      <c r="C33">
        <f t="shared" si="2"/>
        <v>6228404</v>
      </c>
      <c r="D33">
        <v>6475</v>
      </c>
      <c r="E33">
        <v>344</v>
      </c>
    </row>
    <row r="34" spans="1:5">
      <c r="A34" s="2">
        <v>45331</v>
      </c>
      <c r="B34" s="3">
        <v>289130550</v>
      </c>
      <c r="C34">
        <f t="shared" si="2"/>
        <v>5782611</v>
      </c>
      <c r="D34">
        <v>5955</v>
      </c>
      <c r="E34">
        <v>271</v>
      </c>
    </row>
    <row r="35" spans="1:5">
      <c r="A35" s="2">
        <v>45330</v>
      </c>
      <c r="B35" s="3">
        <v>183653950</v>
      </c>
      <c r="C35">
        <f t="shared" si="2"/>
        <v>3673079</v>
      </c>
      <c r="D35">
        <v>3322</v>
      </c>
      <c r="E35">
        <v>158</v>
      </c>
    </row>
    <row r="36" spans="1:5">
      <c r="A36" s="2">
        <v>45329</v>
      </c>
      <c r="B36" s="3">
        <v>147109300</v>
      </c>
      <c r="C36">
        <f t="shared" si="2"/>
        <v>2942186</v>
      </c>
      <c r="D36">
        <v>2488</v>
      </c>
      <c r="E36">
        <v>109</v>
      </c>
    </row>
    <row r="37" spans="1:5">
      <c r="A37" s="2">
        <v>45328</v>
      </c>
      <c r="B37" s="3">
        <v>215438650</v>
      </c>
      <c r="C37">
        <f t="shared" si="2"/>
        <v>4308773</v>
      </c>
      <c r="D37">
        <v>3845</v>
      </c>
      <c r="E37">
        <v>216</v>
      </c>
    </row>
    <row r="38" spans="1:5">
      <c r="A38" s="2">
        <v>45324</v>
      </c>
      <c r="B38" s="3">
        <v>108994850</v>
      </c>
      <c r="C38">
        <f t="shared" si="2"/>
        <v>2179897</v>
      </c>
      <c r="D38">
        <v>2302</v>
      </c>
      <c r="E38">
        <v>81</v>
      </c>
    </row>
    <row r="39" spans="1:5">
      <c r="A39" s="2">
        <v>45321</v>
      </c>
      <c r="B39" s="3">
        <v>106791850</v>
      </c>
      <c r="C39">
        <f t="shared" si="2"/>
        <v>2135837</v>
      </c>
      <c r="D39">
        <v>1842</v>
      </c>
      <c r="E39">
        <v>78</v>
      </c>
    </row>
    <row r="40" spans="1:5">
      <c r="A40" s="2">
        <v>45317</v>
      </c>
      <c r="B40" s="3">
        <v>102419000</v>
      </c>
      <c r="C40">
        <f t="shared" si="2"/>
        <v>2048380</v>
      </c>
      <c r="D40">
        <v>1604</v>
      </c>
      <c r="E40">
        <v>69</v>
      </c>
    </row>
    <row r="41" spans="1:5">
      <c r="A41" s="2">
        <v>45314</v>
      </c>
      <c r="B41" s="3">
        <v>92997300</v>
      </c>
      <c r="C41">
        <f t="shared" si="2"/>
        <v>1859946</v>
      </c>
      <c r="D41">
        <v>1712</v>
      </c>
      <c r="E41">
        <v>105</v>
      </c>
    </row>
    <row r="42" spans="1:5">
      <c r="A42" s="2">
        <v>45310</v>
      </c>
      <c r="B42" s="3">
        <v>102906750</v>
      </c>
      <c r="C42">
        <f t="shared" si="2"/>
        <v>2058135</v>
      </c>
      <c r="D42">
        <v>2054</v>
      </c>
      <c r="E42">
        <v>72</v>
      </c>
    </row>
    <row r="43" spans="1:5">
      <c r="A43" s="2">
        <v>45307</v>
      </c>
      <c r="B43" s="3">
        <v>104587000</v>
      </c>
      <c r="C43">
        <f t="shared" si="2"/>
        <v>2091740</v>
      </c>
      <c r="D43">
        <v>1969</v>
      </c>
      <c r="E43">
        <v>90</v>
      </c>
    </row>
    <row r="44" spans="1:5">
      <c r="A44" s="2">
        <v>45303</v>
      </c>
      <c r="B44" s="3">
        <v>104749750</v>
      </c>
      <c r="C44">
        <f t="shared" si="2"/>
        <v>2094995</v>
      </c>
      <c r="D44">
        <v>1719</v>
      </c>
      <c r="E44">
        <v>91</v>
      </c>
    </row>
    <row r="45" spans="1:5">
      <c r="A45" s="2">
        <v>45300</v>
      </c>
      <c r="B45" s="3">
        <v>104402400</v>
      </c>
      <c r="C45">
        <f t="shared" si="2"/>
        <v>2088048</v>
      </c>
      <c r="D45">
        <v>1759</v>
      </c>
      <c r="E45">
        <v>69</v>
      </c>
    </row>
    <row r="46" spans="1:5">
      <c r="A46" s="2">
        <v>45296</v>
      </c>
      <c r="B46" s="3">
        <v>101273350</v>
      </c>
      <c r="C46">
        <f t="shared" si="2"/>
        <v>2025467</v>
      </c>
      <c r="D46">
        <v>1686</v>
      </c>
      <c r="E46">
        <v>81</v>
      </c>
    </row>
    <row r="47" spans="1:5">
      <c r="A47" s="2">
        <v>45293</v>
      </c>
      <c r="B47" s="3">
        <v>94153750</v>
      </c>
      <c r="C47">
        <f t="shared" si="2"/>
        <v>1883075</v>
      </c>
      <c r="D47">
        <v>1708</v>
      </c>
      <c r="E47">
        <v>90</v>
      </c>
    </row>
    <row r="48" spans="1:5">
      <c r="A48" s="2">
        <v>45289</v>
      </c>
      <c r="B48" s="3">
        <v>157827150</v>
      </c>
      <c r="C48">
        <f t="shared" si="2"/>
        <v>3156543</v>
      </c>
      <c r="D48">
        <v>2843</v>
      </c>
      <c r="E48">
        <v>156</v>
      </c>
    </row>
    <row r="49" spans="1:6">
      <c r="A49" s="2">
        <v>45286</v>
      </c>
      <c r="B49" s="3">
        <v>97816250</v>
      </c>
      <c r="C49">
        <f t="shared" si="2"/>
        <v>1956325</v>
      </c>
      <c r="D49">
        <v>1782</v>
      </c>
      <c r="E49">
        <v>129</v>
      </c>
    </row>
    <row r="50" spans="1:6">
      <c r="A50" s="2">
        <v>45282</v>
      </c>
      <c r="B50" s="3">
        <v>92432900</v>
      </c>
      <c r="C50">
        <f t="shared" si="2"/>
        <v>1848658</v>
      </c>
      <c r="D50">
        <v>1366</v>
      </c>
      <c r="E50">
        <v>61</v>
      </c>
    </row>
    <row r="51" spans="1:6">
      <c r="A51" s="2">
        <v>45279</v>
      </c>
      <c r="B51" s="3">
        <v>96200900</v>
      </c>
      <c r="C51">
        <f t="shared" si="2"/>
        <v>1924018</v>
      </c>
      <c r="D51">
        <v>1501</v>
      </c>
      <c r="E51">
        <v>122</v>
      </c>
    </row>
    <row r="56" spans="1:6">
      <c r="A56" s="4"/>
      <c r="B56" s="5"/>
      <c r="E56" s="4"/>
      <c r="F56" s="5"/>
    </row>
    <row r="57" spans="1:6">
      <c r="A57" s="4"/>
      <c r="B57" s="5"/>
      <c r="E57" s="4"/>
      <c r="F57" s="5"/>
    </row>
    <row r="58" spans="1:6">
      <c r="A58" s="4"/>
      <c r="B58" s="5"/>
      <c r="E58" s="4"/>
      <c r="F58" s="5"/>
    </row>
    <row r="59" spans="1:6">
      <c r="A59" s="4"/>
      <c r="B59" s="5"/>
      <c r="E59" s="4"/>
      <c r="F59" s="5"/>
    </row>
    <row r="60" spans="1:6">
      <c r="A60" s="4"/>
      <c r="B60" s="5"/>
      <c r="E60" s="4"/>
      <c r="F60" s="5"/>
    </row>
    <row r="61" spans="1:6">
      <c r="A61" s="4"/>
      <c r="B61" s="5"/>
      <c r="E61" s="4"/>
      <c r="F61" s="5"/>
    </row>
    <row r="62" spans="1:6">
      <c r="A62" s="4"/>
      <c r="B62" s="5"/>
      <c r="E62" s="4"/>
      <c r="F62" s="5"/>
    </row>
    <row r="63" spans="1:6">
      <c r="A63" s="4"/>
      <c r="B63" s="5"/>
      <c r="E63" s="4"/>
      <c r="F63" s="5"/>
    </row>
    <row r="64" spans="1:6">
      <c r="A64" s="4"/>
      <c r="B64" s="5"/>
      <c r="E64" s="4"/>
      <c r="F64" s="5"/>
    </row>
    <row r="65" spans="1:6">
      <c r="A65" s="4"/>
      <c r="B65" s="5"/>
      <c r="E65" s="4"/>
      <c r="F65" s="5"/>
    </row>
    <row r="66" spans="1:6">
      <c r="A66" s="4"/>
      <c r="B66" s="5"/>
      <c r="E66" s="4"/>
      <c r="F66" s="5"/>
    </row>
    <row r="67" spans="1:6">
      <c r="A67" s="4"/>
      <c r="B67" s="5"/>
      <c r="E67" s="4"/>
      <c r="F67" s="5"/>
    </row>
    <row r="68" spans="1:6">
      <c r="A68" s="4"/>
      <c r="B68" s="5"/>
      <c r="E68" s="4"/>
      <c r="F68" s="5"/>
    </row>
    <row r="69" spans="1:6">
      <c r="A69" s="4"/>
      <c r="B69" s="5"/>
      <c r="E69" s="4"/>
      <c r="F69" s="5"/>
    </row>
    <row r="70" spans="1:6">
      <c r="A70" s="4"/>
      <c r="B70" s="5"/>
      <c r="E70" s="4"/>
      <c r="F70" s="5"/>
    </row>
    <row r="71" spans="1:6">
      <c r="A71" s="4"/>
      <c r="B71" s="5"/>
      <c r="E71" s="4"/>
      <c r="F71" s="5"/>
    </row>
    <row r="72" spans="1:6">
      <c r="A72" s="4"/>
      <c r="B72" s="5"/>
      <c r="E72" s="4"/>
      <c r="F72" s="5"/>
    </row>
    <row r="73" spans="1:6">
      <c r="A73" s="4"/>
      <c r="B73" s="5"/>
      <c r="E73" s="4"/>
      <c r="F73" s="5"/>
    </row>
    <row r="74" spans="1:6">
      <c r="A74" s="4"/>
      <c r="B74" s="5"/>
      <c r="E74" s="4"/>
      <c r="F74" s="5"/>
    </row>
    <row r="75" spans="1:6">
      <c r="A75" s="4"/>
      <c r="B75" s="5"/>
      <c r="E75" s="4"/>
      <c r="F75" s="5"/>
    </row>
    <row r="76" spans="1:6">
      <c r="A76" s="4"/>
      <c r="B76" s="5"/>
      <c r="E76" s="4"/>
      <c r="F76" s="5"/>
    </row>
    <row r="77" spans="1:6">
      <c r="A77" s="4"/>
      <c r="B77" s="5"/>
      <c r="E77" s="4"/>
      <c r="F77" s="5"/>
    </row>
    <row r="78" spans="1:6">
      <c r="A78" s="4"/>
      <c r="B78" s="5"/>
      <c r="E78" s="4"/>
      <c r="F78" s="5"/>
    </row>
    <row r="79" spans="1:6">
      <c r="A79" s="4"/>
      <c r="B79" s="5"/>
      <c r="E79" s="4"/>
      <c r="F79" s="5"/>
    </row>
    <row r="80" spans="1:6">
      <c r="A80" s="4"/>
      <c r="B80" s="5"/>
      <c r="E80" s="4"/>
      <c r="F80" s="5"/>
    </row>
  </sheetData>
  <mergeCells count="1">
    <mergeCell ref="I3:L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0FA4-2A47-4B5E-89CE-0CF882F89325}">
  <dimension ref="A1:T51"/>
  <sheetViews>
    <sheetView workbookViewId="0">
      <selection activeCell="J2" sqref="J2"/>
    </sheetView>
  </sheetViews>
  <sheetFormatPr defaultRowHeight="16.5"/>
  <cols>
    <col min="1" max="1" width="10.125" customWidth="1"/>
    <col min="2" max="2" width="19.25" hidden="1" customWidth="1"/>
    <col min="4" max="4" width="11.375" customWidth="1"/>
    <col min="5" max="5" width="12.875" bestFit="1" customWidth="1"/>
    <col min="6" max="6" width="13.125" customWidth="1"/>
    <col min="7" max="7" width="14.25" customWidth="1"/>
    <col min="8" max="8" width="9" hidden="1" customWidth="1"/>
    <col min="9" max="9" width="12.875" hidden="1" customWidth="1"/>
    <col min="10" max="10" width="6.75" style="8" customWidth="1"/>
    <col min="11" max="11" width="9.375" customWidth="1"/>
    <col min="12" max="12" width="10.125" customWidth="1"/>
  </cols>
  <sheetData>
    <row r="1" spans="1:20">
      <c r="A1" t="s">
        <v>2</v>
      </c>
      <c r="B1" s="3" t="s">
        <v>1</v>
      </c>
      <c r="C1" t="s">
        <v>3</v>
      </c>
      <c r="D1" t="s">
        <v>126</v>
      </c>
      <c r="E1" t="s">
        <v>9</v>
      </c>
      <c r="F1" t="s">
        <v>34</v>
      </c>
      <c r="G1" t="s">
        <v>35</v>
      </c>
      <c r="H1" t="s">
        <v>10</v>
      </c>
      <c r="I1" t="s">
        <v>11</v>
      </c>
      <c r="J1" s="8" t="s">
        <v>28</v>
      </c>
      <c r="K1" s="9" t="s">
        <v>30</v>
      </c>
      <c r="L1" s="9" t="s">
        <v>31</v>
      </c>
      <c r="M1" s="6" t="s">
        <v>32</v>
      </c>
      <c r="Q1" t="s">
        <v>29</v>
      </c>
      <c r="R1">
        <v>0.2</v>
      </c>
      <c r="S1">
        <v>0.5</v>
      </c>
      <c r="T1">
        <v>0.8</v>
      </c>
    </row>
    <row r="2" spans="1:20">
      <c r="A2" s="2">
        <v>45405</v>
      </c>
      <c r="B2" s="3">
        <v>94533100</v>
      </c>
      <c r="C2">
        <f>B2/50</f>
        <v>1890662</v>
      </c>
      <c r="D2">
        <v>78</v>
      </c>
      <c r="E2" s="1">
        <f>COMBIN(6,4)*COMBIN(42,1)/COMBIN(49,6)</f>
        <v>4.5052080204716649E-5</v>
      </c>
      <c r="F2">
        <f>_xlfn.BINOM.INV(C2,E2,0.05)</f>
        <v>70</v>
      </c>
      <c r="G2">
        <f>_xlfn.BINOM.INV(C2,E2,0.95)</f>
        <v>101</v>
      </c>
      <c r="H2" t="str">
        <f>IF(OR(D2&lt;F2,D2&gt;G2),"reject","accept")</f>
        <v>accept</v>
      </c>
      <c r="I2">
        <f>IF(_xlfn.BINOM.DIST(D2,C2,E2,1)&lt;0.5,_xlfn.BINOM.DIST(D2,C2,E2,1)*2,(1-_xlfn.BINOM.DIST(D2,C2,E2,1))*2)</f>
        <v>0.47456882219090618</v>
      </c>
      <c r="J2">
        <f>COMBIN(6,4)*COMBIN(42,1)/COMBIN(48,5)</f>
        <v>3.6792532167185269E-4</v>
      </c>
      <c r="K2">
        <f t="shared" ref="K2:K33" si="0">_xlfn.BINOM.DIST(F2,C2,J2,1)</f>
        <v>6.0782042807248856E-204</v>
      </c>
      <c r="L2">
        <f t="shared" ref="L2:L33" si="1">_xlfn.BINOM.DIST(G2,C2,J2,1)</f>
        <v>1.0661121438516243E-175</v>
      </c>
      <c r="M2">
        <f>L2-K2</f>
        <v>1.0661121438516243E-175</v>
      </c>
      <c r="Q2">
        <v>1</v>
      </c>
      <c r="R2">
        <f>_xlfn.BINOM.DIST($Q2,50,R$1,0)</f>
        <v>1.7840596158824487E-4</v>
      </c>
      <c r="S2">
        <f t="shared" ref="S2:T17" si="2">_xlfn.BINOM.DIST($Q2,50,S$1,0)</f>
        <v>4.4408920985006533E-14</v>
      </c>
      <c r="T2">
        <f t="shared" si="2"/>
        <v>2.2517998136852134E-33</v>
      </c>
    </row>
    <row r="3" spans="1:20">
      <c r="A3" s="2">
        <v>45401</v>
      </c>
      <c r="B3" s="3">
        <v>91260750</v>
      </c>
      <c r="C3">
        <f t="shared" ref="C3:C51" si="3">B3/50</f>
        <v>1825215</v>
      </c>
      <c r="D3">
        <v>83</v>
      </c>
      <c r="E3" s="38">
        <f t="shared" ref="E3:E51" si="4">COMBIN(6,4)*COMBIN(42,1)/COMBIN(49,6)</f>
        <v>4.5052080204716649E-5</v>
      </c>
      <c r="F3">
        <f t="shared" ref="F3:F51" si="5">_xlfn.BINOM.INV(C3,E3,0.05)</f>
        <v>68</v>
      </c>
      <c r="G3">
        <f t="shared" ref="G3:G51" si="6">_xlfn.BINOM.INV(C3,E3,0.95)</f>
        <v>97</v>
      </c>
      <c r="H3" t="str">
        <f t="shared" ref="H3:H51" si="7">IF(OR(D3&lt;F3,D3&gt;G3),"reject","accept")</f>
        <v>accept</v>
      </c>
      <c r="I3">
        <f t="shared" ref="I3:I51" si="8">IF(_xlfn.BINOM.DIST(D3,C3,E3,1)&lt;0.5,_xlfn.BINOM.DIST(D3,C3,E3,1)*2,(1-_xlfn.BINOM.DIST(D3,C3,E3,1))*2)</f>
        <v>0.87439099799514608</v>
      </c>
      <c r="J3">
        <f t="shared" ref="J3:J51" si="9">COMBIN(6,4)*COMBIN(42,1)/COMBIN(48,5)</f>
        <v>3.6792532167185269E-4</v>
      </c>
      <c r="K3">
        <f t="shared" si="0"/>
        <v>1.5927357066054724E-196</v>
      </c>
      <c r="L3">
        <f t="shared" si="1"/>
        <v>4.2072479410444267E-170</v>
      </c>
      <c r="M3">
        <f t="shared" ref="M3:M51" si="10">L3-K3</f>
        <v>4.2072479410444267E-170</v>
      </c>
      <c r="Q3">
        <v>2</v>
      </c>
      <c r="R3">
        <f t="shared" ref="R3:T51" si="11">_xlfn.BINOM.DIST($Q3,50,R$1,0)</f>
        <v>1.0927365147280013E-3</v>
      </c>
      <c r="S3">
        <f t="shared" si="2"/>
        <v>1.0880185641326522E-12</v>
      </c>
      <c r="T3">
        <f t="shared" si="2"/>
        <v>2.2067638174115406E-31</v>
      </c>
    </row>
    <row r="4" spans="1:20">
      <c r="A4" s="2">
        <v>45398</v>
      </c>
      <c r="B4" s="3">
        <v>93796550</v>
      </c>
      <c r="C4">
        <f t="shared" si="3"/>
        <v>1875931</v>
      </c>
      <c r="D4">
        <v>80</v>
      </c>
      <c r="E4" s="38">
        <f t="shared" si="4"/>
        <v>4.5052080204716649E-5</v>
      </c>
      <c r="F4">
        <f t="shared" si="5"/>
        <v>70</v>
      </c>
      <c r="G4">
        <f t="shared" si="6"/>
        <v>100</v>
      </c>
      <c r="H4" t="str">
        <f t="shared" si="7"/>
        <v>accept</v>
      </c>
      <c r="I4">
        <f t="shared" si="8"/>
        <v>0.6730774871235643</v>
      </c>
      <c r="J4">
        <f t="shared" si="9"/>
        <v>3.6792532167185269E-4</v>
      </c>
      <c r="K4">
        <f t="shared" si="0"/>
        <v>7.9547760327740623E-202</v>
      </c>
      <c r="L4">
        <f t="shared" si="1"/>
        <v>1.5996067942792572E-174</v>
      </c>
      <c r="M4">
        <f t="shared" si="10"/>
        <v>1.5996067942792572E-174</v>
      </c>
      <c r="Q4">
        <v>3</v>
      </c>
      <c r="R4">
        <f t="shared" si="11"/>
        <v>4.3709460589120034E-3</v>
      </c>
      <c r="S4">
        <f t="shared" si="2"/>
        <v>1.7408297026122522E-11</v>
      </c>
      <c r="T4">
        <f t="shared" si="2"/>
        <v>1.4123288431433782E-29</v>
      </c>
    </row>
    <row r="5" spans="1:20">
      <c r="A5" s="2">
        <v>45394</v>
      </c>
      <c r="B5" s="3">
        <v>94919950</v>
      </c>
      <c r="C5">
        <f t="shared" si="3"/>
        <v>1898399</v>
      </c>
      <c r="D5">
        <v>89</v>
      </c>
      <c r="E5" s="38">
        <f t="shared" si="4"/>
        <v>4.5052080204716649E-5</v>
      </c>
      <c r="F5">
        <f t="shared" si="5"/>
        <v>71</v>
      </c>
      <c r="G5">
        <f t="shared" si="6"/>
        <v>101</v>
      </c>
      <c r="H5" t="str">
        <f t="shared" si="7"/>
        <v>accept</v>
      </c>
      <c r="I5">
        <f t="shared" si="8"/>
        <v>0.65684333196739253</v>
      </c>
      <c r="J5">
        <f t="shared" si="9"/>
        <v>3.6792532167185269E-4</v>
      </c>
      <c r="K5">
        <f t="shared" si="0"/>
        <v>4.6232595684222155E-204</v>
      </c>
      <c r="L5">
        <f t="shared" si="1"/>
        <v>9.3354506598699008E-177</v>
      </c>
      <c r="M5">
        <f t="shared" si="10"/>
        <v>9.3354506598699008E-177</v>
      </c>
      <c r="Q5">
        <v>4</v>
      </c>
      <c r="R5">
        <f t="shared" si="11"/>
        <v>1.2839654048054015E-2</v>
      </c>
      <c r="S5">
        <f t="shared" si="2"/>
        <v>2.0454749005693866E-10</v>
      </c>
      <c r="T5">
        <f t="shared" si="2"/>
        <v>6.6379455627738944E-28</v>
      </c>
    </row>
    <row r="6" spans="1:20">
      <c r="A6" s="2">
        <v>45391</v>
      </c>
      <c r="B6" s="3">
        <v>110857850</v>
      </c>
      <c r="C6">
        <f t="shared" si="3"/>
        <v>2217157</v>
      </c>
      <c r="D6">
        <v>139</v>
      </c>
      <c r="E6" s="38">
        <f t="shared" si="4"/>
        <v>4.5052080204716649E-5</v>
      </c>
      <c r="F6">
        <f t="shared" si="5"/>
        <v>84</v>
      </c>
      <c r="G6">
        <f t="shared" si="6"/>
        <v>117</v>
      </c>
      <c r="H6" t="str">
        <f t="shared" si="7"/>
        <v>reject</v>
      </c>
      <c r="I6">
        <f t="shared" si="8"/>
        <v>1.7471416072289969E-4</v>
      </c>
      <c r="J6">
        <f t="shared" si="9"/>
        <v>3.6792532167185269E-4</v>
      </c>
      <c r="K6">
        <f t="shared" si="0"/>
        <v>5.8891173339774527E-237</v>
      </c>
      <c r="L6">
        <f t="shared" si="1"/>
        <v>6.2752200411280044E-207</v>
      </c>
      <c r="M6">
        <f t="shared" si="10"/>
        <v>6.2752200411280044E-207</v>
      </c>
      <c r="Q6">
        <v>5</v>
      </c>
      <c r="R6">
        <f t="shared" si="11"/>
        <v>2.9531204310524199E-2</v>
      </c>
      <c r="S6">
        <f t="shared" si="2"/>
        <v>1.8818369085238295E-9</v>
      </c>
      <c r="T6">
        <f t="shared" si="2"/>
        <v>2.4427639671007857E-26</v>
      </c>
    </row>
    <row r="7" spans="1:20">
      <c r="A7" s="2">
        <v>45391</v>
      </c>
      <c r="B7" s="3">
        <v>101158800</v>
      </c>
      <c r="C7">
        <f t="shared" si="3"/>
        <v>2023176</v>
      </c>
      <c r="D7">
        <v>76</v>
      </c>
      <c r="E7" s="38">
        <f t="shared" si="4"/>
        <v>4.5052080204716649E-5</v>
      </c>
      <c r="F7">
        <f t="shared" si="5"/>
        <v>76</v>
      </c>
      <c r="G7">
        <f t="shared" si="6"/>
        <v>107</v>
      </c>
      <c r="H7" t="str">
        <f t="shared" si="7"/>
        <v>accept</v>
      </c>
      <c r="I7">
        <f t="shared" si="8"/>
        <v>0.11864781440025418</v>
      </c>
      <c r="J7">
        <f t="shared" si="9"/>
        <v>3.6792532167185269E-4</v>
      </c>
      <c r="K7">
        <f t="shared" si="0"/>
        <v>5.0174093344942322E-217</v>
      </c>
      <c r="L7">
        <f t="shared" si="1"/>
        <v>8.6646428153999221E-189</v>
      </c>
      <c r="M7">
        <f t="shared" si="10"/>
        <v>8.6646428153999221E-189</v>
      </c>
      <c r="Q7">
        <v>6</v>
      </c>
      <c r="R7">
        <f t="shared" si="11"/>
        <v>5.53710080822329E-2</v>
      </c>
      <c r="S7">
        <f t="shared" si="2"/>
        <v>1.411377681392873E-8</v>
      </c>
      <c r="T7">
        <f t="shared" si="2"/>
        <v>7.3282919013024146E-25</v>
      </c>
    </row>
    <row r="8" spans="1:20">
      <c r="A8" s="2">
        <v>45384</v>
      </c>
      <c r="B8" s="3">
        <v>102237750</v>
      </c>
      <c r="C8">
        <f t="shared" si="3"/>
        <v>2044755</v>
      </c>
      <c r="D8">
        <v>77</v>
      </c>
      <c r="E8" s="38">
        <f t="shared" si="4"/>
        <v>4.5052080204716649E-5</v>
      </c>
      <c r="F8">
        <f t="shared" si="5"/>
        <v>77</v>
      </c>
      <c r="G8">
        <f t="shared" si="6"/>
        <v>108</v>
      </c>
      <c r="H8" t="str">
        <f t="shared" si="7"/>
        <v>accept</v>
      </c>
      <c r="I8">
        <f t="shared" si="8"/>
        <v>0.12146387017674702</v>
      </c>
      <c r="J8">
        <f t="shared" si="9"/>
        <v>3.6792532167185269E-4</v>
      </c>
      <c r="K8">
        <f t="shared" si="0"/>
        <v>3.9096917269802496E-219</v>
      </c>
      <c r="L8">
        <f t="shared" si="1"/>
        <v>6.6849840718439164E-191</v>
      </c>
      <c r="M8">
        <f t="shared" si="10"/>
        <v>6.6849840718439164E-191</v>
      </c>
      <c r="Q8">
        <v>7</v>
      </c>
      <c r="R8">
        <f t="shared" si="11"/>
        <v>8.7011584129223107E-2</v>
      </c>
      <c r="S8">
        <f t="shared" si="2"/>
        <v>8.8715168544695043E-8</v>
      </c>
      <c r="T8">
        <f t="shared" si="2"/>
        <v>1.8425419637560265E-23</v>
      </c>
    </row>
    <row r="9" spans="1:20">
      <c r="A9" s="2">
        <v>45380</v>
      </c>
      <c r="B9" s="3">
        <v>98140150</v>
      </c>
      <c r="C9">
        <f t="shared" si="3"/>
        <v>1962803</v>
      </c>
      <c r="D9">
        <v>93</v>
      </c>
      <c r="E9" s="38">
        <f t="shared" si="4"/>
        <v>4.5052080204716649E-5</v>
      </c>
      <c r="F9">
        <f t="shared" si="5"/>
        <v>73</v>
      </c>
      <c r="G9">
        <f t="shared" si="6"/>
        <v>104</v>
      </c>
      <c r="H9" t="str">
        <f t="shared" si="7"/>
        <v>accept</v>
      </c>
      <c r="I9">
        <f t="shared" si="8"/>
        <v>0.58102825891904009</v>
      </c>
      <c r="J9">
        <f t="shared" si="9"/>
        <v>3.6792532167185269E-4</v>
      </c>
      <c r="K9">
        <f t="shared" si="0"/>
        <v>2.4972410422180318E-211</v>
      </c>
      <c r="L9">
        <f t="shared" si="1"/>
        <v>4.7671999307564657E-183</v>
      </c>
      <c r="M9">
        <f t="shared" si="10"/>
        <v>4.7671999307564657E-183</v>
      </c>
      <c r="Q9">
        <v>8</v>
      </c>
      <c r="R9">
        <f t="shared" si="11"/>
        <v>0.11692181617364354</v>
      </c>
      <c r="S9">
        <f t="shared" si="2"/>
        <v>4.7684403092773685E-7</v>
      </c>
      <c r="T9">
        <f t="shared" si="2"/>
        <v>3.961465222075416E-22</v>
      </c>
    </row>
    <row r="10" spans="1:20">
      <c r="A10" s="2">
        <v>45377</v>
      </c>
      <c r="B10" s="3">
        <v>98682250</v>
      </c>
      <c r="C10">
        <f t="shared" si="3"/>
        <v>1973645</v>
      </c>
      <c r="D10">
        <v>87</v>
      </c>
      <c r="E10" s="38">
        <f t="shared" si="4"/>
        <v>4.5052080204716649E-5</v>
      </c>
      <c r="F10">
        <f t="shared" si="5"/>
        <v>74</v>
      </c>
      <c r="G10">
        <f t="shared" si="6"/>
        <v>105</v>
      </c>
      <c r="H10" t="str">
        <f t="shared" si="7"/>
        <v>accept</v>
      </c>
      <c r="I10">
        <f t="shared" si="8"/>
        <v>0.89426281802701357</v>
      </c>
      <c r="J10">
        <f t="shared" si="9"/>
        <v>3.6792532167185269E-4</v>
      </c>
      <c r="K10">
        <f t="shared" si="0"/>
        <v>6.7873673023801921E-212</v>
      </c>
      <c r="L10">
        <f t="shared" si="1"/>
        <v>1.0829435788301043E-183</v>
      </c>
      <c r="M10">
        <f t="shared" si="10"/>
        <v>1.0829435788301043E-183</v>
      </c>
      <c r="Q10">
        <v>9</v>
      </c>
      <c r="R10">
        <f t="shared" si="11"/>
        <v>0.13640878553591748</v>
      </c>
      <c r="S10">
        <f t="shared" si="2"/>
        <v>2.225272144329444E-6</v>
      </c>
      <c r="T10">
        <f t="shared" si="2"/>
        <v>7.3947350812074757E-21</v>
      </c>
    </row>
    <row r="11" spans="1:20">
      <c r="A11" s="2">
        <v>45373</v>
      </c>
      <c r="B11" s="3">
        <v>100908850</v>
      </c>
      <c r="C11">
        <f t="shared" si="3"/>
        <v>2018177</v>
      </c>
      <c r="D11">
        <v>90</v>
      </c>
      <c r="E11" s="38">
        <f t="shared" si="4"/>
        <v>4.5052080204716649E-5</v>
      </c>
      <c r="F11">
        <f t="shared" si="5"/>
        <v>76</v>
      </c>
      <c r="G11">
        <f t="shared" si="6"/>
        <v>107</v>
      </c>
      <c r="H11" t="str">
        <f t="shared" si="7"/>
        <v>accept</v>
      </c>
      <c r="I11">
        <f t="shared" si="8"/>
        <v>0.97854734834005619</v>
      </c>
      <c r="J11">
        <f t="shared" si="9"/>
        <v>3.6792532167185269E-4</v>
      </c>
      <c r="K11">
        <f t="shared" si="0"/>
        <v>2.6174082726666914E-216</v>
      </c>
      <c r="L11">
        <f t="shared" si="1"/>
        <v>4.1868976871292683E-188</v>
      </c>
      <c r="M11">
        <f t="shared" si="10"/>
        <v>4.1868976871292683E-188</v>
      </c>
      <c r="Q11">
        <v>10</v>
      </c>
      <c r="R11">
        <f t="shared" si="11"/>
        <v>0.13981900517431542</v>
      </c>
      <c r="S11">
        <f t="shared" si="2"/>
        <v>9.1236157917506673E-6</v>
      </c>
      <c r="T11">
        <f t="shared" si="2"/>
        <v>1.2127365533180323E-19</v>
      </c>
    </row>
    <row r="12" spans="1:20">
      <c r="A12" s="2">
        <v>45370</v>
      </c>
      <c r="B12" s="3">
        <v>102852250</v>
      </c>
      <c r="C12">
        <f t="shared" si="3"/>
        <v>2057045</v>
      </c>
      <c r="D12">
        <v>111</v>
      </c>
      <c r="E12" s="38">
        <f t="shared" si="4"/>
        <v>4.5052080204716649E-5</v>
      </c>
      <c r="F12">
        <f t="shared" si="5"/>
        <v>77</v>
      </c>
      <c r="G12">
        <f t="shared" si="6"/>
        <v>109</v>
      </c>
      <c r="H12" t="str">
        <f t="shared" si="7"/>
        <v>reject</v>
      </c>
      <c r="I12">
        <f t="shared" si="8"/>
        <v>5.5972509179790242E-2</v>
      </c>
      <c r="J12">
        <f t="shared" si="9"/>
        <v>3.6792532167185269E-4</v>
      </c>
      <c r="K12">
        <f t="shared" si="0"/>
        <v>6.7311611824081569E-221</v>
      </c>
      <c r="L12">
        <f t="shared" si="1"/>
        <v>9.6376983518424778E-192</v>
      </c>
      <c r="M12">
        <f t="shared" si="10"/>
        <v>9.6376983518424778E-192</v>
      </c>
      <c r="Q12">
        <v>11</v>
      </c>
      <c r="R12">
        <f t="shared" si="11"/>
        <v>0.12710818652210495</v>
      </c>
      <c r="S12">
        <f t="shared" si="2"/>
        <v>3.3176784697275137E-5</v>
      </c>
      <c r="T12">
        <f t="shared" si="2"/>
        <v>1.7639804411898705E-18</v>
      </c>
    </row>
    <row r="13" spans="1:20">
      <c r="A13" s="2">
        <v>45366</v>
      </c>
      <c r="B13" s="3">
        <v>102625750</v>
      </c>
      <c r="C13">
        <f t="shared" si="3"/>
        <v>2052515</v>
      </c>
      <c r="D13">
        <v>100</v>
      </c>
      <c r="E13" s="38">
        <f t="shared" si="4"/>
        <v>4.5052080204716649E-5</v>
      </c>
      <c r="F13">
        <f t="shared" si="5"/>
        <v>77</v>
      </c>
      <c r="G13">
        <f t="shared" si="6"/>
        <v>109</v>
      </c>
      <c r="H13" t="str">
        <f t="shared" si="7"/>
        <v>accept</v>
      </c>
      <c r="I13">
        <f t="shared" si="8"/>
        <v>0.40062403739941299</v>
      </c>
      <c r="J13">
        <f t="shared" si="9"/>
        <v>3.6792532167185269E-4</v>
      </c>
      <c r="K13">
        <f t="shared" si="0"/>
        <v>3.0091614978014809E-220</v>
      </c>
      <c r="L13">
        <f t="shared" si="1"/>
        <v>4.0155168458437785E-191</v>
      </c>
      <c r="M13">
        <f t="shared" si="10"/>
        <v>4.0155168458437785E-191</v>
      </c>
      <c r="Q13">
        <v>12</v>
      </c>
      <c r="R13">
        <f t="shared" si="11"/>
        <v>0.10327540154921026</v>
      </c>
      <c r="S13">
        <f t="shared" si="2"/>
        <v>1.0782455026614464E-4</v>
      </c>
      <c r="T13">
        <f t="shared" si="2"/>
        <v>2.2931745735468298E-17</v>
      </c>
    </row>
    <row r="14" spans="1:20">
      <c r="A14" s="2">
        <v>45363</v>
      </c>
      <c r="B14" s="3">
        <v>147291700</v>
      </c>
      <c r="C14">
        <f t="shared" si="3"/>
        <v>2945834</v>
      </c>
      <c r="D14">
        <v>100</v>
      </c>
      <c r="E14" s="38">
        <f t="shared" si="4"/>
        <v>4.5052080204716649E-5</v>
      </c>
      <c r="F14">
        <f t="shared" si="5"/>
        <v>114</v>
      </c>
      <c r="G14">
        <f t="shared" si="6"/>
        <v>152</v>
      </c>
      <c r="H14" t="str">
        <f t="shared" si="7"/>
        <v>reject</v>
      </c>
      <c r="I14">
        <f t="shared" si="8"/>
        <v>3.6399613116962666E-3</v>
      </c>
      <c r="J14">
        <f t="shared" si="9"/>
        <v>3.6792532167185269E-4</v>
      </c>
      <c r="K14">
        <f t="shared" si="0"/>
        <v>0</v>
      </c>
      <c r="L14">
        <f t="shared" si="1"/>
        <v>3.0916348866175899E-277</v>
      </c>
      <c r="M14">
        <f t="shared" si="10"/>
        <v>3.0916348866175899E-277</v>
      </c>
      <c r="Q14">
        <v>13</v>
      </c>
      <c r="R14">
        <f t="shared" si="11"/>
        <v>7.547048574749983E-2</v>
      </c>
      <c r="S14">
        <f t="shared" si="2"/>
        <v>3.1517945462411457E-4</v>
      </c>
      <c r="T14">
        <f t="shared" si="2"/>
        <v>2.6812502706086153E-16</v>
      </c>
    </row>
    <row r="15" spans="1:20">
      <c r="A15" s="2">
        <v>45359</v>
      </c>
      <c r="B15" s="3">
        <v>132588250</v>
      </c>
      <c r="C15">
        <f t="shared" si="3"/>
        <v>2651765</v>
      </c>
      <c r="D15">
        <v>100</v>
      </c>
      <c r="E15" s="38">
        <f t="shared" si="4"/>
        <v>4.5052080204716649E-5</v>
      </c>
      <c r="F15">
        <f t="shared" si="5"/>
        <v>102</v>
      </c>
      <c r="G15">
        <f t="shared" si="6"/>
        <v>138</v>
      </c>
      <c r="H15" t="str">
        <f t="shared" si="7"/>
        <v>reject</v>
      </c>
      <c r="I15">
        <f t="shared" si="8"/>
        <v>7.6904437894945596E-2</v>
      </c>
      <c r="J15">
        <f t="shared" si="9"/>
        <v>3.6792532167185269E-4</v>
      </c>
      <c r="K15">
        <f t="shared" si="0"/>
        <v>1.5504176472073124E-281</v>
      </c>
      <c r="L15">
        <f t="shared" si="1"/>
        <v>9.3606698558851086E-249</v>
      </c>
      <c r="M15">
        <f t="shared" si="10"/>
        <v>9.3606698558851086E-249</v>
      </c>
      <c r="Q15">
        <v>14</v>
      </c>
      <c r="R15">
        <f t="shared" si="11"/>
        <v>4.9864428083169536E-2</v>
      </c>
      <c r="S15">
        <f t="shared" si="2"/>
        <v>8.3297427293515961E-4</v>
      </c>
      <c r="T15">
        <f t="shared" si="2"/>
        <v>2.8344645717862373E-15</v>
      </c>
    </row>
    <row r="16" spans="1:20">
      <c r="A16" s="2">
        <v>45356</v>
      </c>
      <c r="B16" s="3">
        <v>134655600</v>
      </c>
      <c r="C16">
        <f t="shared" si="3"/>
        <v>2693112</v>
      </c>
      <c r="D16">
        <v>143</v>
      </c>
      <c r="E16" s="38">
        <f t="shared" si="4"/>
        <v>4.5052080204716649E-5</v>
      </c>
      <c r="F16">
        <f t="shared" si="5"/>
        <v>104</v>
      </c>
      <c r="G16">
        <f t="shared" si="6"/>
        <v>140</v>
      </c>
      <c r="H16" t="str">
        <f t="shared" si="7"/>
        <v>reject</v>
      </c>
      <c r="I16">
        <f t="shared" si="8"/>
        <v>4.8793296270937425E-2</v>
      </c>
      <c r="J16">
        <f t="shared" si="9"/>
        <v>3.6792532167185269E-4</v>
      </c>
      <c r="K16">
        <f t="shared" si="0"/>
        <v>1.7002635715824241E-285</v>
      </c>
      <c r="L16">
        <f t="shared" si="1"/>
        <v>9.8564845638254505E-253</v>
      </c>
      <c r="M16">
        <f t="shared" si="10"/>
        <v>9.8564845638254505E-253</v>
      </c>
      <c r="Q16">
        <v>15</v>
      </c>
      <c r="R16">
        <f t="shared" si="11"/>
        <v>2.9918656849901724E-2</v>
      </c>
      <c r="S16">
        <f t="shared" si="2"/>
        <v>1.9991382550443907E-3</v>
      </c>
      <c r="T16">
        <f t="shared" si="2"/>
        <v>2.7210859889147774E-14</v>
      </c>
    </row>
    <row r="17" spans="1:20">
      <c r="A17" s="2">
        <v>45352</v>
      </c>
      <c r="B17" s="3">
        <v>119882400</v>
      </c>
      <c r="C17">
        <f t="shared" si="3"/>
        <v>2397648</v>
      </c>
      <c r="D17">
        <v>89</v>
      </c>
      <c r="E17" s="38">
        <f t="shared" si="4"/>
        <v>4.5052080204716649E-5</v>
      </c>
      <c r="F17">
        <f t="shared" si="5"/>
        <v>91</v>
      </c>
      <c r="G17">
        <f t="shared" si="6"/>
        <v>125</v>
      </c>
      <c r="H17" t="str">
        <f t="shared" si="7"/>
        <v>reject</v>
      </c>
      <c r="I17">
        <f t="shared" si="8"/>
        <v>6.8719223179961056E-2</v>
      </c>
      <c r="J17">
        <f t="shared" si="9"/>
        <v>3.6792532167185269E-4</v>
      </c>
      <c r="K17">
        <f t="shared" si="0"/>
        <v>6.1504801009675803E-256</v>
      </c>
      <c r="L17">
        <f t="shared" si="1"/>
        <v>6.568326817694609E-225</v>
      </c>
      <c r="M17">
        <f t="shared" si="10"/>
        <v>6.568326817694609E-225</v>
      </c>
      <c r="Q17">
        <v>16</v>
      </c>
      <c r="R17">
        <f t="shared" si="11"/>
        <v>1.6361765464789978E-2</v>
      </c>
      <c r="S17">
        <f t="shared" si="2"/>
        <v>4.3731149329095925E-3</v>
      </c>
      <c r="T17">
        <f t="shared" si="2"/>
        <v>2.3809502403004321E-13</v>
      </c>
    </row>
    <row r="18" spans="1:20">
      <c r="A18" s="2">
        <v>45349</v>
      </c>
      <c r="B18" s="3">
        <v>114267850</v>
      </c>
      <c r="C18">
        <f t="shared" si="3"/>
        <v>2285357</v>
      </c>
      <c r="D18">
        <v>107</v>
      </c>
      <c r="E18" s="38">
        <f t="shared" si="4"/>
        <v>4.5052080204716649E-5</v>
      </c>
      <c r="F18">
        <f t="shared" si="5"/>
        <v>87</v>
      </c>
      <c r="G18">
        <f t="shared" si="6"/>
        <v>120</v>
      </c>
      <c r="H18" t="str">
        <f t="shared" si="7"/>
        <v>accept</v>
      </c>
      <c r="I18">
        <f t="shared" si="8"/>
        <v>0.64514131956436227</v>
      </c>
      <c r="J18">
        <f t="shared" si="9"/>
        <v>3.6792532167185269E-4</v>
      </c>
      <c r="K18">
        <f t="shared" si="0"/>
        <v>8.8540835294541179E-244</v>
      </c>
      <c r="L18">
        <f t="shared" si="1"/>
        <v>9.6638868800925205E-214</v>
      </c>
      <c r="M18">
        <f t="shared" si="10"/>
        <v>9.6638868800925205E-214</v>
      </c>
      <c r="Q18">
        <v>17</v>
      </c>
      <c r="R18">
        <f t="shared" si="11"/>
        <v>8.1808827323950027E-3</v>
      </c>
      <c r="S18">
        <f t="shared" si="11"/>
        <v>8.7462298658191901E-3</v>
      </c>
      <c r="T18">
        <f t="shared" si="11"/>
        <v>1.9047601922403404E-12</v>
      </c>
    </row>
    <row r="19" spans="1:20">
      <c r="A19" s="2">
        <v>45346</v>
      </c>
      <c r="B19" s="3">
        <v>140742000</v>
      </c>
      <c r="C19">
        <f t="shared" si="3"/>
        <v>2814840</v>
      </c>
      <c r="D19">
        <v>150</v>
      </c>
      <c r="E19" s="38">
        <f t="shared" si="4"/>
        <v>4.5052080204716649E-5</v>
      </c>
      <c r="F19">
        <f t="shared" si="5"/>
        <v>109</v>
      </c>
      <c r="G19">
        <f t="shared" si="6"/>
        <v>146</v>
      </c>
      <c r="H19" t="str">
        <f t="shared" si="7"/>
        <v>reject</v>
      </c>
      <c r="I19">
        <f t="shared" si="8"/>
        <v>3.9697947555507707E-2</v>
      </c>
      <c r="J19">
        <f t="shared" si="9"/>
        <v>3.6792532167185269E-4</v>
      </c>
      <c r="K19">
        <f t="shared" si="0"/>
        <v>5.0493229776321938E-298</v>
      </c>
      <c r="L19">
        <f t="shared" si="1"/>
        <v>2.3904019887322076E-264</v>
      </c>
      <c r="M19">
        <f t="shared" si="10"/>
        <v>2.3904019887322076E-264</v>
      </c>
      <c r="Q19">
        <v>18</v>
      </c>
      <c r="R19">
        <f t="shared" si="11"/>
        <v>3.749571252347708E-3</v>
      </c>
      <c r="S19">
        <f t="shared" si="11"/>
        <v>1.6034754754001845E-2</v>
      </c>
      <c r="T19">
        <f t="shared" si="11"/>
        <v>1.3968241409762516E-11</v>
      </c>
    </row>
    <row r="20" spans="1:20">
      <c r="A20" s="2">
        <v>45345</v>
      </c>
      <c r="B20" s="3">
        <v>154793450</v>
      </c>
      <c r="C20">
        <f t="shared" si="3"/>
        <v>3095869</v>
      </c>
      <c r="D20">
        <v>153</v>
      </c>
      <c r="E20" s="38">
        <f t="shared" si="4"/>
        <v>4.5052080204716649E-5</v>
      </c>
      <c r="F20">
        <f t="shared" si="5"/>
        <v>120</v>
      </c>
      <c r="G20">
        <f t="shared" si="6"/>
        <v>159</v>
      </c>
      <c r="H20" t="str">
        <f t="shared" si="7"/>
        <v>accept</v>
      </c>
      <c r="I20">
        <f t="shared" si="8"/>
        <v>0.23707132985206369</v>
      </c>
      <c r="J20">
        <f t="shared" si="9"/>
        <v>3.6792532167185269E-4</v>
      </c>
      <c r="K20">
        <f t="shared" si="0"/>
        <v>0</v>
      </c>
      <c r="L20">
        <f t="shared" si="1"/>
        <v>6.8578114722233674E-292</v>
      </c>
      <c r="M20">
        <f t="shared" si="10"/>
        <v>6.8578114722233674E-292</v>
      </c>
      <c r="Q20">
        <v>19</v>
      </c>
      <c r="R20">
        <f t="shared" si="11"/>
        <v>1.5787668430937724E-3</v>
      </c>
      <c r="S20">
        <f t="shared" si="11"/>
        <v>2.7005902743582024E-2</v>
      </c>
      <c r="T20">
        <f t="shared" si="11"/>
        <v>9.4101836865768152E-11</v>
      </c>
    </row>
    <row r="21" spans="1:20">
      <c r="A21" s="2">
        <v>45344</v>
      </c>
      <c r="B21" s="3">
        <v>136989650</v>
      </c>
      <c r="C21">
        <f t="shared" si="3"/>
        <v>2739793</v>
      </c>
      <c r="D21">
        <v>127</v>
      </c>
      <c r="E21" s="38">
        <f t="shared" si="4"/>
        <v>4.5052080204716649E-5</v>
      </c>
      <c r="F21">
        <f t="shared" si="5"/>
        <v>105</v>
      </c>
      <c r="G21">
        <f t="shared" si="6"/>
        <v>142</v>
      </c>
      <c r="H21" t="str">
        <f t="shared" si="7"/>
        <v>accept</v>
      </c>
      <c r="I21">
        <f t="shared" si="8"/>
        <v>0.70469559586444364</v>
      </c>
      <c r="J21">
        <f t="shared" si="9"/>
        <v>3.6792532167185269E-4</v>
      </c>
      <c r="K21">
        <f t="shared" si="0"/>
        <v>3.3754498522771308E-291</v>
      </c>
      <c r="L21">
        <f t="shared" si="1"/>
        <v>1.921732769493665E-257</v>
      </c>
      <c r="M21">
        <f t="shared" si="10"/>
        <v>1.921732769493665E-257</v>
      </c>
      <c r="Q21">
        <v>20</v>
      </c>
      <c r="R21">
        <f t="shared" si="11"/>
        <v>6.1177215169883688E-4</v>
      </c>
      <c r="S21">
        <f t="shared" si="11"/>
        <v>4.1859149252552186E-2</v>
      </c>
      <c r="T21">
        <f t="shared" si="11"/>
        <v>5.834313885677679E-10</v>
      </c>
    </row>
    <row r="22" spans="1:20">
      <c r="A22" s="2">
        <v>45343</v>
      </c>
      <c r="B22" s="3">
        <v>138635750</v>
      </c>
      <c r="C22">
        <f t="shared" si="3"/>
        <v>2772715</v>
      </c>
      <c r="D22">
        <v>119</v>
      </c>
      <c r="E22" s="38">
        <f t="shared" si="4"/>
        <v>4.5052080204716649E-5</v>
      </c>
      <c r="F22">
        <f t="shared" si="5"/>
        <v>107</v>
      </c>
      <c r="G22">
        <f t="shared" si="6"/>
        <v>144</v>
      </c>
      <c r="H22" t="str">
        <f t="shared" si="7"/>
        <v>accept</v>
      </c>
      <c r="I22">
        <f t="shared" si="8"/>
        <v>0.63608657794033696</v>
      </c>
      <c r="J22">
        <f t="shared" si="9"/>
        <v>3.6792532167185269E-4</v>
      </c>
      <c r="K22">
        <f t="shared" si="0"/>
        <v>5.9538616403148177E-294</v>
      </c>
      <c r="L22">
        <f t="shared" si="1"/>
        <v>2.9032211840713932E-260</v>
      </c>
      <c r="M22">
        <f t="shared" si="10"/>
        <v>2.9032211840713932E-260</v>
      </c>
      <c r="Q22">
        <v>21</v>
      </c>
      <c r="R22">
        <f t="shared" si="11"/>
        <v>2.1849005417815619E-4</v>
      </c>
      <c r="S22">
        <f t="shared" si="11"/>
        <v>5.9798784646503088E-2</v>
      </c>
      <c r="T22">
        <f t="shared" si="11"/>
        <v>3.3338936489586684E-9</v>
      </c>
    </row>
    <row r="23" spans="1:20">
      <c r="A23" s="2">
        <v>45342</v>
      </c>
      <c r="B23" s="3">
        <v>156102700</v>
      </c>
      <c r="C23">
        <f t="shared" si="3"/>
        <v>3122054</v>
      </c>
      <c r="D23">
        <v>146</v>
      </c>
      <c r="E23" s="38">
        <f t="shared" si="4"/>
        <v>4.5052080204716649E-5</v>
      </c>
      <c r="F23">
        <f t="shared" si="5"/>
        <v>121</v>
      </c>
      <c r="G23">
        <f t="shared" si="6"/>
        <v>160</v>
      </c>
      <c r="H23" t="str">
        <f t="shared" si="7"/>
        <v>accept</v>
      </c>
      <c r="I23">
        <f t="shared" si="8"/>
        <v>0.61463939855168803</v>
      </c>
      <c r="J23">
        <f t="shared" si="9"/>
        <v>3.6792532167185269E-4</v>
      </c>
      <c r="K23">
        <f t="shared" si="0"/>
        <v>0</v>
      </c>
      <c r="L23">
        <f t="shared" si="1"/>
        <v>1.2275698660165535E-294</v>
      </c>
      <c r="M23">
        <f t="shared" si="10"/>
        <v>1.2275698660165535E-294</v>
      </c>
      <c r="Q23">
        <v>22</v>
      </c>
      <c r="R23">
        <f t="shared" si="11"/>
        <v>7.2002404217801246E-5</v>
      </c>
      <c r="S23">
        <f t="shared" si="11"/>
        <v>7.882567067039048E-2</v>
      </c>
      <c r="T23">
        <f t="shared" si="11"/>
        <v>1.757871196723646E-8</v>
      </c>
    </row>
    <row r="24" spans="1:20">
      <c r="A24" s="2">
        <v>45341</v>
      </c>
      <c r="B24" s="3">
        <v>148157600</v>
      </c>
      <c r="C24">
        <f t="shared" si="3"/>
        <v>2963152</v>
      </c>
      <c r="D24">
        <v>133</v>
      </c>
      <c r="E24" s="38">
        <f t="shared" si="4"/>
        <v>4.5052080204716649E-5</v>
      </c>
      <c r="F24">
        <f t="shared" si="5"/>
        <v>115</v>
      </c>
      <c r="G24">
        <f t="shared" si="6"/>
        <v>153</v>
      </c>
      <c r="H24" t="str">
        <f t="shared" si="7"/>
        <v>accept</v>
      </c>
      <c r="I24">
        <f t="shared" si="8"/>
        <v>0.98821653498162521</v>
      </c>
      <c r="J24">
        <f t="shared" si="9"/>
        <v>3.6792532167185269E-4</v>
      </c>
      <c r="K24">
        <f t="shared" si="0"/>
        <v>0</v>
      </c>
      <c r="L24">
        <f t="shared" si="1"/>
        <v>9.1713030911830115E-279</v>
      </c>
      <c r="M24">
        <f t="shared" si="10"/>
        <v>9.1713030911830115E-279</v>
      </c>
      <c r="Q24">
        <v>23</v>
      </c>
      <c r="R24">
        <f t="shared" si="11"/>
        <v>2.1913775196722255E-5</v>
      </c>
      <c r="S24">
        <f t="shared" si="11"/>
        <v>9.5961686033518831E-2</v>
      </c>
      <c r="T24">
        <f t="shared" si="11"/>
        <v>8.560068436219533E-8</v>
      </c>
    </row>
    <row r="25" spans="1:20">
      <c r="A25" s="2">
        <v>45340</v>
      </c>
      <c r="B25" s="3">
        <v>151708250</v>
      </c>
      <c r="C25">
        <f t="shared" si="3"/>
        <v>3034165</v>
      </c>
      <c r="D25">
        <v>120</v>
      </c>
      <c r="E25" s="38">
        <f t="shared" si="4"/>
        <v>4.5052080204716649E-5</v>
      </c>
      <c r="F25">
        <f t="shared" si="5"/>
        <v>118</v>
      </c>
      <c r="G25">
        <f t="shared" si="6"/>
        <v>156</v>
      </c>
      <c r="H25" t="str">
        <f t="shared" si="7"/>
        <v>accept</v>
      </c>
      <c r="I25">
        <f t="shared" si="8"/>
        <v>0.16167073478993826</v>
      </c>
      <c r="J25">
        <f t="shared" si="9"/>
        <v>3.6792532167185269E-4</v>
      </c>
      <c r="K25">
        <f t="shared" si="0"/>
        <v>0</v>
      </c>
      <c r="L25">
        <f t="shared" si="1"/>
        <v>5.7483243964502919E-286</v>
      </c>
      <c r="M25">
        <f t="shared" si="10"/>
        <v>5.7483243964502919E-286</v>
      </c>
      <c r="Q25">
        <v>24</v>
      </c>
      <c r="R25">
        <f t="shared" si="11"/>
        <v>6.1632492740781163E-6</v>
      </c>
      <c r="S25">
        <f t="shared" si="11"/>
        <v>0.10795689678770866</v>
      </c>
      <c r="T25">
        <f t="shared" si="11"/>
        <v>3.852030796298801E-7</v>
      </c>
    </row>
    <row r="26" spans="1:20">
      <c r="A26" s="2">
        <v>45339</v>
      </c>
      <c r="B26" s="3">
        <v>164832950</v>
      </c>
      <c r="C26">
        <f t="shared" si="3"/>
        <v>3296659</v>
      </c>
      <c r="D26">
        <v>148</v>
      </c>
      <c r="E26" s="38">
        <f t="shared" si="4"/>
        <v>4.5052080204716649E-5</v>
      </c>
      <c r="F26">
        <f t="shared" si="5"/>
        <v>129</v>
      </c>
      <c r="G26">
        <f t="shared" si="6"/>
        <v>169</v>
      </c>
      <c r="H26" t="str">
        <f t="shared" si="7"/>
        <v>accept</v>
      </c>
      <c r="I26">
        <f t="shared" si="8"/>
        <v>0.99047782992008226</v>
      </c>
      <c r="J26">
        <f t="shared" si="9"/>
        <v>3.6792532167185269E-4</v>
      </c>
      <c r="K26">
        <f t="shared" si="0"/>
        <v>0</v>
      </c>
      <c r="L26">
        <f t="shared" si="1"/>
        <v>0</v>
      </c>
      <c r="M26">
        <f t="shared" si="10"/>
        <v>0</v>
      </c>
      <c r="Q26">
        <v>25</v>
      </c>
      <c r="R26">
        <f t="shared" si="11"/>
        <v>1.6024448112603061E-6</v>
      </c>
      <c r="S26">
        <f t="shared" si="11"/>
        <v>0.11227517265921706</v>
      </c>
      <c r="T26">
        <f t="shared" si="11"/>
        <v>1.6024448112603033E-6</v>
      </c>
    </row>
    <row r="27" spans="1:20">
      <c r="A27" s="2">
        <v>45338</v>
      </c>
      <c r="B27" s="3">
        <v>188302250</v>
      </c>
      <c r="C27">
        <f t="shared" si="3"/>
        <v>3766045</v>
      </c>
      <c r="D27">
        <v>151</v>
      </c>
      <c r="E27" s="38">
        <f t="shared" si="4"/>
        <v>4.5052080204716649E-5</v>
      </c>
      <c r="F27">
        <f t="shared" si="5"/>
        <v>149</v>
      </c>
      <c r="G27">
        <f t="shared" si="6"/>
        <v>191</v>
      </c>
      <c r="H27" t="str">
        <f t="shared" si="7"/>
        <v>accept</v>
      </c>
      <c r="I27">
        <f t="shared" si="8"/>
        <v>0.15917353293954389</v>
      </c>
      <c r="J27">
        <f t="shared" si="9"/>
        <v>3.6792532167185269E-4</v>
      </c>
      <c r="K27">
        <f t="shared" si="0"/>
        <v>0</v>
      </c>
      <c r="L27">
        <f t="shared" si="1"/>
        <v>0</v>
      </c>
      <c r="M27">
        <f t="shared" si="10"/>
        <v>0</v>
      </c>
      <c r="Q27">
        <v>26</v>
      </c>
      <c r="R27">
        <f t="shared" si="11"/>
        <v>3.8520307962988147E-7</v>
      </c>
      <c r="S27">
        <f t="shared" si="11"/>
        <v>0.10795689678770866</v>
      </c>
      <c r="T27">
        <f t="shared" si="11"/>
        <v>6.1632492740781053E-6</v>
      </c>
    </row>
    <row r="28" spans="1:20">
      <c r="A28" s="2">
        <v>45337</v>
      </c>
      <c r="B28" s="3">
        <v>197336000</v>
      </c>
      <c r="C28">
        <f t="shared" si="3"/>
        <v>3946720</v>
      </c>
      <c r="D28">
        <v>187</v>
      </c>
      <c r="E28" s="38">
        <f t="shared" si="4"/>
        <v>4.5052080204716649E-5</v>
      </c>
      <c r="F28">
        <f t="shared" si="5"/>
        <v>156</v>
      </c>
      <c r="G28">
        <f t="shared" si="6"/>
        <v>200</v>
      </c>
      <c r="H28" t="str">
        <f t="shared" si="7"/>
        <v>accept</v>
      </c>
      <c r="I28">
        <f t="shared" si="8"/>
        <v>0.46368269276102114</v>
      </c>
      <c r="J28">
        <f t="shared" si="9"/>
        <v>3.6792532167185269E-4</v>
      </c>
      <c r="K28">
        <f t="shared" si="0"/>
        <v>0</v>
      </c>
      <c r="L28">
        <f t="shared" si="1"/>
        <v>0</v>
      </c>
      <c r="M28">
        <f t="shared" si="10"/>
        <v>0</v>
      </c>
      <c r="Q28">
        <v>27</v>
      </c>
      <c r="R28">
        <f t="shared" si="11"/>
        <v>8.5600684362195939E-8</v>
      </c>
      <c r="S28">
        <f t="shared" si="11"/>
        <v>9.5961686033518831E-2</v>
      </c>
      <c r="T28">
        <f t="shared" si="11"/>
        <v>2.1913775196722137E-5</v>
      </c>
    </row>
    <row r="29" spans="1:20">
      <c r="A29" s="2">
        <v>45336</v>
      </c>
      <c r="B29" s="3">
        <v>272001450</v>
      </c>
      <c r="C29">
        <f t="shared" si="3"/>
        <v>5440029</v>
      </c>
      <c r="D29">
        <v>233</v>
      </c>
      <c r="E29" s="38">
        <f t="shared" si="4"/>
        <v>4.5052080204716649E-5</v>
      </c>
      <c r="F29">
        <f t="shared" si="5"/>
        <v>220</v>
      </c>
      <c r="G29">
        <f t="shared" si="6"/>
        <v>271</v>
      </c>
      <c r="H29" t="str">
        <f t="shared" si="7"/>
        <v>accept</v>
      </c>
      <c r="I29">
        <f t="shared" si="8"/>
        <v>0.46220908292636742</v>
      </c>
      <c r="J29">
        <f t="shared" si="9"/>
        <v>3.6792532167185269E-4</v>
      </c>
      <c r="K29">
        <f t="shared" si="0"/>
        <v>0</v>
      </c>
      <c r="L29">
        <f t="shared" si="1"/>
        <v>0</v>
      </c>
      <c r="M29">
        <f t="shared" si="10"/>
        <v>0</v>
      </c>
      <c r="Q29">
        <v>28</v>
      </c>
      <c r="R29">
        <f t="shared" si="11"/>
        <v>1.7578711967236712E-8</v>
      </c>
      <c r="S29">
        <f t="shared" si="11"/>
        <v>7.882567067039048E-2</v>
      </c>
      <c r="T29">
        <f t="shared" si="11"/>
        <v>7.2002404217801381E-5</v>
      </c>
    </row>
    <row r="30" spans="1:20">
      <c r="A30" s="2">
        <v>45335</v>
      </c>
      <c r="B30" s="3">
        <v>190351800</v>
      </c>
      <c r="C30">
        <f t="shared" si="3"/>
        <v>3807036</v>
      </c>
      <c r="D30">
        <v>130</v>
      </c>
      <c r="E30" s="38">
        <f t="shared" si="4"/>
        <v>4.5052080204716649E-5</v>
      </c>
      <c r="F30">
        <f t="shared" si="5"/>
        <v>150</v>
      </c>
      <c r="G30">
        <f t="shared" si="6"/>
        <v>193</v>
      </c>
      <c r="H30" t="str">
        <f t="shared" si="7"/>
        <v>reject</v>
      </c>
      <c r="I30">
        <f t="shared" si="8"/>
        <v>1.1230357262006765E-3</v>
      </c>
      <c r="J30">
        <f t="shared" si="9"/>
        <v>3.6792532167185269E-4</v>
      </c>
      <c r="K30">
        <f t="shared" si="0"/>
        <v>0</v>
      </c>
      <c r="L30">
        <f t="shared" si="1"/>
        <v>0</v>
      </c>
      <c r="M30">
        <f t="shared" si="10"/>
        <v>0</v>
      </c>
      <c r="Q30">
        <v>29</v>
      </c>
      <c r="R30">
        <f t="shared" si="11"/>
        <v>3.3338936489586804E-9</v>
      </c>
      <c r="S30">
        <f t="shared" si="11"/>
        <v>5.9798784646503088E-2</v>
      </c>
      <c r="T30">
        <f t="shared" si="11"/>
        <v>2.184900541781554E-4</v>
      </c>
    </row>
    <row r="31" spans="1:20">
      <c r="A31" s="2">
        <v>45334</v>
      </c>
      <c r="B31" s="3">
        <v>248903050</v>
      </c>
      <c r="C31">
        <f t="shared" si="3"/>
        <v>4978061</v>
      </c>
      <c r="D31">
        <v>190</v>
      </c>
      <c r="E31" s="38">
        <f t="shared" si="4"/>
        <v>4.5052080204716649E-5</v>
      </c>
      <c r="F31">
        <f t="shared" si="5"/>
        <v>200</v>
      </c>
      <c r="G31">
        <f t="shared" si="6"/>
        <v>249</v>
      </c>
      <c r="H31" t="str">
        <f t="shared" si="7"/>
        <v>reject</v>
      </c>
      <c r="I31">
        <f t="shared" si="8"/>
        <v>2.1210908264950382E-2</v>
      </c>
      <c r="J31">
        <f t="shared" si="9"/>
        <v>3.6792532167185269E-4</v>
      </c>
      <c r="K31">
        <f t="shared" si="0"/>
        <v>0</v>
      </c>
      <c r="L31">
        <f t="shared" si="1"/>
        <v>0</v>
      </c>
      <c r="M31">
        <f t="shared" si="10"/>
        <v>0</v>
      </c>
      <c r="Q31">
        <v>30</v>
      </c>
      <c r="R31">
        <f t="shared" si="11"/>
        <v>5.834313885677679E-10</v>
      </c>
      <c r="S31">
        <f t="shared" si="11"/>
        <v>4.1859149252552186E-2</v>
      </c>
      <c r="T31">
        <f t="shared" si="11"/>
        <v>6.1177215169883525E-4</v>
      </c>
    </row>
    <row r="32" spans="1:20">
      <c r="A32" s="2">
        <v>45333</v>
      </c>
      <c r="B32" s="3">
        <v>271083500</v>
      </c>
      <c r="C32">
        <f t="shared" si="3"/>
        <v>5421670</v>
      </c>
      <c r="D32">
        <v>178</v>
      </c>
      <c r="E32" s="38">
        <f t="shared" si="4"/>
        <v>4.5052080204716649E-5</v>
      </c>
      <c r="F32">
        <f t="shared" si="5"/>
        <v>219</v>
      </c>
      <c r="G32">
        <f t="shared" si="6"/>
        <v>270</v>
      </c>
      <c r="H32" t="str">
        <f t="shared" si="7"/>
        <v>reject</v>
      </c>
      <c r="I32">
        <f t="shared" si="8"/>
        <v>1.0330767672346719E-5</v>
      </c>
      <c r="J32">
        <f t="shared" si="9"/>
        <v>3.6792532167185269E-4</v>
      </c>
      <c r="K32">
        <f t="shared" si="0"/>
        <v>0</v>
      </c>
      <c r="L32">
        <f t="shared" si="1"/>
        <v>0</v>
      </c>
      <c r="M32">
        <f t="shared" si="10"/>
        <v>0</v>
      </c>
      <c r="Q32">
        <v>31</v>
      </c>
      <c r="R32">
        <f t="shared" si="11"/>
        <v>9.4101836865768811E-11</v>
      </c>
      <c r="S32">
        <f t="shared" si="11"/>
        <v>2.7005902743582024E-2</v>
      </c>
      <c r="T32">
        <f t="shared" si="11"/>
        <v>1.57876684309377E-3</v>
      </c>
    </row>
    <row r="33" spans="1:20">
      <c r="A33" s="2">
        <v>45332</v>
      </c>
      <c r="B33" s="3">
        <v>311420200</v>
      </c>
      <c r="C33">
        <f t="shared" si="3"/>
        <v>6228404</v>
      </c>
      <c r="D33">
        <v>344</v>
      </c>
      <c r="E33" s="38">
        <f t="shared" si="4"/>
        <v>4.5052080204716649E-5</v>
      </c>
      <c r="F33">
        <f t="shared" si="5"/>
        <v>253</v>
      </c>
      <c r="G33">
        <f t="shared" si="6"/>
        <v>308</v>
      </c>
      <c r="H33" t="str">
        <f t="shared" si="7"/>
        <v>reject</v>
      </c>
      <c r="I33">
        <f t="shared" si="8"/>
        <v>2.2280394629392575E-4</v>
      </c>
      <c r="J33">
        <f t="shared" si="9"/>
        <v>3.6792532167185269E-4</v>
      </c>
      <c r="K33">
        <f t="shared" si="0"/>
        <v>0</v>
      </c>
      <c r="L33">
        <f t="shared" si="1"/>
        <v>0</v>
      </c>
      <c r="M33">
        <f t="shared" si="10"/>
        <v>0</v>
      </c>
      <c r="Q33">
        <v>32</v>
      </c>
      <c r="R33">
        <f t="shared" si="11"/>
        <v>1.3968241409762566E-11</v>
      </c>
      <c r="S33">
        <f t="shared" si="11"/>
        <v>1.6034754754001845E-2</v>
      </c>
      <c r="T33">
        <f t="shared" si="11"/>
        <v>3.7495712523477015E-3</v>
      </c>
    </row>
    <row r="34" spans="1:20">
      <c r="A34" s="2">
        <v>45331</v>
      </c>
      <c r="B34" s="3">
        <v>289130550</v>
      </c>
      <c r="C34">
        <f t="shared" si="3"/>
        <v>5782611</v>
      </c>
      <c r="D34">
        <v>271</v>
      </c>
      <c r="E34" s="38">
        <f t="shared" si="4"/>
        <v>4.5052080204716649E-5</v>
      </c>
      <c r="F34">
        <f t="shared" si="5"/>
        <v>234</v>
      </c>
      <c r="G34">
        <f t="shared" si="6"/>
        <v>287</v>
      </c>
      <c r="H34" t="str">
        <f t="shared" si="7"/>
        <v>accept</v>
      </c>
      <c r="I34">
        <f t="shared" si="8"/>
        <v>0.49275592865367313</v>
      </c>
      <c r="J34">
        <f t="shared" si="9"/>
        <v>3.6792532167185269E-4</v>
      </c>
      <c r="K34">
        <f t="shared" ref="K34:K51" si="12">_xlfn.BINOM.DIST(F34,C34,J34,1)</f>
        <v>0</v>
      </c>
      <c r="L34">
        <f t="shared" ref="L34:L51" si="13">_xlfn.BINOM.DIST(G34,C34,J34,1)</f>
        <v>0</v>
      </c>
      <c r="M34">
        <f t="shared" si="10"/>
        <v>0</v>
      </c>
      <c r="Q34">
        <v>33</v>
      </c>
      <c r="R34">
        <f t="shared" si="11"/>
        <v>1.9047601922403541E-12</v>
      </c>
      <c r="S34">
        <f t="shared" si="11"/>
        <v>8.7462298658191901E-3</v>
      </c>
      <c r="T34">
        <f t="shared" si="11"/>
        <v>8.1808827323949888E-3</v>
      </c>
    </row>
    <row r="35" spans="1:20">
      <c r="A35" s="2">
        <v>45330</v>
      </c>
      <c r="B35" s="3">
        <v>183653950</v>
      </c>
      <c r="C35">
        <f t="shared" si="3"/>
        <v>3673079</v>
      </c>
      <c r="D35">
        <v>158</v>
      </c>
      <c r="E35" s="38">
        <f t="shared" si="4"/>
        <v>4.5052080204716649E-5</v>
      </c>
      <c r="F35">
        <f t="shared" si="5"/>
        <v>145</v>
      </c>
      <c r="G35">
        <f t="shared" si="6"/>
        <v>187</v>
      </c>
      <c r="H35" t="str">
        <f t="shared" si="7"/>
        <v>accept</v>
      </c>
      <c r="I35">
        <f t="shared" si="8"/>
        <v>0.59373634630269378</v>
      </c>
      <c r="J35">
        <f t="shared" si="9"/>
        <v>3.6792532167185269E-4</v>
      </c>
      <c r="K35">
        <f t="shared" si="12"/>
        <v>0</v>
      </c>
      <c r="L35">
        <f t="shared" si="13"/>
        <v>0</v>
      </c>
      <c r="M35">
        <f t="shared" si="10"/>
        <v>0</v>
      </c>
      <c r="Q35">
        <v>34</v>
      </c>
      <c r="R35">
        <f t="shared" si="11"/>
        <v>2.3809502403004492E-13</v>
      </c>
      <c r="S35">
        <f t="shared" si="11"/>
        <v>4.3731149329095925E-3</v>
      </c>
      <c r="T35">
        <f t="shared" si="11"/>
        <v>1.6361765464789978E-2</v>
      </c>
    </row>
    <row r="36" spans="1:20">
      <c r="A36" s="2">
        <v>45329</v>
      </c>
      <c r="B36" s="3">
        <v>147109300</v>
      </c>
      <c r="C36">
        <f t="shared" si="3"/>
        <v>2942186</v>
      </c>
      <c r="D36">
        <v>109</v>
      </c>
      <c r="E36" s="38">
        <f t="shared" si="4"/>
        <v>4.5052080204716649E-5</v>
      </c>
      <c r="F36">
        <f t="shared" si="5"/>
        <v>114</v>
      </c>
      <c r="G36">
        <f t="shared" si="6"/>
        <v>152</v>
      </c>
      <c r="H36" t="str">
        <f t="shared" si="7"/>
        <v>reject</v>
      </c>
      <c r="I36">
        <f t="shared" si="8"/>
        <v>4.0364854423122244E-2</v>
      </c>
      <c r="J36">
        <f t="shared" si="9"/>
        <v>3.6792532167185269E-4</v>
      </c>
      <c r="K36">
        <f t="shared" si="12"/>
        <v>0</v>
      </c>
      <c r="L36">
        <f t="shared" si="13"/>
        <v>9.8059392498168299E-277</v>
      </c>
      <c r="M36">
        <f t="shared" si="10"/>
        <v>9.8059392498168299E-277</v>
      </c>
      <c r="Q36">
        <v>35</v>
      </c>
      <c r="R36">
        <f t="shared" si="11"/>
        <v>2.7210859889147774E-14</v>
      </c>
      <c r="S36">
        <f t="shared" si="11"/>
        <v>1.9991382550443907E-3</v>
      </c>
      <c r="T36">
        <f t="shared" si="11"/>
        <v>2.9918656849901699E-2</v>
      </c>
    </row>
    <row r="37" spans="1:20">
      <c r="A37" s="2">
        <v>45328</v>
      </c>
      <c r="B37" s="3">
        <v>215438650</v>
      </c>
      <c r="C37">
        <f t="shared" si="3"/>
        <v>4308773</v>
      </c>
      <c r="D37">
        <v>216</v>
      </c>
      <c r="E37" s="38">
        <f t="shared" si="4"/>
        <v>4.5052080204716649E-5</v>
      </c>
      <c r="F37">
        <f t="shared" si="5"/>
        <v>171</v>
      </c>
      <c r="G37">
        <f t="shared" si="6"/>
        <v>217</v>
      </c>
      <c r="H37" t="str">
        <f t="shared" si="7"/>
        <v>accept</v>
      </c>
      <c r="I37">
        <f t="shared" si="8"/>
        <v>0.11213523840830009</v>
      </c>
      <c r="J37">
        <f t="shared" si="9"/>
        <v>3.6792532167185269E-4</v>
      </c>
      <c r="K37">
        <f t="shared" si="12"/>
        <v>0</v>
      </c>
      <c r="L37">
        <f t="shared" si="13"/>
        <v>0</v>
      </c>
      <c r="M37">
        <f t="shared" si="10"/>
        <v>0</v>
      </c>
      <c r="Q37">
        <v>36</v>
      </c>
      <c r="R37">
        <f t="shared" si="11"/>
        <v>2.8344645717862579E-15</v>
      </c>
      <c r="S37">
        <f t="shared" si="11"/>
        <v>8.3297427293516015E-4</v>
      </c>
      <c r="T37">
        <f t="shared" si="11"/>
        <v>4.9864428083169501E-2</v>
      </c>
    </row>
    <row r="38" spans="1:20">
      <c r="A38" s="2">
        <v>45324</v>
      </c>
      <c r="B38" s="3">
        <v>108994850</v>
      </c>
      <c r="C38">
        <f t="shared" si="3"/>
        <v>2179897</v>
      </c>
      <c r="D38">
        <v>81</v>
      </c>
      <c r="E38" s="38">
        <f t="shared" si="4"/>
        <v>4.5052080204716649E-5</v>
      </c>
      <c r="F38">
        <f t="shared" si="5"/>
        <v>82</v>
      </c>
      <c r="G38">
        <f t="shared" si="6"/>
        <v>115</v>
      </c>
      <c r="H38" t="str">
        <f t="shared" si="7"/>
        <v>reject</v>
      </c>
      <c r="I38">
        <f t="shared" si="8"/>
        <v>8.5379238621146408E-2</v>
      </c>
      <c r="J38">
        <f t="shared" si="9"/>
        <v>3.6792532167185269E-4</v>
      </c>
      <c r="K38">
        <f t="shared" si="12"/>
        <v>1.383173573127138E-233</v>
      </c>
      <c r="L38">
        <f t="shared" si="13"/>
        <v>1.6412727541639904E-203</v>
      </c>
      <c r="M38">
        <f t="shared" si="10"/>
        <v>1.6412727541639904E-203</v>
      </c>
      <c r="Q38">
        <v>37</v>
      </c>
      <c r="R38">
        <f t="shared" si="11"/>
        <v>2.6812502706085961E-16</v>
      </c>
      <c r="S38">
        <f t="shared" si="11"/>
        <v>3.1517945462411457E-4</v>
      </c>
      <c r="T38">
        <f t="shared" si="11"/>
        <v>7.5470485747499816E-2</v>
      </c>
    </row>
    <row r="39" spans="1:20">
      <c r="A39" s="2">
        <v>45321</v>
      </c>
      <c r="B39" s="3">
        <v>106791850</v>
      </c>
      <c r="C39">
        <f t="shared" si="3"/>
        <v>2135837</v>
      </c>
      <c r="D39">
        <v>78</v>
      </c>
      <c r="E39" s="38">
        <f t="shared" si="4"/>
        <v>4.5052080204716649E-5</v>
      </c>
      <c r="F39">
        <f t="shared" si="5"/>
        <v>80</v>
      </c>
      <c r="G39">
        <f t="shared" si="6"/>
        <v>113</v>
      </c>
      <c r="H39" t="str">
        <f t="shared" si="7"/>
        <v>reject</v>
      </c>
      <c r="I39">
        <f t="shared" si="8"/>
        <v>6.4385091911949313E-2</v>
      </c>
      <c r="J39">
        <f t="shared" si="9"/>
        <v>3.6792532167185269E-4</v>
      </c>
      <c r="K39">
        <f t="shared" si="12"/>
        <v>3.0647453335349748E-229</v>
      </c>
      <c r="L39">
        <f t="shared" si="13"/>
        <v>3.6625308564744102E-199</v>
      </c>
      <c r="M39">
        <f t="shared" si="10"/>
        <v>3.6625308564744102E-199</v>
      </c>
      <c r="Q39">
        <v>38</v>
      </c>
      <c r="R39">
        <f t="shared" si="11"/>
        <v>2.2931745735468461E-17</v>
      </c>
      <c r="S39">
        <f t="shared" si="11"/>
        <v>1.0782455026614464E-4</v>
      </c>
      <c r="T39">
        <f t="shared" si="11"/>
        <v>0.10327540154921024</v>
      </c>
    </row>
    <row r="40" spans="1:20">
      <c r="A40" s="2">
        <v>45317</v>
      </c>
      <c r="B40" s="3">
        <v>102419000</v>
      </c>
      <c r="C40">
        <f t="shared" si="3"/>
        <v>2048380</v>
      </c>
      <c r="D40">
        <v>69</v>
      </c>
      <c r="E40" s="38">
        <f t="shared" si="4"/>
        <v>4.5052080204716649E-5</v>
      </c>
      <c r="F40">
        <f t="shared" si="5"/>
        <v>77</v>
      </c>
      <c r="G40">
        <f t="shared" si="6"/>
        <v>108</v>
      </c>
      <c r="H40" t="str">
        <f t="shared" si="7"/>
        <v>reject</v>
      </c>
      <c r="I40">
        <f t="shared" si="8"/>
        <v>1.3783809427843241E-2</v>
      </c>
      <c r="J40">
        <f t="shared" si="9"/>
        <v>3.6792532167185269E-4</v>
      </c>
      <c r="K40">
        <f t="shared" si="12"/>
        <v>1.1801862414486057E-219</v>
      </c>
      <c r="L40">
        <f t="shared" si="13"/>
        <v>2.1316464341572343E-191</v>
      </c>
      <c r="M40">
        <f t="shared" si="10"/>
        <v>2.1316464341572343E-191</v>
      </c>
      <c r="Q40">
        <v>39</v>
      </c>
      <c r="R40">
        <f t="shared" si="11"/>
        <v>1.7639804411898832E-18</v>
      </c>
      <c r="S40">
        <f t="shared" si="11"/>
        <v>3.3176784697275137E-5</v>
      </c>
      <c r="T40">
        <f t="shared" si="11"/>
        <v>0.12710818652210493</v>
      </c>
    </row>
    <row r="41" spans="1:20">
      <c r="A41" s="2">
        <v>45314</v>
      </c>
      <c r="B41" s="3">
        <v>92997300</v>
      </c>
      <c r="C41">
        <f t="shared" si="3"/>
        <v>1859946</v>
      </c>
      <c r="D41">
        <v>105</v>
      </c>
      <c r="E41" s="38">
        <f t="shared" si="4"/>
        <v>4.5052080204716649E-5</v>
      </c>
      <c r="F41">
        <f t="shared" si="5"/>
        <v>69</v>
      </c>
      <c r="G41">
        <f t="shared" si="6"/>
        <v>99</v>
      </c>
      <c r="H41" t="str">
        <f t="shared" si="7"/>
        <v>reject</v>
      </c>
      <c r="I41">
        <f t="shared" si="8"/>
        <v>2.1672162084598323E-2</v>
      </c>
      <c r="J41">
        <f t="shared" si="9"/>
        <v>3.6792532167185269E-4</v>
      </c>
      <c r="K41">
        <f t="shared" si="12"/>
        <v>1.6016071211684084E-200</v>
      </c>
      <c r="L41">
        <f t="shared" si="13"/>
        <v>3.5606054004244518E-173</v>
      </c>
      <c r="M41">
        <f t="shared" si="10"/>
        <v>3.5606054004244518E-173</v>
      </c>
      <c r="Q41">
        <v>40</v>
      </c>
      <c r="R41">
        <f t="shared" si="11"/>
        <v>1.212736553318041E-19</v>
      </c>
      <c r="S41">
        <f t="shared" si="11"/>
        <v>9.1236157917506673E-6</v>
      </c>
      <c r="T41">
        <f t="shared" si="11"/>
        <v>0.13981900517431542</v>
      </c>
    </row>
    <row r="42" spans="1:20">
      <c r="A42" s="2">
        <v>45310</v>
      </c>
      <c r="B42" s="3">
        <v>102906750</v>
      </c>
      <c r="C42">
        <f t="shared" si="3"/>
        <v>2058135</v>
      </c>
      <c r="D42">
        <v>72</v>
      </c>
      <c r="E42" s="38">
        <f t="shared" si="4"/>
        <v>4.5052080204716649E-5</v>
      </c>
      <c r="F42">
        <f t="shared" si="5"/>
        <v>77</v>
      </c>
      <c r="G42">
        <f t="shared" si="6"/>
        <v>109</v>
      </c>
      <c r="H42" t="str">
        <f t="shared" si="7"/>
        <v>reject</v>
      </c>
      <c r="I42">
        <f t="shared" si="8"/>
        <v>3.0277026559027736E-2</v>
      </c>
      <c r="J42">
        <f t="shared" si="9"/>
        <v>3.6792532167185269E-4</v>
      </c>
      <c r="K42">
        <f t="shared" si="12"/>
        <v>4.694383050680109E-221</v>
      </c>
      <c r="L42">
        <f t="shared" si="13"/>
        <v>6.836151973059274E-192</v>
      </c>
      <c r="M42">
        <f t="shared" si="10"/>
        <v>6.836151973059274E-192</v>
      </c>
      <c r="Q42">
        <v>41</v>
      </c>
      <c r="R42">
        <f t="shared" si="11"/>
        <v>7.394735081207581E-21</v>
      </c>
      <c r="S42">
        <f t="shared" si="11"/>
        <v>2.225272144329444E-6</v>
      </c>
      <c r="T42">
        <f t="shared" si="11"/>
        <v>0.13640878553591751</v>
      </c>
    </row>
    <row r="43" spans="1:20">
      <c r="A43" s="2">
        <v>45307</v>
      </c>
      <c r="B43" s="3">
        <v>104587000</v>
      </c>
      <c r="C43">
        <f t="shared" si="3"/>
        <v>2091740</v>
      </c>
      <c r="D43">
        <v>90</v>
      </c>
      <c r="E43" s="38">
        <f t="shared" si="4"/>
        <v>4.5052080204716649E-5</v>
      </c>
      <c r="F43">
        <f t="shared" si="5"/>
        <v>79</v>
      </c>
      <c r="G43">
        <f t="shared" si="6"/>
        <v>110</v>
      </c>
      <c r="H43" t="str">
        <f t="shared" si="7"/>
        <v>accept</v>
      </c>
      <c r="I43">
        <f t="shared" si="8"/>
        <v>0.71118009006838057</v>
      </c>
      <c r="J43">
        <f t="shared" si="9"/>
        <v>3.6792532167185269E-4</v>
      </c>
      <c r="K43">
        <f t="shared" si="12"/>
        <v>6.7003920948963087E-224</v>
      </c>
      <c r="L43">
        <f t="shared" si="13"/>
        <v>1.1894880075335816E-195</v>
      </c>
      <c r="M43">
        <f t="shared" si="10"/>
        <v>1.1894880075335816E-195</v>
      </c>
      <c r="Q43">
        <v>42</v>
      </c>
      <c r="R43">
        <f t="shared" si="11"/>
        <v>3.9614652220754442E-22</v>
      </c>
      <c r="S43">
        <f t="shared" si="11"/>
        <v>4.7684403092773685E-7</v>
      </c>
      <c r="T43">
        <f t="shared" si="11"/>
        <v>0.11692181617364357</v>
      </c>
    </row>
    <row r="44" spans="1:20">
      <c r="A44" s="2">
        <v>45303</v>
      </c>
      <c r="B44" s="3">
        <v>104749750</v>
      </c>
      <c r="C44">
        <f t="shared" si="3"/>
        <v>2094995</v>
      </c>
      <c r="D44">
        <v>91</v>
      </c>
      <c r="E44" s="38">
        <f t="shared" si="4"/>
        <v>4.5052080204716649E-5</v>
      </c>
      <c r="F44">
        <f t="shared" si="5"/>
        <v>79</v>
      </c>
      <c r="G44">
        <f t="shared" si="6"/>
        <v>111</v>
      </c>
      <c r="H44" t="str">
        <f t="shared" si="7"/>
        <v>accept</v>
      </c>
      <c r="I44">
        <f t="shared" si="8"/>
        <v>0.77862061567598084</v>
      </c>
      <c r="J44">
        <f t="shared" si="9"/>
        <v>3.6792532167185269E-4</v>
      </c>
      <c r="K44">
        <f t="shared" si="12"/>
        <v>2.2864764073869456E-224</v>
      </c>
      <c r="L44">
        <f t="shared" si="13"/>
        <v>2.9630515400422699E-195</v>
      </c>
      <c r="M44">
        <f t="shared" si="10"/>
        <v>2.9630515400422699E-195</v>
      </c>
      <c r="Q44">
        <v>43</v>
      </c>
      <c r="R44">
        <f t="shared" si="11"/>
        <v>1.8425419637560397E-23</v>
      </c>
      <c r="S44">
        <f t="shared" si="11"/>
        <v>8.8715168544695043E-8</v>
      </c>
      <c r="T44">
        <f t="shared" si="11"/>
        <v>8.7011584129223191E-2</v>
      </c>
    </row>
    <row r="45" spans="1:20">
      <c r="A45" s="2">
        <v>45300</v>
      </c>
      <c r="B45" s="3">
        <v>104402400</v>
      </c>
      <c r="C45">
        <f t="shared" si="3"/>
        <v>2088048</v>
      </c>
      <c r="D45">
        <v>69</v>
      </c>
      <c r="E45" s="38">
        <f t="shared" si="4"/>
        <v>4.5052080204716649E-5</v>
      </c>
      <c r="F45">
        <f t="shared" si="5"/>
        <v>78</v>
      </c>
      <c r="G45">
        <f t="shared" si="6"/>
        <v>110</v>
      </c>
      <c r="H45" t="str">
        <f t="shared" si="7"/>
        <v>reject</v>
      </c>
      <c r="I45">
        <f t="shared" si="8"/>
        <v>8.2978249357069343E-3</v>
      </c>
      <c r="J45">
        <f t="shared" si="9"/>
        <v>3.6792532167185269E-4</v>
      </c>
      <c r="K45">
        <f t="shared" si="12"/>
        <v>2.3279658879087625E-224</v>
      </c>
      <c r="L45">
        <f t="shared" si="13"/>
        <v>3.8118560689024113E-195</v>
      </c>
      <c r="M45">
        <f t="shared" si="10"/>
        <v>3.8118560689024113E-195</v>
      </c>
      <c r="Q45">
        <v>44</v>
      </c>
      <c r="R45">
        <f t="shared" si="11"/>
        <v>7.3282919013024146E-25</v>
      </c>
      <c r="S45">
        <f t="shared" si="11"/>
        <v>1.411377681392873E-8</v>
      </c>
      <c r="T45">
        <f t="shared" si="11"/>
        <v>5.5371008082232921E-2</v>
      </c>
    </row>
    <row r="46" spans="1:20">
      <c r="A46" s="2">
        <v>45296</v>
      </c>
      <c r="B46" s="3">
        <v>101273350</v>
      </c>
      <c r="C46">
        <f t="shared" si="3"/>
        <v>2025467</v>
      </c>
      <c r="D46">
        <v>81</v>
      </c>
      <c r="E46" s="38">
        <f t="shared" si="4"/>
        <v>4.5052080204716649E-5</v>
      </c>
      <c r="F46">
        <f t="shared" si="5"/>
        <v>76</v>
      </c>
      <c r="G46">
        <f t="shared" si="6"/>
        <v>107</v>
      </c>
      <c r="H46" t="str">
        <f t="shared" si="7"/>
        <v>accept</v>
      </c>
      <c r="I46">
        <f t="shared" si="8"/>
        <v>0.30673731822597367</v>
      </c>
      <c r="J46">
        <f t="shared" si="9"/>
        <v>3.6792532167185269E-4</v>
      </c>
      <c r="K46">
        <f t="shared" si="12"/>
        <v>2.3530849451170668E-217</v>
      </c>
      <c r="L46">
        <f t="shared" si="13"/>
        <v>4.2084257122752683E-189</v>
      </c>
      <c r="M46">
        <f t="shared" si="10"/>
        <v>4.2084257122752683E-189</v>
      </c>
      <c r="Q46">
        <v>45</v>
      </c>
      <c r="R46">
        <f t="shared" si="11"/>
        <v>2.4427639671008029E-26</v>
      </c>
      <c r="S46">
        <f t="shared" si="11"/>
        <v>1.8818369085238295E-9</v>
      </c>
      <c r="T46">
        <f t="shared" si="11"/>
        <v>2.9531204310524212E-2</v>
      </c>
    </row>
    <row r="47" spans="1:20">
      <c r="A47" s="2">
        <v>45293</v>
      </c>
      <c r="B47" s="3">
        <v>94153750</v>
      </c>
      <c r="C47">
        <f t="shared" si="3"/>
        <v>1883075</v>
      </c>
      <c r="D47">
        <v>90</v>
      </c>
      <c r="E47" s="38">
        <f t="shared" si="4"/>
        <v>4.5052080204716649E-5</v>
      </c>
      <c r="F47">
        <f t="shared" si="5"/>
        <v>70</v>
      </c>
      <c r="G47">
        <f t="shared" si="6"/>
        <v>100</v>
      </c>
      <c r="H47" t="str">
        <f t="shared" si="7"/>
        <v>accept</v>
      </c>
      <c r="I47">
        <f t="shared" si="8"/>
        <v>0.53120480465099851</v>
      </c>
      <c r="J47">
        <f t="shared" si="9"/>
        <v>3.6792532167185269E-4</v>
      </c>
      <c r="K47">
        <f t="shared" si="12"/>
        <v>7.4862241634720658E-203</v>
      </c>
      <c r="L47">
        <f t="shared" si="13"/>
        <v>1.6868651613027571E-175</v>
      </c>
      <c r="M47">
        <f t="shared" si="10"/>
        <v>1.6868651613027571E-175</v>
      </c>
      <c r="Q47">
        <v>46</v>
      </c>
      <c r="R47">
        <f t="shared" si="11"/>
        <v>6.6379455627738944E-28</v>
      </c>
      <c r="S47">
        <f t="shared" si="11"/>
        <v>2.0454749005693866E-10</v>
      </c>
      <c r="T47">
        <f t="shared" si="11"/>
        <v>1.2839654048054027E-2</v>
      </c>
    </row>
    <row r="48" spans="1:20">
      <c r="A48" s="2">
        <v>45289</v>
      </c>
      <c r="B48" s="3">
        <v>157827150</v>
      </c>
      <c r="C48">
        <f t="shared" si="3"/>
        <v>3156543</v>
      </c>
      <c r="D48">
        <v>156</v>
      </c>
      <c r="E48" s="38">
        <f t="shared" si="4"/>
        <v>4.5052080204716649E-5</v>
      </c>
      <c r="F48">
        <f t="shared" si="5"/>
        <v>123</v>
      </c>
      <c r="G48">
        <f t="shared" si="6"/>
        <v>162</v>
      </c>
      <c r="H48" t="str">
        <f t="shared" si="7"/>
        <v>accept</v>
      </c>
      <c r="I48">
        <f t="shared" si="8"/>
        <v>0.23290050357420977</v>
      </c>
      <c r="J48">
        <f t="shared" si="9"/>
        <v>3.6792532167185269E-4</v>
      </c>
      <c r="K48">
        <f t="shared" si="12"/>
        <v>0</v>
      </c>
      <c r="L48">
        <f t="shared" si="13"/>
        <v>1.1337367663930304E-297</v>
      </c>
      <c r="M48">
        <f t="shared" si="10"/>
        <v>1.1337367663930304E-297</v>
      </c>
      <c r="Q48">
        <v>47</v>
      </c>
      <c r="R48">
        <f t="shared" si="11"/>
        <v>1.4123288431433983E-29</v>
      </c>
      <c r="S48">
        <f t="shared" si="11"/>
        <v>1.7408297026122522E-11</v>
      </c>
      <c r="T48">
        <f t="shared" si="11"/>
        <v>4.3709460589120069E-3</v>
      </c>
    </row>
    <row r="49" spans="1:20">
      <c r="A49" s="2">
        <v>45286</v>
      </c>
      <c r="B49" s="3">
        <v>97816250</v>
      </c>
      <c r="C49">
        <f t="shared" si="3"/>
        <v>1956325</v>
      </c>
      <c r="D49">
        <v>129</v>
      </c>
      <c r="E49" s="38">
        <f t="shared" si="4"/>
        <v>4.5052080204716649E-5</v>
      </c>
      <c r="F49">
        <f t="shared" si="5"/>
        <v>73</v>
      </c>
      <c r="G49">
        <f t="shared" si="6"/>
        <v>104</v>
      </c>
      <c r="H49" t="str">
        <f t="shared" si="7"/>
        <v>reject</v>
      </c>
      <c r="I49">
        <f t="shared" si="8"/>
        <v>3.5979902367699879E-5</v>
      </c>
      <c r="J49">
        <f t="shared" si="9"/>
        <v>3.6792532167185269E-4</v>
      </c>
      <c r="K49">
        <f t="shared" si="12"/>
        <v>2.128676662801774E-210</v>
      </c>
      <c r="L49">
        <f t="shared" si="13"/>
        <v>3.6684578188742967E-182</v>
      </c>
      <c r="M49">
        <f t="shared" si="10"/>
        <v>3.6684578188742967E-182</v>
      </c>
      <c r="Q49">
        <v>48</v>
      </c>
      <c r="R49">
        <f t="shared" si="11"/>
        <v>2.2067638174115406E-31</v>
      </c>
      <c r="S49">
        <f t="shared" si="11"/>
        <v>1.088018564132656E-12</v>
      </c>
      <c r="T49">
        <f t="shared" si="11"/>
        <v>1.0927365147280032E-3</v>
      </c>
    </row>
    <row r="50" spans="1:20">
      <c r="A50" s="2">
        <v>45282</v>
      </c>
      <c r="B50" s="3">
        <v>92432900</v>
      </c>
      <c r="C50">
        <f t="shared" si="3"/>
        <v>1848658</v>
      </c>
      <c r="D50">
        <v>61</v>
      </c>
      <c r="E50" s="38">
        <f t="shared" si="4"/>
        <v>4.5052080204716649E-5</v>
      </c>
      <c r="F50">
        <f t="shared" si="5"/>
        <v>69</v>
      </c>
      <c r="G50">
        <f t="shared" si="6"/>
        <v>99</v>
      </c>
      <c r="H50" t="str">
        <f t="shared" si="7"/>
        <v>reject</v>
      </c>
      <c r="I50">
        <f t="shared" si="8"/>
        <v>1.293889422426992E-2</v>
      </c>
      <c r="J50">
        <f t="shared" si="9"/>
        <v>3.6792532167185269E-4</v>
      </c>
      <c r="K50">
        <f t="shared" si="12"/>
        <v>6.7057531347507464E-199</v>
      </c>
      <c r="L50">
        <f t="shared" si="13"/>
        <v>1.2423659654701472E-171</v>
      </c>
      <c r="M50">
        <f t="shared" si="10"/>
        <v>1.2423659654701472E-171</v>
      </c>
      <c r="Q50">
        <v>49</v>
      </c>
      <c r="R50">
        <f t="shared" si="11"/>
        <v>2.2517998136852455E-33</v>
      </c>
      <c r="S50">
        <f t="shared" si="11"/>
        <v>4.4408920985006533E-14</v>
      </c>
      <c r="T50">
        <f t="shared" si="11"/>
        <v>1.784059615882452E-4</v>
      </c>
    </row>
    <row r="51" spans="1:20">
      <c r="A51" s="2">
        <v>45279</v>
      </c>
      <c r="B51" s="3">
        <v>96200900</v>
      </c>
      <c r="C51">
        <f t="shared" si="3"/>
        <v>1924018</v>
      </c>
      <c r="D51">
        <v>122</v>
      </c>
      <c r="E51" s="38">
        <f t="shared" si="4"/>
        <v>4.5052080204716649E-5</v>
      </c>
      <c r="F51">
        <f t="shared" si="5"/>
        <v>72</v>
      </c>
      <c r="G51">
        <f t="shared" si="6"/>
        <v>102</v>
      </c>
      <c r="H51" t="str">
        <f t="shared" si="7"/>
        <v>reject</v>
      </c>
      <c r="I51">
        <f t="shared" si="8"/>
        <v>2.7628007013080769E-4</v>
      </c>
      <c r="J51">
        <f t="shared" si="9"/>
        <v>3.6792532167185269E-4</v>
      </c>
      <c r="K51">
        <f t="shared" si="12"/>
        <v>9.4785329651858447E-207</v>
      </c>
      <c r="L51">
        <f t="shared" si="13"/>
        <v>2.0184731832252648E-179</v>
      </c>
      <c r="M51">
        <f t="shared" si="10"/>
        <v>2.0184731832252648E-179</v>
      </c>
      <c r="Q51">
        <v>50</v>
      </c>
      <c r="R51">
        <f t="shared" si="11"/>
        <v>1.1258999068426267E-35</v>
      </c>
      <c r="S51">
        <f t="shared" si="11"/>
        <v>8.8817841970012444E-16</v>
      </c>
      <c r="T51">
        <f t="shared" si="11"/>
        <v>1.4272476927059631E-5</v>
      </c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94A2ACB-F6B2-43AC-9F2F-A2447A0D46BE}">
            <xm:f>NOT(ISERROR(SEARCH("reject",H2)))</xm:f>
            <xm:f>"reject"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H2:H51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62A4-315B-4486-8A89-36696A646F05}">
  <dimension ref="A1:W51"/>
  <sheetViews>
    <sheetView topLeftCell="F1" workbookViewId="0">
      <selection activeCell="X1" sqref="X1:X31"/>
    </sheetView>
  </sheetViews>
  <sheetFormatPr defaultRowHeight="16.5"/>
  <cols>
    <col min="2" max="2" width="15.5" customWidth="1"/>
    <col min="4" max="5" width="11.25" customWidth="1"/>
    <col min="6" max="6" width="13.125" customWidth="1"/>
    <col min="7" max="7" width="12.875" bestFit="1" customWidth="1"/>
    <col min="13" max="13" width="11.875" customWidth="1"/>
    <col min="14" max="14" width="19.5" customWidth="1"/>
    <col min="15" max="15" width="20.375" customWidth="1"/>
    <col min="19" max="19" width="9" style="8"/>
    <col min="20" max="20" width="12.875" style="10" bestFit="1" customWidth="1"/>
  </cols>
  <sheetData>
    <row r="1" spans="1:23">
      <c r="A1" t="s">
        <v>2</v>
      </c>
      <c r="B1" s="3" t="s">
        <v>1</v>
      </c>
      <c r="C1" t="s">
        <v>15</v>
      </c>
      <c r="D1" t="s">
        <v>126</v>
      </c>
      <c r="E1" t="s">
        <v>8</v>
      </c>
      <c r="F1" t="s">
        <v>16</v>
      </c>
      <c r="G1">
        <f>SUM(D2:D51)/SUM(C2:C51)</f>
        <v>4.4184483411577548E-5</v>
      </c>
      <c r="H1" t="s">
        <v>22</v>
      </c>
      <c r="I1" t="s">
        <v>14</v>
      </c>
      <c r="J1" t="s">
        <v>21</v>
      </c>
      <c r="K1" t="s">
        <v>19</v>
      </c>
      <c r="L1" t="s">
        <v>20</v>
      </c>
      <c r="N1" t="s">
        <v>26</v>
      </c>
      <c r="O1" t="s">
        <v>23</v>
      </c>
      <c r="P1" t="s">
        <v>25</v>
      </c>
      <c r="Q1" t="s">
        <v>27</v>
      </c>
      <c r="S1" s="8" t="s">
        <v>38</v>
      </c>
      <c r="T1" s="10" t="s">
        <v>36</v>
      </c>
      <c r="U1" s="9" t="s">
        <v>37</v>
      </c>
      <c r="V1" s="6" t="s">
        <v>32</v>
      </c>
      <c r="W1" s="9" t="s">
        <v>33</v>
      </c>
    </row>
    <row r="2" spans="1:23">
      <c r="A2" s="2">
        <v>45405</v>
      </c>
      <c r="B2" s="3">
        <v>94533100</v>
      </c>
      <c r="C2">
        <f>B2/50</f>
        <v>1890662</v>
      </c>
      <c r="D2">
        <v>78</v>
      </c>
      <c r="E2">
        <f>($G$1*(1-$G$1)/C2)^0.5</f>
        <v>4.8341302565372921E-6</v>
      </c>
      <c r="F2" t="s">
        <v>18</v>
      </c>
      <c r="G2">
        <f>AVERAGE(C2:C51)</f>
        <v>2805962.42</v>
      </c>
      <c r="H2">
        <v>1</v>
      </c>
      <c r="I2">
        <f>D2/C2</f>
        <v>4.125539096887757E-5</v>
      </c>
      <c r="J2">
        <f>$G$4</f>
        <v>4.4184483411577548E-5</v>
      </c>
      <c r="K2">
        <f>$G$5</f>
        <v>5.608883172918657E-5</v>
      </c>
      <c r="L2">
        <f>$G$6</f>
        <v>3.2280135093968526E-5</v>
      </c>
      <c r="M2" t="s">
        <v>24</v>
      </c>
      <c r="N2">
        <f>1-_xlfn.BINOM.DIST(G2*G5,G2,G1,1)</f>
        <v>1.8507114708032901E-3</v>
      </c>
      <c r="O2">
        <f>_xlfn.BINOM.DIST(G2*G6,G2,G1,1)</f>
        <v>8.3198096259901012E-4</v>
      </c>
      <c r="P2">
        <f>N2+O2</f>
        <v>2.6826924334023001E-3</v>
      </c>
      <c r="Q2">
        <f>1/P2</f>
        <v>372.75983916343296</v>
      </c>
      <c r="S2">
        <f>COMBIN(6,4)*COMBIN(42,1)/COMBIN(48,5)</f>
        <v>3.6792532167185269E-4</v>
      </c>
      <c r="T2" s="10">
        <f>_xlfn.BINOM.DIST(G2*G5,G2,S2,1)</f>
        <v>5.7170576636756862E-254</v>
      </c>
      <c r="U2">
        <f>_xlfn.BINOM.DIST(G2*G6,G2,S2,1)</f>
        <v>0</v>
      </c>
      <c r="V2">
        <f>T2-U2</f>
        <v>5.7170576636756862E-254</v>
      </c>
      <c r="W2">
        <f>1/(1-V2)</f>
        <v>1</v>
      </c>
    </row>
    <row r="3" spans="1:23">
      <c r="A3" s="2">
        <v>45401</v>
      </c>
      <c r="B3" s="3">
        <v>91260750</v>
      </c>
      <c r="C3">
        <f t="shared" ref="C3:C51" si="0">B3/50</f>
        <v>1825215</v>
      </c>
      <c r="D3">
        <v>83</v>
      </c>
      <c r="E3">
        <f t="shared" ref="E3:E51" si="1">($G$1*(1-$G$1)/C3)^0.5</f>
        <v>4.9200360111622142E-6</v>
      </c>
      <c r="F3" s="6" t="s">
        <v>17</v>
      </c>
      <c r="G3">
        <f>(G1*(1-G1)/G2)^0.5</f>
        <v>3.9681161058696746E-6</v>
      </c>
      <c r="H3">
        <v>2</v>
      </c>
      <c r="I3">
        <f t="shared" ref="I3:I51" si="2">D3/C3</f>
        <v>4.5474094832663551E-5</v>
      </c>
      <c r="J3">
        <f t="shared" ref="J3:J51" si="3">$G$4</f>
        <v>4.4184483411577548E-5</v>
      </c>
      <c r="K3">
        <f t="shared" ref="K3:K51" si="4">$G$5</f>
        <v>5.608883172918657E-5</v>
      </c>
      <c r="L3">
        <f t="shared" ref="L3:L51" si="5">$G$6</f>
        <v>3.2280135093968526E-5</v>
      </c>
    </row>
    <row r="4" spans="1:23">
      <c r="A4" s="2">
        <v>45398</v>
      </c>
      <c r="B4" s="3">
        <v>93796550</v>
      </c>
      <c r="C4">
        <f t="shared" si="0"/>
        <v>1875931</v>
      </c>
      <c r="D4">
        <v>80</v>
      </c>
      <c r="E4">
        <f t="shared" si="1"/>
        <v>4.8530734691124694E-6</v>
      </c>
      <c r="F4" s="7" t="s">
        <v>21</v>
      </c>
      <c r="G4">
        <f>G1</f>
        <v>4.4184483411577548E-5</v>
      </c>
      <c r="H4">
        <v>3</v>
      </c>
      <c r="I4">
        <f t="shared" si="2"/>
        <v>4.2645491758492186E-5</v>
      </c>
      <c r="J4">
        <f t="shared" si="3"/>
        <v>4.4184483411577548E-5</v>
      </c>
      <c r="K4">
        <f t="shared" si="4"/>
        <v>5.608883172918657E-5</v>
      </c>
      <c r="L4">
        <f t="shared" si="5"/>
        <v>3.2280135093968526E-5</v>
      </c>
      <c r="M4" t="str" cm="1">
        <f t="array" ref="M4:R5">TRANSPOSE(F1:G6)</f>
        <v>p_hat</v>
      </c>
      <c r="N4" t="str">
        <v>n_bar</v>
      </c>
      <c r="O4" t="str">
        <v>σ_(n_bar)</v>
      </c>
      <c r="P4" t="str">
        <v>CL</v>
      </c>
      <c r="Q4" t="str">
        <v>UCL</v>
      </c>
      <c r="R4" t="str">
        <v>LCL</v>
      </c>
    </row>
    <row r="5" spans="1:23">
      <c r="A5" s="2">
        <v>45394</v>
      </c>
      <c r="B5" s="3">
        <v>94919950</v>
      </c>
      <c r="C5">
        <f t="shared" si="0"/>
        <v>1898399</v>
      </c>
      <c r="D5">
        <v>89</v>
      </c>
      <c r="E5">
        <f t="shared" si="1"/>
        <v>4.8242693548934496E-6</v>
      </c>
      <c r="F5" t="s">
        <v>19</v>
      </c>
      <c r="G5">
        <f>G1+3*G3</f>
        <v>5.608883172918657E-5</v>
      </c>
      <c r="H5">
        <v>4</v>
      </c>
      <c r="I5">
        <f t="shared" si="2"/>
        <v>4.6881609187531177E-5</v>
      </c>
      <c r="J5">
        <f t="shared" si="3"/>
        <v>4.4184483411577548E-5</v>
      </c>
      <c r="K5">
        <f t="shared" si="4"/>
        <v>5.608883172918657E-5</v>
      </c>
      <c r="L5">
        <f t="shared" si="5"/>
        <v>3.2280135093968526E-5</v>
      </c>
      <c r="M5">
        <v>4.4184483411577548E-5</v>
      </c>
      <c r="N5">
        <v>2805962.42</v>
      </c>
      <c r="O5">
        <v>3.9681161058696746E-6</v>
      </c>
      <c r="P5">
        <v>4.4184483411577548E-5</v>
      </c>
      <c r="Q5">
        <v>5.608883172918657E-5</v>
      </c>
      <c r="R5">
        <v>3.2280135093968526E-5</v>
      </c>
    </row>
    <row r="6" spans="1:23">
      <c r="A6" s="2">
        <v>45391</v>
      </c>
      <c r="B6" s="3">
        <v>110857850</v>
      </c>
      <c r="C6">
        <f t="shared" si="0"/>
        <v>2217157</v>
      </c>
      <c r="D6">
        <v>139</v>
      </c>
      <c r="E6">
        <f t="shared" si="1"/>
        <v>4.4640296706327474E-6</v>
      </c>
      <c r="F6" t="s">
        <v>20</v>
      </c>
      <c r="G6">
        <f>G1-3*G3</f>
        <v>3.2280135093968526E-5</v>
      </c>
      <c r="H6">
        <v>5</v>
      </c>
      <c r="I6">
        <f t="shared" si="2"/>
        <v>6.2692899059471201E-5</v>
      </c>
      <c r="J6">
        <f t="shared" si="3"/>
        <v>4.4184483411577548E-5</v>
      </c>
      <c r="K6">
        <f t="shared" si="4"/>
        <v>5.608883172918657E-5</v>
      </c>
      <c r="L6">
        <f t="shared" si="5"/>
        <v>3.2280135093968526E-5</v>
      </c>
    </row>
    <row r="7" spans="1:23">
      <c r="A7" s="2">
        <v>45391</v>
      </c>
      <c r="B7" s="3">
        <v>101158800</v>
      </c>
      <c r="C7">
        <f t="shared" si="0"/>
        <v>2023176</v>
      </c>
      <c r="D7">
        <v>76</v>
      </c>
      <c r="E7">
        <f t="shared" si="1"/>
        <v>4.6731364690365633E-6</v>
      </c>
      <c r="H7">
        <v>6</v>
      </c>
      <c r="I7">
        <f t="shared" si="2"/>
        <v>3.7564700253462869E-5</v>
      </c>
      <c r="J7">
        <f t="shared" si="3"/>
        <v>4.4184483411577548E-5</v>
      </c>
      <c r="K7">
        <f t="shared" si="4"/>
        <v>5.608883172918657E-5</v>
      </c>
      <c r="L7">
        <f t="shared" si="5"/>
        <v>3.2280135093968526E-5</v>
      </c>
    </row>
    <row r="8" spans="1:23">
      <c r="A8" s="2">
        <v>45384</v>
      </c>
      <c r="B8" s="3">
        <v>102237750</v>
      </c>
      <c r="C8">
        <f t="shared" si="0"/>
        <v>2044755</v>
      </c>
      <c r="D8">
        <v>77</v>
      </c>
      <c r="E8">
        <f t="shared" si="1"/>
        <v>4.6484124607586393E-6</v>
      </c>
      <c r="H8">
        <v>7</v>
      </c>
      <c r="I8">
        <f t="shared" si="2"/>
        <v>3.76573232489956E-5</v>
      </c>
      <c r="J8">
        <f t="shared" si="3"/>
        <v>4.4184483411577548E-5</v>
      </c>
      <c r="K8">
        <f t="shared" si="4"/>
        <v>5.608883172918657E-5</v>
      </c>
      <c r="L8">
        <f t="shared" si="5"/>
        <v>3.2280135093968526E-5</v>
      </c>
    </row>
    <row r="9" spans="1:23">
      <c r="A9" s="2">
        <v>45380</v>
      </c>
      <c r="B9" s="3">
        <v>98140150</v>
      </c>
      <c r="C9">
        <f t="shared" si="0"/>
        <v>1962803</v>
      </c>
      <c r="D9">
        <v>93</v>
      </c>
      <c r="E9">
        <f t="shared" si="1"/>
        <v>4.7444616395178018E-6</v>
      </c>
      <c r="H9">
        <v>8</v>
      </c>
      <c r="I9">
        <f t="shared" si="2"/>
        <v>4.7381219612971857E-5</v>
      </c>
      <c r="J9">
        <f t="shared" si="3"/>
        <v>4.4184483411577548E-5</v>
      </c>
      <c r="K9">
        <f t="shared" si="4"/>
        <v>5.608883172918657E-5</v>
      </c>
      <c r="L9">
        <f t="shared" si="5"/>
        <v>3.2280135093968526E-5</v>
      </c>
    </row>
    <row r="10" spans="1:23">
      <c r="A10" s="2">
        <v>45377</v>
      </c>
      <c r="B10" s="3">
        <v>98682250</v>
      </c>
      <c r="C10">
        <f t="shared" si="0"/>
        <v>1973645</v>
      </c>
      <c r="D10">
        <v>87</v>
      </c>
      <c r="E10">
        <f t="shared" si="1"/>
        <v>4.731412106284685E-6</v>
      </c>
      <c r="H10">
        <v>9</v>
      </c>
      <c r="I10">
        <f t="shared" si="2"/>
        <v>4.4080875740064705E-5</v>
      </c>
      <c r="J10">
        <f t="shared" si="3"/>
        <v>4.4184483411577548E-5</v>
      </c>
      <c r="K10">
        <f t="shared" si="4"/>
        <v>5.608883172918657E-5</v>
      </c>
      <c r="L10">
        <f t="shared" si="5"/>
        <v>3.2280135093968526E-5</v>
      </c>
    </row>
    <row r="11" spans="1:23">
      <c r="A11" s="2">
        <v>45373</v>
      </c>
      <c r="B11" s="3">
        <v>100908850</v>
      </c>
      <c r="C11">
        <f t="shared" si="0"/>
        <v>2018177</v>
      </c>
      <c r="D11">
        <v>90</v>
      </c>
      <c r="E11">
        <f t="shared" si="1"/>
        <v>4.6789205407168742E-6</v>
      </c>
      <c r="H11">
        <v>10</v>
      </c>
      <c r="I11">
        <f t="shared" si="2"/>
        <v>4.4594701059421446E-5</v>
      </c>
      <c r="J11">
        <f t="shared" si="3"/>
        <v>4.4184483411577548E-5</v>
      </c>
      <c r="K11">
        <f t="shared" si="4"/>
        <v>5.608883172918657E-5</v>
      </c>
      <c r="L11">
        <f t="shared" si="5"/>
        <v>3.2280135093968526E-5</v>
      </c>
    </row>
    <row r="12" spans="1:23">
      <c r="A12" s="2">
        <v>45370</v>
      </c>
      <c r="B12" s="3">
        <v>102852250</v>
      </c>
      <c r="C12">
        <f t="shared" si="0"/>
        <v>2057045</v>
      </c>
      <c r="D12">
        <v>111</v>
      </c>
      <c r="E12">
        <f t="shared" si="1"/>
        <v>4.6345054787590771E-6</v>
      </c>
      <c r="H12">
        <v>11</v>
      </c>
      <c r="I12">
        <f t="shared" si="2"/>
        <v>5.3960900223378682E-5</v>
      </c>
      <c r="J12">
        <f t="shared" si="3"/>
        <v>4.4184483411577548E-5</v>
      </c>
      <c r="K12">
        <f t="shared" si="4"/>
        <v>5.608883172918657E-5</v>
      </c>
      <c r="L12">
        <f t="shared" si="5"/>
        <v>3.2280135093968526E-5</v>
      </c>
    </row>
    <row r="13" spans="1:23">
      <c r="A13" s="2">
        <v>45366</v>
      </c>
      <c r="B13" s="3">
        <v>102625750</v>
      </c>
      <c r="C13">
        <f t="shared" si="0"/>
        <v>2052515</v>
      </c>
      <c r="D13">
        <v>100</v>
      </c>
      <c r="E13">
        <f t="shared" si="1"/>
        <v>4.6396169490089014E-6</v>
      </c>
      <c r="H13">
        <v>12</v>
      </c>
      <c r="I13">
        <f t="shared" si="2"/>
        <v>4.8720715804756601E-5</v>
      </c>
      <c r="J13">
        <f t="shared" si="3"/>
        <v>4.4184483411577548E-5</v>
      </c>
      <c r="K13">
        <f t="shared" si="4"/>
        <v>5.608883172918657E-5</v>
      </c>
      <c r="L13">
        <f t="shared" si="5"/>
        <v>3.2280135093968526E-5</v>
      </c>
    </row>
    <row r="14" spans="1:23">
      <c r="A14" s="2">
        <v>45363</v>
      </c>
      <c r="B14" s="3">
        <v>147291700</v>
      </c>
      <c r="C14">
        <f t="shared" si="0"/>
        <v>2945834</v>
      </c>
      <c r="D14">
        <v>100</v>
      </c>
      <c r="E14">
        <f t="shared" si="1"/>
        <v>3.8727651445770871E-6</v>
      </c>
      <c r="H14">
        <v>13</v>
      </c>
      <c r="I14">
        <f t="shared" si="2"/>
        <v>3.3946244085715625E-5</v>
      </c>
      <c r="J14">
        <f t="shared" si="3"/>
        <v>4.4184483411577548E-5</v>
      </c>
      <c r="K14">
        <f t="shared" si="4"/>
        <v>5.608883172918657E-5</v>
      </c>
      <c r="L14">
        <f t="shared" si="5"/>
        <v>3.2280135093968526E-5</v>
      </c>
    </row>
    <row r="15" spans="1:23">
      <c r="A15" s="2">
        <v>45359</v>
      </c>
      <c r="B15" s="3">
        <v>132588250</v>
      </c>
      <c r="C15">
        <f t="shared" si="0"/>
        <v>2651765</v>
      </c>
      <c r="D15">
        <v>100</v>
      </c>
      <c r="E15">
        <f t="shared" si="1"/>
        <v>4.0818569348339985E-6</v>
      </c>
      <c r="H15">
        <v>14</v>
      </c>
      <c r="I15">
        <f t="shared" si="2"/>
        <v>3.7710732285854896E-5</v>
      </c>
      <c r="J15">
        <f t="shared" si="3"/>
        <v>4.4184483411577548E-5</v>
      </c>
      <c r="K15">
        <f t="shared" si="4"/>
        <v>5.608883172918657E-5</v>
      </c>
      <c r="L15">
        <f t="shared" si="5"/>
        <v>3.2280135093968526E-5</v>
      </c>
    </row>
    <row r="16" spans="1:23">
      <c r="A16" s="2">
        <v>45356</v>
      </c>
      <c r="B16" s="3">
        <v>134655600</v>
      </c>
      <c r="C16">
        <f t="shared" si="0"/>
        <v>2693112</v>
      </c>
      <c r="D16">
        <v>143</v>
      </c>
      <c r="E16">
        <f t="shared" si="1"/>
        <v>4.0504016248913855E-6</v>
      </c>
      <c r="H16">
        <v>15</v>
      </c>
      <c r="I16">
        <f t="shared" si="2"/>
        <v>5.3098422939706924E-5</v>
      </c>
      <c r="J16">
        <f t="shared" si="3"/>
        <v>4.4184483411577548E-5</v>
      </c>
      <c r="K16">
        <f t="shared" si="4"/>
        <v>5.608883172918657E-5</v>
      </c>
      <c r="L16">
        <f t="shared" si="5"/>
        <v>3.2280135093968526E-5</v>
      </c>
    </row>
    <row r="17" spans="1:12">
      <c r="A17" s="2">
        <v>45352</v>
      </c>
      <c r="B17" s="3">
        <v>119882400</v>
      </c>
      <c r="C17">
        <f t="shared" si="0"/>
        <v>2397648</v>
      </c>
      <c r="D17">
        <v>89</v>
      </c>
      <c r="E17">
        <f t="shared" si="1"/>
        <v>4.2927202184847822E-6</v>
      </c>
      <c r="H17">
        <v>16</v>
      </c>
      <c r="I17">
        <f t="shared" si="2"/>
        <v>3.7119710649770111E-5</v>
      </c>
      <c r="J17">
        <f t="shared" si="3"/>
        <v>4.4184483411577548E-5</v>
      </c>
      <c r="K17">
        <f t="shared" si="4"/>
        <v>5.608883172918657E-5</v>
      </c>
      <c r="L17">
        <f t="shared" si="5"/>
        <v>3.2280135093968526E-5</v>
      </c>
    </row>
    <row r="18" spans="1:12">
      <c r="A18" s="2">
        <v>45349</v>
      </c>
      <c r="B18" s="3">
        <v>114267850</v>
      </c>
      <c r="C18">
        <f t="shared" si="0"/>
        <v>2285357</v>
      </c>
      <c r="D18">
        <v>107</v>
      </c>
      <c r="E18">
        <f t="shared" si="1"/>
        <v>4.3969170273916513E-6</v>
      </c>
      <c r="H18">
        <v>17</v>
      </c>
      <c r="I18">
        <f t="shared" si="2"/>
        <v>4.6819818522882855E-5</v>
      </c>
      <c r="J18">
        <f t="shared" si="3"/>
        <v>4.4184483411577548E-5</v>
      </c>
      <c r="K18">
        <f t="shared" si="4"/>
        <v>5.608883172918657E-5</v>
      </c>
      <c r="L18">
        <f t="shared" si="5"/>
        <v>3.2280135093968526E-5</v>
      </c>
    </row>
    <row r="19" spans="1:12">
      <c r="A19" s="2">
        <v>45346</v>
      </c>
      <c r="B19" s="3">
        <v>140742000</v>
      </c>
      <c r="C19">
        <f t="shared" si="0"/>
        <v>2814840</v>
      </c>
      <c r="D19">
        <v>150</v>
      </c>
      <c r="E19">
        <f t="shared" si="1"/>
        <v>3.961853745054235E-6</v>
      </c>
      <c r="H19">
        <v>18</v>
      </c>
      <c r="I19">
        <f t="shared" si="2"/>
        <v>5.3288996887922582E-5</v>
      </c>
      <c r="J19">
        <f t="shared" si="3"/>
        <v>4.4184483411577548E-5</v>
      </c>
      <c r="K19">
        <f t="shared" si="4"/>
        <v>5.608883172918657E-5</v>
      </c>
      <c r="L19">
        <f t="shared" si="5"/>
        <v>3.2280135093968526E-5</v>
      </c>
    </row>
    <row r="20" spans="1:12">
      <c r="A20" s="2">
        <v>45345</v>
      </c>
      <c r="B20" s="3">
        <v>154793450</v>
      </c>
      <c r="C20">
        <f t="shared" si="0"/>
        <v>3095869</v>
      </c>
      <c r="D20">
        <v>153</v>
      </c>
      <c r="E20">
        <f t="shared" si="1"/>
        <v>3.7777569079229683E-6</v>
      </c>
      <c r="H20">
        <v>19</v>
      </c>
      <c r="I20">
        <f t="shared" si="2"/>
        <v>4.9420695772334039E-5</v>
      </c>
      <c r="J20">
        <f t="shared" si="3"/>
        <v>4.4184483411577548E-5</v>
      </c>
      <c r="K20">
        <f t="shared" si="4"/>
        <v>5.608883172918657E-5</v>
      </c>
      <c r="L20">
        <f t="shared" si="5"/>
        <v>3.2280135093968526E-5</v>
      </c>
    </row>
    <row r="21" spans="1:12">
      <c r="A21" s="2">
        <v>45344</v>
      </c>
      <c r="B21" s="3">
        <v>136989650</v>
      </c>
      <c r="C21">
        <f t="shared" si="0"/>
        <v>2739793</v>
      </c>
      <c r="D21">
        <v>127</v>
      </c>
      <c r="E21">
        <f t="shared" si="1"/>
        <v>4.0157477088970733E-6</v>
      </c>
      <c r="H21">
        <v>20</v>
      </c>
      <c r="I21">
        <f t="shared" si="2"/>
        <v>4.6353866879724127E-5</v>
      </c>
      <c r="J21">
        <f t="shared" si="3"/>
        <v>4.4184483411577548E-5</v>
      </c>
      <c r="K21">
        <f t="shared" si="4"/>
        <v>5.608883172918657E-5</v>
      </c>
      <c r="L21">
        <f t="shared" si="5"/>
        <v>3.2280135093968526E-5</v>
      </c>
    </row>
    <row r="22" spans="1:12">
      <c r="A22" s="2">
        <v>45343</v>
      </c>
      <c r="B22" s="3">
        <v>138635750</v>
      </c>
      <c r="C22">
        <f t="shared" si="0"/>
        <v>2772715</v>
      </c>
      <c r="D22">
        <v>119</v>
      </c>
      <c r="E22">
        <f t="shared" si="1"/>
        <v>3.991835905185511E-6</v>
      </c>
      <c r="H22">
        <v>21</v>
      </c>
      <c r="I22">
        <f t="shared" si="2"/>
        <v>4.2918222752789234E-5</v>
      </c>
      <c r="J22">
        <f t="shared" si="3"/>
        <v>4.4184483411577548E-5</v>
      </c>
      <c r="K22">
        <f t="shared" si="4"/>
        <v>5.608883172918657E-5</v>
      </c>
      <c r="L22">
        <f t="shared" si="5"/>
        <v>3.2280135093968526E-5</v>
      </c>
    </row>
    <row r="23" spans="1:12">
      <c r="A23" s="2">
        <v>45342</v>
      </c>
      <c r="B23" s="3">
        <v>156102700</v>
      </c>
      <c r="C23">
        <f t="shared" si="0"/>
        <v>3122054</v>
      </c>
      <c r="D23">
        <v>146</v>
      </c>
      <c r="E23">
        <f t="shared" si="1"/>
        <v>3.761881325156645E-6</v>
      </c>
      <c r="H23">
        <v>22</v>
      </c>
      <c r="I23">
        <f t="shared" si="2"/>
        <v>4.6764085438624703E-5</v>
      </c>
      <c r="J23">
        <f t="shared" si="3"/>
        <v>4.4184483411577548E-5</v>
      </c>
      <c r="K23">
        <f t="shared" si="4"/>
        <v>5.608883172918657E-5</v>
      </c>
      <c r="L23">
        <f t="shared" si="5"/>
        <v>3.2280135093968526E-5</v>
      </c>
    </row>
    <row r="24" spans="1:12">
      <c r="A24" s="2">
        <v>45341</v>
      </c>
      <c r="B24" s="3">
        <v>148157600</v>
      </c>
      <c r="C24">
        <f t="shared" si="0"/>
        <v>2963152</v>
      </c>
      <c r="D24">
        <v>133</v>
      </c>
      <c r="E24">
        <f t="shared" si="1"/>
        <v>3.8614314652865022E-6</v>
      </c>
      <c r="H24">
        <v>23</v>
      </c>
      <c r="I24">
        <f t="shared" si="2"/>
        <v>4.4884636360200218E-5</v>
      </c>
      <c r="J24">
        <f t="shared" si="3"/>
        <v>4.4184483411577548E-5</v>
      </c>
      <c r="K24">
        <f t="shared" si="4"/>
        <v>5.608883172918657E-5</v>
      </c>
      <c r="L24">
        <f t="shared" si="5"/>
        <v>3.2280135093968526E-5</v>
      </c>
    </row>
    <row r="25" spans="1:12">
      <c r="A25" s="2">
        <v>45340</v>
      </c>
      <c r="B25" s="3">
        <v>151708250</v>
      </c>
      <c r="C25">
        <f t="shared" si="0"/>
        <v>3034165</v>
      </c>
      <c r="D25">
        <v>120</v>
      </c>
      <c r="E25">
        <f t="shared" si="1"/>
        <v>3.8159765654089263E-6</v>
      </c>
      <c r="H25">
        <v>24</v>
      </c>
      <c r="I25">
        <f t="shared" si="2"/>
        <v>3.9549596017355679E-5</v>
      </c>
      <c r="J25">
        <f t="shared" si="3"/>
        <v>4.4184483411577548E-5</v>
      </c>
      <c r="K25">
        <f t="shared" si="4"/>
        <v>5.608883172918657E-5</v>
      </c>
      <c r="L25">
        <f t="shared" si="5"/>
        <v>3.2280135093968526E-5</v>
      </c>
    </row>
    <row r="26" spans="1:12">
      <c r="A26" s="2">
        <v>45339</v>
      </c>
      <c r="B26" s="3">
        <v>164832950</v>
      </c>
      <c r="C26">
        <f t="shared" si="0"/>
        <v>3296659</v>
      </c>
      <c r="D26">
        <v>148</v>
      </c>
      <c r="E26">
        <f t="shared" si="1"/>
        <v>3.6609035124952661E-6</v>
      </c>
      <c r="H26">
        <v>25</v>
      </c>
      <c r="I26">
        <f t="shared" si="2"/>
        <v>4.4893936558194223E-5</v>
      </c>
      <c r="J26">
        <f t="shared" si="3"/>
        <v>4.4184483411577548E-5</v>
      </c>
      <c r="K26">
        <f t="shared" si="4"/>
        <v>5.608883172918657E-5</v>
      </c>
      <c r="L26">
        <f t="shared" si="5"/>
        <v>3.2280135093968526E-5</v>
      </c>
    </row>
    <row r="27" spans="1:12">
      <c r="A27" s="2">
        <v>45338</v>
      </c>
      <c r="B27" s="3">
        <v>188302250</v>
      </c>
      <c r="C27">
        <f t="shared" si="0"/>
        <v>3766045</v>
      </c>
      <c r="D27">
        <v>151</v>
      </c>
      <c r="E27">
        <f t="shared" si="1"/>
        <v>3.4251732500332935E-6</v>
      </c>
      <c r="H27">
        <v>26</v>
      </c>
      <c r="I27">
        <f t="shared" si="2"/>
        <v>4.0095113042993377E-5</v>
      </c>
      <c r="J27">
        <f t="shared" si="3"/>
        <v>4.4184483411577548E-5</v>
      </c>
      <c r="K27">
        <f t="shared" si="4"/>
        <v>5.608883172918657E-5</v>
      </c>
      <c r="L27">
        <f t="shared" si="5"/>
        <v>3.2280135093968526E-5</v>
      </c>
    </row>
    <row r="28" spans="1:12">
      <c r="A28" s="2">
        <v>45337</v>
      </c>
      <c r="B28" s="3">
        <v>197336000</v>
      </c>
      <c r="C28">
        <f t="shared" si="0"/>
        <v>3946720</v>
      </c>
      <c r="D28">
        <v>187</v>
      </c>
      <c r="E28">
        <f t="shared" si="1"/>
        <v>3.3458551692062241E-6</v>
      </c>
      <c r="H28">
        <v>27</v>
      </c>
      <c r="I28">
        <f t="shared" si="2"/>
        <v>4.7381116471399033E-5</v>
      </c>
      <c r="J28">
        <f t="shared" si="3"/>
        <v>4.4184483411577548E-5</v>
      </c>
      <c r="K28">
        <f t="shared" si="4"/>
        <v>5.608883172918657E-5</v>
      </c>
      <c r="L28">
        <f t="shared" si="5"/>
        <v>3.2280135093968526E-5</v>
      </c>
    </row>
    <row r="29" spans="1:12">
      <c r="A29" s="2">
        <v>45336</v>
      </c>
      <c r="B29" s="3">
        <v>272001450</v>
      </c>
      <c r="C29">
        <f t="shared" si="0"/>
        <v>5440029</v>
      </c>
      <c r="D29">
        <v>233</v>
      </c>
      <c r="E29">
        <f t="shared" si="1"/>
        <v>2.8498676314843483E-6</v>
      </c>
      <c r="H29">
        <v>28</v>
      </c>
      <c r="I29">
        <f t="shared" si="2"/>
        <v>4.2830654027763454E-5</v>
      </c>
      <c r="J29">
        <f t="shared" si="3"/>
        <v>4.4184483411577548E-5</v>
      </c>
      <c r="K29">
        <f t="shared" si="4"/>
        <v>5.608883172918657E-5</v>
      </c>
      <c r="L29">
        <f t="shared" si="5"/>
        <v>3.2280135093968526E-5</v>
      </c>
    </row>
    <row r="30" spans="1:12">
      <c r="A30" s="2">
        <v>45335</v>
      </c>
      <c r="B30" s="3">
        <v>190351800</v>
      </c>
      <c r="C30">
        <f t="shared" si="0"/>
        <v>3807036</v>
      </c>
      <c r="D30">
        <v>130</v>
      </c>
      <c r="E30">
        <f t="shared" si="1"/>
        <v>3.4066836355168514E-6</v>
      </c>
      <c r="H30">
        <v>29</v>
      </c>
      <c r="I30">
        <f t="shared" si="2"/>
        <v>3.4147299894195906E-5</v>
      </c>
      <c r="J30">
        <f t="shared" si="3"/>
        <v>4.4184483411577548E-5</v>
      </c>
      <c r="K30">
        <f t="shared" si="4"/>
        <v>5.608883172918657E-5</v>
      </c>
      <c r="L30">
        <f t="shared" si="5"/>
        <v>3.2280135093968526E-5</v>
      </c>
    </row>
    <row r="31" spans="1:12">
      <c r="A31" s="2">
        <v>45334</v>
      </c>
      <c r="B31" s="3">
        <v>248903050</v>
      </c>
      <c r="C31">
        <f t="shared" si="0"/>
        <v>4978061</v>
      </c>
      <c r="D31">
        <v>190</v>
      </c>
      <c r="E31">
        <f t="shared" si="1"/>
        <v>2.9791693351996313E-6</v>
      </c>
      <c r="H31">
        <v>30</v>
      </c>
      <c r="I31">
        <f t="shared" si="2"/>
        <v>3.8167471230264156E-5</v>
      </c>
      <c r="J31">
        <f t="shared" si="3"/>
        <v>4.4184483411577548E-5</v>
      </c>
      <c r="K31">
        <f t="shared" si="4"/>
        <v>5.608883172918657E-5</v>
      </c>
      <c r="L31">
        <f t="shared" si="5"/>
        <v>3.2280135093968526E-5</v>
      </c>
    </row>
    <row r="32" spans="1:12">
      <c r="A32" s="2">
        <v>45333</v>
      </c>
      <c r="B32" s="3">
        <v>271083500</v>
      </c>
      <c r="C32">
        <f t="shared" si="0"/>
        <v>5421670</v>
      </c>
      <c r="D32">
        <v>178</v>
      </c>
      <c r="E32">
        <f t="shared" si="1"/>
        <v>2.8546887015821712E-6</v>
      </c>
      <c r="H32">
        <v>31</v>
      </c>
      <c r="I32">
        <f t="shared" si="2"/>
        <v>3.2831212523078682E-5</v>
      </c>
      <c r="J32">
        <f t="shared" si="3"/>
        <v>4.4184483411577548E-5</v>
      </c>
      <c r="K32">
        <f t="shared" si="4"/>
        <v>5.608883172918657E-5</v>
      </c>
      <c r="L32">
        <f t="shared" si="5"/>
        <v>3.2280135093968526E-5</v>
      </c>
    </row>
    <row r="33" spans="1:12">
      <c r="A33" s="2">
        <v>45332</v>
      </c>
      <c r="B33" s="3">
        <v>311420200</v>
      </c>
      <c r="C33">
        <f t="shared" si="0"/>
        <v>6228404</v>
      </c>
      <c r="D33">
        <v>344</v>
      </c>
      <c r="E33">
        <f t="shared" si="1"/>
        <v>2.6634031475776509E-6</v>
      </c>
      <c r="H33">
        <v>32</v>
      </c>
      <c r="I33">
        <f t="shared" si="2"/>
        <v>5.523084244374642E-5</v>
      </c>
      <c r="J33">
        <f t="shared" si="3"/>
        <v>4.4184483411577548E-5</v>
      </c>
      <c r="K33">
        <f t="shared" si="4"/>
        <v>5.608883172918657E-5</v>
      </c>
      <c r="L33">
        <f t="shared" si="5"/>
        <v>3.2280135093968526E-5</v>
      </c>
    </row>
    <row r="34" spans="1:12">
      <c r="A34" s="2">
        <v>45331</v>
      </c>
      <c r="B34" s="3">
        <v>289130550</v>
      </c>
      <c r="C34">
        <f t="shared" si="0"/>
        <v>5782611</v>
      </c>
      <c r="D34">
        <v>271</v>
      </c>
      <c r="E34">
        <f t="shared" si="1"/>
        <v>2.7641608215975117E-6</v>
      </c>
      <c r="H34">
        <v>33</v>
      </c>
      <c r="I34">
        <f t="shared" si="2"/>
        <v>4.6864642978751294E-5</v>
      </c>
      <c r="J34">
        <f t="shared" si="3"/>
        <v>4.4184483411577548E-5</v>
      </c>
      <c r="K34">
        <f t="shared" si="4"/>
        <v>5.608883172918657E-5</v>
      </c>
      <c r="L34">
        <f t="shared" si="5"/>
        <v>3.2280135093968526E-5</v>
      </c>
    </row>
    <row r="35" spans="1:12">
      <c r="A35" s="2">
        <v>45330</v>
      </c>
      <c r="B35" s="3">
        <v>183653950</v>
      </c>
      <c r="C35">
        <f t="shared" si="0"/>
        <v>3673079</v>
      </c>
      <c r="D35">
        <v>158</v>
      </c>
      <c r="E35">
        <f t="shared" si="1"/>
        <v>3.4682481359652829E-6</v>
      </c>
      <c r="H35">
        <v>34</v>
      </c>
      <c r="I35">
        <f t="shared" si="2"/>
        <v>4.3015682483279012E-5</v>
      </c>
      <c r="J35">
        <f t="shared" si="3"/>
        <v>4.4184483411577548E-5</v>
      </c>
      <c r="K35">
        <f t="shared" si="4"/>
        <v>5.608883172918657E-5</v>
      </c>
      <c r="L35">
        <f t="shared" si="5"/>
        <v>3.2280135093968526E-5</v>
      </c>
    </row>
    <row r="36" spans="1:12">
      <c r="A36" s="2">
        <v>45329</v>
      </c>
      <c r="B36" s="3">
        <v>147109300</v>
      </c>
      <c r="C36">
        <f t="shared" si="0"/>
        <v>2942186</v>
      </c>
      <c r="D36">
        <v>109</v>
      </c>
      <c r="E36">
        <f t="shared" si="1"/>
        <v>3.8751653107631287E-6</v>
      </c>
      <c r="H36">
        <v>35</v>
      </c>
      <c r="I36">
        <f t="shared" si="2"/>
        <v>3.7047283890277503E-5</v>
      </c>
      <c r="J36">
        <f t="shared" si="3"/>
        <v>4.4184483411577548E-5</v>
      </c>
      <c r="K36">
        <f t="shared" si="4"/>
        <v>5.608883172918657E-5</v>
      </c>
      <c r="L36">
        <f t="shared" si="5"/>
        <v>3.2280135093968526E-5</v>
      </c>
    </row>
    <row r="37" spans="1:12">
      <c r="A37" s="2">
        <v>45328</v>
      </c>
      <c r="B37" s="3">
        <v>215438650</v>
      </c>
      <c r="C37">
        <f t="shared" si="0"/>
        <v>4308773</v>
      </c>
      <c r="D37">
        <v>216</v>
      </c>
      <c r="E37">
        <f t="shared" si="1"/>
        <v>3.2022002625357423E-6</v>
      </c>
      <c r="H37">
        <v>36</v>
      </c>
      <c r="I37">
        <f t="shared" si="2"/>
        <v>5.0130280708684354E-5</v>
      </c>
      <c r="J37">
        <f t="shared" si="3"/>
        <v>4.4184483411577548E-5</v>
      </c>
      <c r="K37">
        <f t="shared" si="4"/>
        <v>5.608883172918657E-5</v>
      </c>
      <c r="L37">
        <f t="shared" si="5"/>
        <v>3.2280135093968526E-5</v>
      </c>
    </row>
    <row r="38" spans="1:12">
      <c r="A38" s="2">
        <v>45324</v>
      </c>
      <c r="B38" s="3">
        <v>108994850</v>
      </c>
      <c r="C38">
        <f t="shared" si="0"/>
        <v>2179897</v>
      </c>
      <c r="D38">
        <v>81</v>
      </c>
      <c r="E38">
        <f t="shared" si="1"/>
        <v>4.5020188521780426E-6</v>
      </c>
      <c r="H38">
        <v>37</v>
      </c>
      <c r="I38">
        <f t="shared" si="2"/>
        <v>3.7157718919747129E-5</v>
      </c>
      <c r="J38">
        <f t="shared" si="3"/>
        <v>4.4184483411577548E-5</v>
      </c>
      <c r="K38">
        <f t="shared" si="4"/>
        <v>5.608883172918657E-5</v>
      </c>
      <c r="L38">
        <f t="shared" si="5"/>
        <v>3.2280135093968526E-5</v>
      </c>
    </row>
    <row r="39" spans="1:12">
      <c r="A39" s="2">
        <v>45321</v>
      </c>
      <c r="B39" s="3">
        <v>106791850</v>
      </c>
      <c r="C39">
        <f t="shared" si="0"/>
        <v>2135837</v>
      </c>
      <c r="D39">
        <v>78</v>
      </c>
      <c r="E39">
        <f t="shared" si="1"/>
        <v>4.5482176926197157E-6</v>
      </c>
      <c r="H39">
        <v>38</v>
      </c>
      <c r="I39">
        <f t="shared" si="2"/>
        <v>3.6519640777830895E-5</v>
      </c>
      <c r="J39">
        <f t="shared" si="3"/>
        <v>4.4184483411577548E-5</v>
      </c>
      <c r="K39">
        <f t="shared" si="4"/>
        <v>5.608883172918657E-5</v>
      </c>
      <c r="L39">
        <f t="shared" si="5"/>
        <v>3.2280135093968526E-5</v>
      </c>
    </row>
    <row r="40" spans="1:12">
      <c r="A40" s="2">
        <v>45317</v>
      </c>
      <c r="B40" s="3">
        <v>102419000</v>
      </c>
      <c r="C40">
        <f t="shared" si="0"/>
        <v>2048380</v>
      </c>
      <c r="D40">
        <v>69</v>
      </c>
      <c r="E40">
        <f t="shared" si="1"/>
        <v>4.6442975121609066E-6</v>
      </c>
      <c r="H40">
        <v>39</v>
      </c>
      <c r="I40">
        <f t="shared" si="2"/>
        <v>3.3685156074556477E-5</v>
      </c>
      <c r="J40">
        <f t="shared" si="3"/>
        <v>4.4184483411577548E-5</v>
      </c>
      <c r="K40">
        <f t="shared" si="4"/>
        <v>5.608883172918657E-5</v>
      </c>
      <c r="L40">
        <f t="shared" si="5"/>
        <v>3.2280135093968526E-5</v>
      </c>
    </row>
    <row r="41" spans="1:12">
      <c r="A41" s="2">
        <v>45314</v>
      </c>
      <c r="B41" s="3">
        <v>92997300</v>
      </c>
      <c r="C41">
        <f t="shared" si="0"/>
        <v>1859946</v>
      </c>
      <c r="D41">
        <v>105</v>
      </c>
      <c r="E41">
        <f t="shared" si="1"/>
        <v>4.873883323933547E-6</v>
      </c>
      <c r="H41">
        <v>40</v>
      </c>
      <c r="I41">
        <f t="shared" si="2"/>
        <v>5.6453251868602638E-5</v>
      </c>
      <c r="J41">
        <f t="shared" si="3"/>
        <v>4.4184483411577548E-5</v>
      </c>
      <c r="K41">
        <f t="shared" si="4"/>
        <v>5.608883172918657E-5</v>
      </c>
      <c r="L41">
        <f t="shared" si="5"/>
        <v>3.2280135093968526E-5</v>
      </c>
    </row>
    <row r="42" spans="1:12">
      <c r="A42" s="2">
        <v>45310</v>
      </c>
      <c r="B42" s="3">
        <v>102906750</v>
      </c>
      <c r="C42">
        <f t="shared" si="0"/>
        <v>2058135</v>
      </c>
      <c r="D42">
        <v>72</v>
      </c>
      <c r="E42">
        <f t="shared" si="1"/>
        <v>4.6332780860007078E-6</v>
      </c>
      <c r="H42">
        <v>41</v>
      </c>
      <c r="I42">
        <f t="shared" si="2"/>
        <v>3.4983127928925944E-5</v>
      </c>
      <c r="J42">
        <f t="shared" si="3"/>
        <v>4.4184483411577548E-5</v>
      </c>
      <c r="K42">
        <f t="shared" si="4"/>
        <v>5.608883172918657E-5</v>
      </c>
      <c r="L42">
        <f t="shared" si="5"/>
        <v>3.2280135093968526E-5</v>
      </c>
    </row>
    <row r="43" spans="1:12">
      <c r="A43" s="2">
        <v>45307</v>
      </c>
      <c r="B43" s="3">
        <v>104587000</v>
      </c>
      <c r="C43">
        <f t="shared" si="0"/>
        <v>2091740</v>
      </c>
      <c r="D43">
        <v>90</v>
      </c>
      <c r="E43">
        <f t="shared" si="1"/>
        <v>4.5959092585848134E-6</v>
      </c>
      <c r="H43">
        <v>42</v>
      </c>
      <c r="I43">
        <f t="shared" si="2"/>
        <v>4.3026379951619223E-5</v>
      </c>
      <c r="J43">
        <f t="shared" si="3"/>
        <v>4.4184483411577548E-5</v>
      </c>
      <c r="K43">
        <f t="shared" si="4"/>
        <v>5.608883172918657E-5</v>
      </c>
      <c r="L43">
        <f t="shared" si="5"/>
        <v>3.2280135093968526E-5</v>
      </c>
    </row>
    <row r="44" spans="1:12">
      <c r="A44" s="2">
        <v>45303</v>
      </c>
      <c r="B44" s="3">
        <v>104749750</v>
      </c>
      <c r="C44">
        <f t="shared" si="0"/>
        <v>2094995</v>
      </c>
      <c r="D44">
        <v>91</v>
      </c>
      <c r="E44">
        <f t="shared" si="1"/>
        <v>4.5923375317115161E-6</v>
      </c>
      <c r="H44">
        <v>43</v>
      </c>
      <c r="I44">
        <f t="shared" si="2"/>
        <v>4.3436857844529463E-5</v>
      </c>
      <c r="J44">
        <f t="shared" si="3"/>
        <v>4.4184483411577548E-5</v>
      </c>
      <c r="K44">
        <f t="shared" si="4"/>
        <v>5.608883172918657E-5</v>
      </c>
      <c r="L44">
        <f t="shared" si="5"/>
        <v>3.2280135093968526E-5</v>
      </c>
    </row>
    <row r="45" spans="1:12">
      <c r="A45" s="2">
        <v>45300</v>
      </c>
      <c r="B45" s="3">
        <v>104402400</v>
      </c>
      <c r="C45">
        <f t="shared" si="0"/>
        <v>2088048</v>
      </c>
      <c r="D45">
        <v>69</v>
      </c>
      <c r="E45">
        <f t="shared" si="1"/>
        <v>4.5999706123072575E-6</v>
      </c>
      <c r="H45">
        <v>44</v>
      </c>
      <c r="I45">
        <f t="shared" si="2"/>
        <v>3.3045217351325258E-5</v>
      </c>
      <c r="J45">
        <f t="shared" si="3"/>
        <v>4.4184483411577548E-5</v>
      </c>
      <c r="K45">
        <f t="shared" si="4"/>
        <v>5.608883172918657E-5</v>
      </c>
      <c r="L45">
        <f t="shared" si="5"/>
        <v>3.2280135093968526E-5</v>
      </c>
    </row>
    <row r="46" spans="1:12">
      <c r="A46" s="2">
        <v>45296</v>
      </c>
      <c r="B46" s="3">
        <v>101273350</v>
      </c>
      <c r="C46">
        <f t="shared" si="0"/>
        <v>2025467</v>
      </c>
      <c r="D46">
        <v>81</v>
      </c>
      <c r="E46">
        <f t="shared" si="1"/>
        <v>4.6704928355462295E-6</v>
      </c>
      <c r="H46">
        <v>45</v>
      </c>
      <c r="I46">
        <f t="shared" si="2"/>
        <v>3.9990777435524745E-5</v>
      </c>
      <c r="J46">
        <f t="shared" si="3"/>
        <v>4.4184483411577548E-5</v>
      </c>
      <c r="K46">
        <f t="shared" si="4"/>
        <v>5.608883172918657E-5</v>
      </c>
      <c r="L46">
        <f t="shared" si="5"/>
        <v>3.2280135093968526E-5</v>
      </c>
    </row>
    <row r="47" spans="1:12">
      <c r="A47" s="2">
        <v>45293</v>
      </c>
      <c r="B47" s="3">
        <v>94153750</v>
      </c>
      <c r="C47">
        <f t="shared" si="0"/>
        <v>1883075</v>
      </c>
      <c r="D47">
        <v>90</v>
      </c>
      <c r="E47">
        <f t="shared" si="1"/>
        <v>4.8438589390375521E-6</v>
      </c>
      <c r="H47">
        <v>46</v>
      </c>
      <c r="I47">
        <f t="shared" si="2"/>
        <v>4.7794166456460842E-5</v>
      </c>
      <c r="J47">
        <f t="shared" si="3"/>
        <v>4.4184483411577548E-5</v>
      </c>
      <c r="K47">
        <f t="shared" si="4"/>
        <v>5.608883172918657E-5</v>
      </c>
      <c r="L47">
        <f t="shared" si="5"/>
        <v>3.2280135093968526E-5</v>
      </c>
    </row>
    <row r="48" spans="1:12">
      <c r="A48" s="2">
        <v>45289</v>
      </c>
      <c r="B48" s="3">
        <v>157827150</v>
      </c>
      <c r="C48">
        <f t="shared" si="0"/>
        <v>3156543</v>
      </c>
      <c r="D48">
        <v>156</v>
      </c>
      <c r="E48">
        <f t="shared" si="1"/>
        <v>3.7412733570106013E-6</v>
      </c>
      <c r="H48">
        <v>47</v>
      </c>
      <c r="I48">
        <f t="shared" si="2"/>
        <v>4.9421154725280155E-5</v>
      </c>
      <c r="J48">
        <f t="shared" si="3"/>
        <v>4.4184483411577548E-5</v>
      </c>
      <c r="K48">
        <f t="shared" si="4"/>
        <v>5.608883172918657E-5</v>
      </c>
      <c r="L48">
        <f t="shared" si="5"/>
        <v>3.2280135093968526E-5</v>
      </c>
    </row>
    <row r="49" spans="1:12">
      <c r="A49" s="2">
        <v>45286</v>
      </c>
      <c r="B49" s="3">
        <v>97816250</v>
      </c>
      <c r="C49">
        <f t="shared" si="0"/>
        <v>1956325</v>
      </c>
      <c r="D49">
        <v>129</v>
      </c>
      <c r="E49">
        <f t="shared" si="1"/>
        <v>4.7523103409266041E-6</v>
      </c>
      <c r="H49">
        <v>48</v>
      </c>
      <c r="I49">
        <f t="shared" si="2"/>
        <v>6.5939963963042953E-5</v>
      </c>
      <c r="J49">
        <f t="shared" si="3"/>
        <v>4.4184483411577548E-5</v>
      </c>
      <c r="K49">
        <f t="shared" si="4"/>
        <v>5.608883172918657E-5</v>
      </c>
      <c r="L49">
        <f t="shared" si="5"/>
        <v>3.2280135093968526E-5</v>
      </c>
    </row>
    <row r="50" spans="1:12">
      <c r="A50" s="2">
        <v>45282</v>
      </c>
      <c r="B50" s="3">
        <v>92432900</v>
      </c>
      <c r="C50">
        <f t="shared" si="0"/>
        <v>1848658</v>
      </c>
      <c r="D50">
        <v>61</v>
      </c>
      <c r="E50">
        <f t="shared" si="1"/>
        <v>4.8887407684043498E-6</v>
      </c>
      <c r="H50">
        <v>49</v>
      </c>
      <c r="I50">
        <f t="shared" si="2"/>
        <v>3.2996909109202456E-5</v>
      </c>
      <c r="J50">
        <f t="shared" si="3"/>
        <v>4.4184483411577548E-5</v>
      </c>
      <c r="K50">
        <f t="shared" si="4"/>
        <v>5.608883172918657E-5</v>
      </c>
      <c r="L50">
        <f t="shared" si="5"/>
        <v>3.2280135093968526E-5</v>
      </c>
    </row>
    <row r="51" spans="1:12">
      <c r="A51" s="2">
        <v>45279</v>
      </c>
      <c r="B51" s="3">
        <v>96200900</v>
      </c>
      <c r="C51">
        <f t="shared" si="0"/>
        <v>1924018</v>
      </c>
      <c r="D51">
        <v>122</v>
      </c>
      <c r="E51">
        <f t="shared" si="1"/>
        <v>4.7920432686442463E-6</v>
      </c>
      <c r="H51">
        <v>50</v>
      </c>
      <c r="I51">
        <f t="shared" si="2"/>
        <v>6.3408970186349607E-5</v>
      </c>
      <c r="J51">
        <f t="shared" si="3"/>
        <v>4.4184483411577548E-5</v>
      </c>
      <c r="K51">
        <f t="shared" si="4"/>
        <v>5.608883172918657E-5</v>
      </c>
      <c r="L51">
        <f t="shared" si="5"/>
        <v>3.2280135093968526E-5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A445-4E2A-4D01-905E-751048CDECCC}">
  <dimension ref="A1:Z86"/>
  <sheetViews>
    <sheetView topLeftCell="C1" workbookViewId="0">
      <selection activeCell="Q6" sqref="Q6"/>
    </sheetView>
  </sheetViews>
  <sheetFormatPr defaultRowHeight="16.5"/>
  <cols>
    <col min="24" max="24" width="10.375" customWidth="1"/>
    <col min="26" max="26" width="17" customWidth="1"/>
  </cols>
  <sheetData>
    <row r="1" spans="1:26">
      <c r="B1" s="42" t="s">
        <v>39</v>
      </c>
      <c r="C1" s="44" t="s">
        <v>40</v>
      </c>
      <c r="D1" s="44"/>
      <c r="E1" s="44"/>
      <c r="F1" s="44"/>
      <c r="G1" s="44"/>
      <c r="H1" s="44"/>
      <c r="I1" s="44"/>
      <c r="J1" s="44"/>
      <c r="K1" s="44"/>
      <c r="L1" s="44"/>
      <c r="M1" s="44"/>
    </row>
    <row r="2" spans="1:26" ht="27">
      <c r="B2" s="43"/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1" t="s">
        <v>47</v>
      </c>
      <c r="J2" s="11" t="s">
        <v>48</v>
      </c>
      <c r="K2" s="11" t="s">
        <v>49</v>
      </c>
      <c r="L2" s="11" t="s">
        <v>50</v>
      </c>
      <c r="M2" s="11" t="s">
        <v>51</v>
      </c>
      <c r="N2" s="15" t="s">
        <v>52</v>
      </c>
      <c r="P2" s="18" t="s">
        <v>12</v>
      </c>
      <c r="Q2" s="18" t="s">
        <v>54</v>
      </c>
      <c r="R2" s="18" t="s">
        <v>55</v>
      </c>
      <c r="S2" s="18" t="s">
        <v>65</v>
      </c>
      <c r="T2" s="18"/>
      <c r="U2" s="18" t="s">
        <v>53</v>
      </c>
      <c r="V2" s="18" t="s">
        <v>56</v>
      </c>
      <c r="W2" s="18" t="s">
        <v>57</v>
      </c>
      <c r="X2" s="18" t="s">
        <v>58</v>
      </c>
      <c r="Y2" s="18" t="s">
        <v>61</v>
      </c>
      <c r="Z2" s="18" t="s">
        <v>62</v>
      </c>
    </row>
    <row r="3" spans="1:26">
      <c r="A3" s="17">
        <v>1</v>
      </c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16">
        <f>SUM(C3:M3)</f>
        <v>121</v>
      </c>
      <c r="P3" s="17">
        <v>84</v>
      </c>
      <c r="Q3" s="16">
        <f>MAX(N3:N86)</f>
        <v>139</v>
      </c>
      <c r="R3" s="16">
        <f>MIN(N3:N86)</f>
        <v>64</v>
      </c>
      <c r="S3" s="16">
        <f>Q3-R3+1+2</f>
        <v>78</v>
      </c>
      <c r="U3" t="s">
        <v>59</v>
      </c>
      <c r="V3">
        <f>COUNTIF($N$3:$N$86,U3)</f>
        <v>0</v>
      </c>
      <c r="W3">
        <f t="shared" ref="W3:W34" si="0">V3/SUM($V$3:$V$80)</f>
        <v>0</v>
      </c>
      <c r="X3">
        <f>_xlfn.POISSON.DIST(63,10,1)</f>
        <v>1</v>
      </c>
      <c r="Y3">
        <f>X3*$P$3</f>
        <v>84</v>
      </c>
      <c r="Z3">
        <f>(V3-Y3)^2/Y3</f>
        <v>84</v>
      </c>
    </row>
    <row r="4" spans="1:26">
      <c r="A4" s="17">
        <v>2</v>
      </c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16">
        <f t="shared" ref="N4:N67" si="1">SUM(C4:M4)</f>
        <v>96</v>
      </c>
      <c r="U4">
        <v>64</v>
      </c>
      <c r="V4">
        <f t="shared" ref="V4:V67" si="2">COUNTIF($N$3:$N$86,U4)</f>
        <v>2</v>
      </c>
      <c r="W4">
        <f t="shared" si="0"/>
        <v>2.3809523809523808E-2</v>
      </c>
      <c r="X4">
        <f t="shared" ref="X4:X67" si="3">_xlfn.POISSON.DIST(U4,10,0)</f>
        <v>3.5779830893835269E-30</v>
      </c>
      <c r="Y4">
        <f t="shared" ref="Y4:Y67" si="4">X4*$P$3</f>
        <v>3.0055057950821626E-28</v>
      </c>
      <c r="Z4">
        <f t="shared" ref="Z4:Z67" si="5">(V4-Y4)^2/Y4</f>
        <v>1.3308907960001622E+28</v>
      </c>
    </row>
    <row r="5" spans="1:26">
      <c r="A5" s="17">
        <v>3</v>
      </c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16">
        <f t="shared" si="1"/>
        <v>108</v>
      </c>
      <c r="P5" t="s">
        <v>13</v>
      </c>
      <c r="Q5" t="s">
        <v>64</v>
      </c>
      <c r="U5">
        <v>65</v>
      </c>
      <c r="V5">
        <f t="shared" si="2"/>
        <v>0</v>
      </c>
      <c r="W5">
        <f t="shared" si="0"/>
        <v>0</v>
      </c>
      <c r="X5">
        <f t="shared" si="3"/>
        <v>5.5045893682823955E-31</v>
      </c>
      <c r="Y5">
        <f t="shared" si="4"/>
        <v>4.6238550693572125E-29</v>
      </c>
      <c r="Z5">
        <f t="shared" si="5"/>
        <v>4.6238550693572119E-29</v>
      </c>
    </row>
    <row r="6" spans="1:26">
      <c r="A6" s="17">
        <v>4</v>
      </c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16">
        <f t="shared" si="1"/>
        <v>120</v>
      </c>
      <c r="P6" t="s">
        <v>63</v>
      </c>
      <c r="Q6">
        <f>_xlfn.CHISQ.INV.RT(0.1,S3-1)</f>
        <v>93.270180425189608</v>
      </c>
      <c r="U6">
        <v>66</v>
      </c>
      <c r="V6">
        <f t="shared" si="2"/>
        <v>0</v>
      </c>
      <c r="W6">
        <f t="shared" si="0"/>
        <v>0</v>
      </c>
      <c r="X6">
        <f t="shared" si="3"/>
        <v>8.3402869216400153E-32</v>
      </c>
      <c r="Y6">
        <f t="shared" si="4"/>
        <v>7.0058410141776129E-30</v>
      </c>
      <c r="Z6">
        <f t="shared" si="5"/>
        <v>7.0058410141776129E-30</v>
      </c>
    </row>
    <row r="7" spans="1:26">
      <c r="A7" s="17">
        <v>5</v>
      </c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16">
        <f t="shared" si="1"/>
        <v>97</v>
      </c>
      <c r="U7">
        <v>67</v>
      </c>
      <c r="V7">
        <f t="shared" si="2"/>
        <v>0</v>
      </c>
      <c r="W7">
        <f t="shared" si="0"/>
        <v>0</v>
      </c>
      <c r="X7">
        <f t="shared" si="3"/>
        <v>1.2448189435283243E-32</v>
      </c>
      <c r="Y7">
        <f t="shared" si="4"/>
        <v>1.0456479125637924E-30</v>
      </c>
      <c r="Z7">
        <f t="shared" si="5"/>
        <v>1.0456479125637924E-30</v>
      </c>
    </row>
    <row r="8" spans="1:26">
      <c r="A8" s="17">
        <v>6</v>
      </c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16">
        <f t="shared" si="1"/>
        <v>107</v>
      </c>
      <c r="U8">
        <v>68</v>
      </c>
      <c r="V8">
        <f t="shared" si="2"/>
        <v>1</v>
      </c>
      <c r="W8">
        <f t="shared" si="0"/>
        <v>1.1904761904761904E-2</v>
      </c>
      <c r="X8">
        <f t="shared" si="3"/>
        <v>1.8306160934240197E-33</v>
      </c>
      <c r="Y8">
        <f t="shared" si="4"/>
        <v>1.5377175184761765E-31</v>
      </c>
      <c r="Z8">
        <f t="shared" si="5"/>
        <v>6.5031450054036227E+30</v>
      </c>
    </row>
    <row r="9" spans="1:26">
      <c r="A9" s="17">
        <v>7</v>
      </c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16">
        <f t="shared" si="1"/>
        <v>100</v>
      </c>
      <c r="U9">
        <v>69</v>
      </c>
      <c r="V9">
        <f t="shared" si="2"/>
        <v>0</v>
      </c>
      <c r="W9">
        <f t="shared" si="0"/>
        <v>0</v>
      </c>
      <c r="X9">
        <f t="shared" si="3"/>
        <v>2.6530668020637945E-34</v>
      </c>
      <c r="Y9">
        <f t="shared" si="4"/>
        <v>2.2285761137335873E-32</v>
      </c>
      <c r="Z9">
        <f t="shared" si="5"/>
        <v>2.2285761137335873E-32</v>
      </c>
    </row>
    <row r="10" spans="1:26">
      <c r="A10" s="17">
        <v>8</v>
      </c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16">
        <f t="shared" si="1"/>
        <v>119</v>
      </c>
      <c r="U10">
        <v>70</v>
      </c>
      <c r="V10">
        <f t="shared" si="2"/>
        <v>2</v>
      </c>
      <c r="W10">
        <f t="shared" si="0"/>
        <v>2.3809523809523808E-2</v>
      </c>
      <c r="X10">
        <f t="shared" si="3"/>
        <v>3.7900954315197159E-35</v>
      </c>
      <c r="Y10">
        <f t="shared" si="4"/>
        <v>3.183680162476561E-33</v>
      </c>
      <c r="Z10">
        <f t="shared" si="5"/>
        <v>1.2564076150439779E+33</v>
      </c>
    </row>
    <row r="11" spans="1:26">
      <c r="A11" s="17">
        <v>9</v>
      </c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16">
        <f t="shared" si="1"/>
        <v>120</v>
      </c>
      <c r="U11">
        <v>71</v>
      </c>
      <c r="V11">
        <f t="shared" si="2"/>
        <v>0</v>
      </c>
      <c r="W11">
        <f t="shared" si="0"/>
        <v>0</v>
      </c>
      <c r="X11">
        <f t="shared" si="3"/>
        <v>5.3381625796052812E-36</v>
      </c>
      <c r="Y11">
        <f t="shared" si="4"/>
        <v>4.4840565668684358E-34</v>
      </c>
      <c r="Z11">
        <f t="shared" si="5"/>
        <v>4.4840565668684358E-34</v>
      </c>
    </row>
    <row r="12" spans="1:26">
      <c r="A12" s="17">
        <v>10</v>
      </c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16">
        <f t="shared" si="1"/>
        <v>123</v>
      </c>
      <c r="U12">
        <v>72</v>
      </c>
      <c r="V12">
        <f t="shared" si="2"/>
        <v>1</v>
      </c>
      <c r="W12">
        <f t="shared" si="0"/>
        <v>1.1904761904761904E-2</v>
      </c>
      <c r="X12">
        <f t="shared" si="3"/>
        <v>7.4141146938961798E-37</v>
      </c>
      <c r="Y12">
        <f t="shared" si="4"/>
        <v>6.2278563428727908E-35</v>
      </c>
      <c r="Z12">
        <f t="shared" si="5"/>
        <v>1.6056889320261988E+34</v>
      </c>
    </row>
    <row r="13" spans="1:26">
      <c r="A13" s="17">
        <v>11</v>
      </c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16">
        <f t="shared" si="1"/>
        <v>139</v>
      </c>
      <c r="U13">
        <v>73</v>
      </c>
      <c r="V13">
        <f t="shared" si="2"/>
        <v>0</v>
      </c>
      <c r="W13">
        <f t="shared" si="0"/>
        <v>0</v>
      </c>
      <c r="X13">
        <f t="shared" si="3"/>
        <v>1.0156321498487843E-37</v>
      </c>
      <c r="Y13">
        <f t="shared" si="4"/>
        <v>8.5313100587297885E-36</v>
      </c>
      <c r="Z13">
        <f t="shared" si="5"/>
        <v>8.5313100587297885E-36</v>
      </c>
    </row>
    <row r="14" spans="1:26">
      <c r="A14" s="17">
        <v>12</v>
      </c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16">
        <f t="shared" si="1"/>
        <v>115</v>
      </c>
      <c r="U14">
        <v>74</v>
      </c>
      <c r="V14">
        <f t="shared" si="2"/>
        <v>4</v>
      </c>
      <c r="W14">
        <f t="shared" si="0"/>
        <v>4.7619047619047616E-2</v>
      </c>
      <c r="X14">
        <f t="shared" si="3"/>
        <v>1.3724758781740212E-38</v>
      </c>
      <c r="Y14">
        <f t="shared" si="4"/>
        <v>1.1528797376661778E-36</v>
      </c>
      <c r="Z14">
        <f t="shared" si="5"/>
        <v>1.387829057728906E+37</v>
      </c>
    </row>
    <row r="15" spans="1:26">
      <c r="A15" s="17">
        <v>13</v>
      </c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16">
        <f t="shared" si="1"/>
        <v>102</v>
      </c>
      <c r="U15">
        <v>75</v>
      </c>
      <c r="V15">
        <f t="shared" si="2"/>
        <v>1</v>
      </c>
      <c r="W15">
        <f t="shared" si="0"/>
        <v>1.1904761904761904E-2</v>
      </c>
      <c r="X15">
        <f t="shared" si="3"/>
        <v>1.8299678375654168E-39</v>
      </c>
      <c r="Y15">
        <f t="shared" si="4"/>
        <v>1.5371729835549502E-37</v>
      </c>
      <c r="Z15">
        <f t="shared" si="5"/>
        <v>6.5054487081040511E+36</v>
      </c>
    </row>
    <row r="16" spans="1:26">
      <c r="A16" s="17">
        <v>14</v>
      </c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16">
        <f t="shared" si="1"/>
        <v>108</v>
      </c>
      <c r="U16">
        <v>76</v>
      </c>
      <c r="V16">
        <f t="shared" si="2"/>
        <v>1</v>
      </c>
      <c r="W16">
        <f t="shared" si="0"/>
        <v>1.1904761904761904E-2</v>
      </c>
      <c r="X16">
        <f t="shared" si="3"/>
        <v>2.407852417849225E-40</v>
      </c>
      <c r="Y16">
        <f t="shared" si="4"/>
        <v>2.0225960309933489E-38</v>
      </c>
      <c r="Z16">
        <f t="shared" si="5"/>
        <v>4.9441410181590947E+37</v>
      </c>
    </row>
    <row r="17" spans="1:26">
      <c r="A17" s="17">
        <v>15</v>
      </c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16">
        <f t="shared" si="1"/>
        <v>113</v>
      </c>
      <c r="U17">
        <v>77</v>
      </c>
      <c r="V17">
        <f t="shared" si="2"/>
        <v>2</v>
      </c>
      <c r="W17">
        <f t="shared" si="0"/>
        <v>2.3809523809523808E-2</v>
      </c>
      <c r="X17">
        <f t="shared" si="3"/>
        <v>3.1270810621417953E-41</v>
      </c>
      <c r="Y17">
        <f t="shared" si="4"/>
        <v>2.6267480921991082E-39</v>
      </c>
      <c r="Z17">
        <f t="shared" si="5"/>
        <v>1.522795433593028E+39</v>
      </c>
    </row>
    <row r="18" spans="1:26">
      <c r="A18" s="17">
        <v>16</v>
      </c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16">
        <f t="shared" si="1"/>
        <v>87</v>
      </c>
      <c r="U18">
        <v>78</v>
      </c>
      <c r="V18">
        <f t="shared" si="2"/>
        <v>0</v>
      </c>
      <c r="W18">
        <f t="shared" si="0"/>
        <v>0</v>
      </c>
      <c r="X18">
        <f t="shared" si="3"/>
        <v>4.0090782847972004E-42</v>
      </c>
      <c r="Y18">
        <f t="shared" si="4"/>
        <v>3.3676257592296482E-40</v>
      </c>
      <c r="Z18">
        <f t="shared" si="5"/>
        <v>3.3676257592296482E-40</v>
      </c>
    </row>
    <row r="19" spans="1:26">
      <c r="A19" s="17">
        <v>17</v>
      </c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16">
        <f t="shared" si="1"/>
        <v>107</v>
      </c>
      <c r="U19">
        <v>79</v>
      </c>
      <c r="V19">
        <f t="shared" si="2"/>
        <v>7</v>
      </c>
      <c r="W19">
        <f t="shared" si="0"/>
        <v>8.3333333333333329E-2</v>
      </c>
      <c r="X19">
        <f t="shared" si="3"/>
        <v>5.0747826389837402E-43</v>
      </c>
      <c r="Y19">
        <f t="shared" si="4"/>
        <v>4.2628174167463419E-41</v>
      </c>
      <c r="Z19">
        <f t="shared" si="5"/>
        <v>1.1494745190705346E+42</v>
      </c>
    </row>
    <row r="20" spans="1:26">
      <c r="A20" s="17">
        <v>18</v>
      </c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16">
        <f t="shared" si="1"/>
        <v>111</v>
      </c>
      <c r="U20">
        <v>80</v>
      </c>
      <c r="V20">
        <f t="shared" si="2"/>
        <v>3</v>
      </c>
      <c r="W20">
        <f t="shared" si="0"/>
        <v>3.5714285714285712E-2</v>
      </c>
      <c r="X20">
        <f t="shared" si="3"/>
        <v>6.3434782987298614E-44</v>
      </c>
      <c r="Y20">
        <f t="shared" si="4"/>
        <v>5.3285217709330835E-42</v>
      </c>
      <c r="Z20">
        <f t="shared" si="5"/>
        <v>1.6890237831240013E+42</v>
      </c>
    </row>
    <row r="21" spans="1:26">
      <c r="A21" s="17">
        <v>19</v>
      </c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16">
        <f t="shared" si="1"/>
        <v>94</v>
      </c>
      <c r="U21">
        <v>81</v>
      </c>
      <c r="V21">
        <f t="shared" si="2"/>
        <v>2</v>
      </c>
      <c r="W21">
        <f t="shared" si="0"/>
        <v>2.3809523809523808E-2</v>
      </c>
      <c r="X21">
        <f t="shared" si="3"/>
        <v>7.8314546897898183E-45</v>
      </c>
      <c r="Y21">
        <f t="shared" si="4"/>
        <v>6.5784219394234473E-43</v>
      </c>
      <c r="Z21">
        <f t="shared" si="5"/>
        <v>6.0804856192465089E+42</v>
      </c>
    </row>
    <row r="22" spans="1:26">
      <c r="A22" s="17">
        <v>20</v>
      </c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16">
        <f t="shared" si="1"/>
        <v>121</v>
      </c>
      <c r="U22">
        <v>82</v>
      </c>
      <c r="V22">
        <f t="shared" si="2"/>
        <v>1</v>
      </c>
      <c r="W22">
        <f t="shared" si="0"/>
        <v>1.1904761904761904E-2</v>
      </c>
      <c r="X22">
        <f t="shared" si="3"/>
        <v>9.5505544997436561E-46</v>
      </c>
      <c r="Y22">
        <f t="shared" si="4"/>
        <v>8.0224657797846709E-44</v>
      </c>
      <c r="Z22">
        <f t="shared" si="5"/>
        <v>1.2464995519455376E+43</v>
      </c>
    </row>
    <row r="23" spans="1:26">
      <c r="A23" s="17">
        <v>21</v>
      </c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16">
        <f t="shared" si="1"/>
        <v>106</v>
      </c>
      <c r="U23">
        <v>83</v>
      </c>
      <c r="V23">
        <f t="shared" si="2"/>
        <v>1</v>
      </c>
      <c r="W23">
        <f t="shared" si="0"/>
        <v>1.1904761904761904E-2</v>
      </c>
      <c r="X23">
        <f t="shared" si="3"/>
        <v>1.1506692168365772E-46</v>
      </c>
      <c r="Y23">
        <f t="shared" si="4"/>
        <v>9.6656214214272483E-45</v>
      </c>
      <c r="Z23">
        <f t="shared" si="5"/>
        <v>1.0345946281148034E+44</v>
      </c>
    </row>
    <row r="24" spans="1:26">
      <c r="A24" s="17">
        <v>22</v>
      </c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16">
        <f t="shared" si="1"/>
        <v>111</v>
      </c>
      <c r="U24">
        <v>84</v>
      </c>
      <c r="V24">
        <f t="shared" si="2"/>
        <v>2</v>
      </c>
      <c r="W24">
        <f t="shared" si="0"/>
        <v>2.3809523809523808E-2</v>
      </c>
      <c r="X24">
        <f t="shared" si="3"/>
        <v>1.3698443057578496E-47</v>
      </c>
      <c r="Y24">
        <f t="shared" si="4"/>
        <v>1.1506692168365938E-45</v>
      </c>
      <c r="Z24">
        <f t="shared" si="5"/>
        <v>3.4762379504656887E+45</v>
      </c>
    </row>
    <row r="25" spans="1:26">
      <c r="A25" s="17">
        <v>23</v>
      </c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16">
        <f t="shared" si="1"/>
        <v>105</v>
      </c>
      <c r="U25">
        <v>85</v>
      </c>
      <c r="V25">
        <f t="shared" si="2"/>
        <v>1</v>
      </c>
      <c r="W25">
        <f t="shared" si="0"/>
        <v>1.1904761904761904E-2</v>
      </c>
      <c r="X25">
        <f t="shared" si="3"/>
        <v>1.6115815361857344E-48</v>
      </c>
      <c r="Y25">
        <f t="shared" si="4"/>
        <v>1.3537284903960169E-46</v>
      </c>
      <c r="Z25">
        <f t="shared" si="5"/>
        <v>7.387005644739457E+45</v>
      </c>
    </row>
    <row r="26" spans="1:26">
      <c r="A26" s="17">
        <v>24</v>
      </c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16">
        <f t="shared" si="1"/>
        <v>138</v>
      </c>
      <c r="U26">
        <v>86</v>
      </c>
      <c r="V26">
        <f t="shared" si="2"/>
        <v>0</v>
      </c>
      <c r="W26">
        <f t="shared" si="0"/>
        <v>0</v>
      </c>
      <c r="X26">
        <f t="shared" si="3"/>
        <v>1.8739320188206169E-49</v>
      </c>
      <c r="Y26">
        <f t="shared" si="4"/>
        <v>1.5741028958093183E-47</v>
      </c>
      <c r="Z26">
        <f t="shared" si="5"/>
        <v>1.574102895809318E-47</v>
      </c>
    </row>
    <row r="27" spans="1:26">
      <c r="A27" s="17">
        <v>25</v>
      </c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16">
        <f t="shared" si="1"/>
        <v>115</v>
      </c>
      <c r="U27">
        <v>87</v>
      </c>
      <c r="V27">
        <f t="shared" si="2"/>
        <v>3</v>
      </c>
      <c r="W27">
        <f t="shared" si="0"/>
        <v>3.5714285714285712E-2</v>
      </c>
      <c r="X27">
        <f t="shared" si="3"/>
        <v>2.1539448492191034E-50</v>
      </c>
      <c r="Y27">
        <f t="shared" si="4"/>
        <v>1.8093136733440468E-48</v>
      </c>
      <c r="Z27">
        <f t="shared" si="5"/>
        <v>4.9742618610546589E+48</v>
      </c>
    </row>
    <row r="28" spans="1:26">
      <c r="A28" s="17">
        <v>26</v>
      </c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16">
        <f t="shared" si="1"/>
        <v>106</v>
      </c>
      <c r="U28">
        <v>88</v>
      </c>
      <c r="V28">
        <f t="shared" si="2"/>
        <v>0</v>
      </c>
      <c r="W28">
        <f t="shared" si="0"/>
        <v>0</v>
      </c>
      <c r="X28">
        <f t="shared" si="3"/>
        <v>2.4476646013852358E-51</v>
      </c>
      <c r="Y28">
        <f t="shared" si="4"/>
        <v>2.0560382651635981E-49</v>
      </c>
      <c r="Z28">
        <f t="shared" si="5"/>
        <v>2.0560382651635981E-49</v>
      </c>
    </row>
    <row r="29" spans="1:26">
      <c r="A29" s="17">
        <v>27</v>
      </c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16">
        <f t="shared" si="1"/>
        <v>104</v>
      </c>
      <c r="U29">
        <v>89</v>
      </c>
      <c r="V29">
        <f t="shared" si="2"/>
        <v>0</v>
      </c>
      <c r="W29">
        <f t="shared" si="0"/>
        <v>0</v>
      </c>
      <c r="X29">
        <f t="shared" si="3"/>
        <v>2.7501849453767476E-52</v>
      </c>
      <c r="Y29">
        <f t="shared" si="4"/>
        <v>2.3101553541164681E-50</v>
      </c>
      <c r="Z29">
        <f t="shared" si="5"/>
        <v>2.3101553541164681E-50</v>
      </c>
    </row>
    <row r="30" spans="1:26">
      <c r="A30" s="17">
        <v>28</v>
      </c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16">
        <f t="shared" si="1"/>
        <v>94</v>
      </c>
      <c r="U30">
        <v>90</v>
      </c>
      <c r="V30">
        <f t="shared" si="2"/>
        <v>0</v>
      </c>
      <c r="W30">
        <f t="shared" si="0"/>
        <v>0</v>
      </c>
      <c r="X30">
        <f t="shared" si="3"/>
        <v>3.055761050418588E-53</v>
      </c>
      <c r="Y30">
        <f t="shared" si="4"/>
        <v>2.566839282351614E-51</v>
      </c>
      <c r="Z30">
        <f t="shared" si="5"/>
        <v>2.566839282351614E-51</v>
      </c>
    </row>
    <row r="31" spans="1:26">
      <c r="A31" s="17">
        <v>29</v>
      </c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16">
        <f t="shared" si="1"/>
        <v>74</v>
      </c>
      <c r="U31">
        <v>91</v>
      </c>
      <c r="V31">
        <f t="shared" si="2"/>
        <v>1</v>
      </c>
      <c r="W31">
        <f t="shared" si="0"/>
        <v>1.1904761904761904E-2</v>
      </c>
      <c r="X31">
        <f t="shared" si="3"/>
        <v>3.3579791762842475E-54</v>
      </c>
      <c r="Y31">
        <f t="shared" si="4"/>
        <v>2.8207025080787679E-52</v>
      </c>
      <c r="Z31">
        <f t="shared" si="5"/>
        <v>3.5452161195159793E+51</v>
      </c>
    </row>
    <row r="32" spans="1:26">
      <c r="A32" s="17">
        <v>30</v>
      </c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16">
        <f t="shared" si="1"/>
        <v>85</v>
      </c>
      <c r="U32">
        <v>92</v>
      </c>
      <c r="V32">
        <f t="shared" si="2"/>
        <v>4</v>
      </c>
      <c r="W32">
        <f t="shared" si="0"/>
        <v>4.7619047619047616E-2</v>
      </c>
      <c r="X32">
        <f t="shared" si="3"/>
        <v>3.6499773655262982E-55</v>
      </c>
      <c r="Y32">
        <f t="shared" si="4"/>
        <v>3.0659809870420905E-53</v>
      </c>
      <c r="Z32">
        <f t="shared" si="5"/>
        <v>5.2185581279276041E+53</v>
      </c>
    </row>
    <row r="33" spans="1:26">
      <c r="A33" s="17">
        <v>31</v>
      </c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16">
        <f t="shared" si="1"/>
        <v>96</v>
      </c>
      <c r="U33">
        <v>93</v>
      </c>
      <c r="V33">
        <f t="shared" si="2"/>
        <v>3</v>
      </c>
      <c r="W33">
        <f t="shared" si="0"/>
        <v>3.5714285714285712E-2</v>
      </c>
      <c r="X33">
        <f t="shared" si="3"/>
        <v>3.9247068446518471E-56</v>
      </c>
      <c r="Y33">
        <f t="shared" si="4"/>
        <v>3.2967537495075514E-54</v>
      </c>
      <c r="Z33">
        <f t="shared" si="5"/>
        <v>2.7299582206721884E+54</v>
      </c>
    </row>
    <row r="34" spans="1:26">
      <c r="A34" s="17">
        <v>32</v>
      </c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16">
        <f t="shared" si="1"/>
        <v>84</v>
      </c>
      <c r="U34">
        <v>94</v>
      </c>
      <c r="V34">
        <f t="shared" si="2"/>
        <v>5</v>
      </c>
      <c r="W34">
        <f t="shared" si="0"/>
        <v>5.9523809523809521E-2</v>
      </c>
      <c r="X34">
        <f t="shared" si="3"/>
        <v>4.1752200475019405E-57</v>
      </c>
      <c r="Y34">
        <f t="shared" si="4"/>
        <v>3.5071848399016303E-55</v>
      </c>
      <c r="Z34">
        <f t="shared" si="5"/>
        <v>7.1282242428663108E+55</v>
      </c>
    </row>
    <row r="35" spans="1:26">
      <c r="A35" s="17">
        <v>33</v>
      </c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16">
        <f t="shared" si="1"/>
        <v>109</v>
      </c>
      <c r="U35">
        <v>95</v>
      </c>
      <c r="V35">
        <f t="shared" si="2"/>
        <v>0</v>
      </c>
      <c r="W35">
        <f t="shared" ref="W35:W66" si="6">V35/SUM($V$3:$V$80)</f>
        <v>0</v>
      </c>
      <c r="X35">
        <f t="shared" si="3"/>
        <v>4.3949684710546249E-58</v>
      </c>
      <c r="Y35">
        <f t="shared" si="4"/>
        <v>3.6917735156858849E-56</v>
      </c>
      <c r="Z35">
        <f t="shared" si="5"/>
        <v>3.6917735156858849E-56</v>
      </c>
    </row>
    <row r="36" spans="1:26">
      <c r="A36" s="17">
        <v>34</v>
      </c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16">
        <f t="shared" si="1"/>
        <v>101</v>
      </c>
      <c r="U36">
        <v>96</v>
      </c>
      <c r="V36">
        <f t="shared" si="2"/>
        <v>2</v>
      </c>
      <c r="W36">
        <f t="shared" si="6"/>
        <v>2.3809523809523808E-2</v>
      </c>
      <c r="X36">
        <f t="shared" si="3"/>
        <v>4.5780921573487091E-59</v>
      </c>
      <c r="Y36">
        <f t="shared" si="4"/>
        <v>3.8455974121729159E-57</v>
      </c>
      <c r="Z36">
        <f t="shared" si="5"/>
        <v>1.0401504815190315E+57</v>
      </c>
    </row>
    <row r="37" spans="1:26">
      <c r="A37" s="17">
        <v>35</v>
      </c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16">
        <f t="shared" si="1"/>
        <v>113</v>
      </c>
      <c r="U37">
        <v>97</v>
      </c>
      <c r="V37">
        <f t="shared" si="2"/>
        <v>1</v>
      </c>
      <c r="W37">
        <f t="shared" si="6"/>
        <v>1.1904761904761904E-2</v>
      </c>
      <c r="X37">
        <f t="shared" si="3"/>
        <v>4.7196826364421584E-60</v>
      </c>
      <c r="Y37">
        <f t="shared" si="4"/>
        <v>3.9645334146114127E-58</v>
      </c>
      <c r="Z37">
        <f t="shared" si="5"/>
        <v>2.5223649176835501E+57</v>
      </c>
    </row>
    <row r="38" spans="1:26">
      <c r="A38" s="17">
        <v>36</v>
      </c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16">
        <f t="shared" si="1"/>
        <v>111</v>
      </c>
      <c r="U38">
        <v>98</v>
      </c>
      <c r="V38">
        <f t="shared" si="2"/>
        <v>0</v>
      </c>
      <c r="W38">
        <f t="shared" si="6"/>
        <v>0</v>
      </c>
      <c r="X38">
        <f t="shared" si="3"/>
        <v>4.8160026902468524E-61</v>
      </c>
      <c r="Y38">
        <f t="shared" si="4"/>
        <v>4.045442259807356E-59</v>
      </c>
      <c r="Z38">
        <f t="shared" si="5"/>
        <v>4.045442259807356E-59</v>
      </c>
    </row>
    <row r="39" spans="1:26">
      <c r="A39" s="17">
        <v>37</v>
      </c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16">
        <f t="shared" si="1"/>
        <v>133</v>
      </c>
      <c r="U39">
        <v>99</v>
      </c>
      <c r="V39">
        <f t="shared" si="2"/>
        <v>3</v>
      </c>
      <c r="W39">
        <f t="shared" si="6"/>
        <v>3.5714285714285712E-2</v>
      </c>
      <c r="X39">
        <f t="shared" si="3"/>
        <v>4.8646491820675259E-62</v>
      </c>
      <c r="Y39">
        <f t="shared" si="4"/>
        <v>4.086305312936722E-60</v>
      </c>
      <c r="Z39">
        <f t="shared" si="5"/>
        <v>2.2024785988230362E+60</v>
      </c>
    </row>
    <row r="40" spans="1:26">
      <c r="A40" s="17">
        <v>38</v>
      </c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16">
        <f t="shared" si="1"/>
        <v>74</v>
      </c>
      <c r="U40">
        <v>100</v>
      </c>
      <c r="V40">
        <f t="shared" si="2"/>
        <v>1</v>
      </c>
      <c r="W40">
        <f t="shared" si="6"/>
        <v>1.1904761904761904E-2</v>
      </c>
      <c r="X40">
        <f t="shared" si="3"/>
        <v>4.8646491820676192E-63</v>
      </c>
      <c r="Y40">
        <f t="shared" si="4"/>
        <v>4.0863053129368005E-61</v>
      </c>
      <c r="Z40">
        <f t="shared" si="5"/>
        <v>2.4471984431366598E+60</v>
      </c>
    </row>
    <row r="41" spans="1:26">
      <c r="A41" s="17">
        <v>39</v>
      </c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16">
        <f t="shared" si="1"/>
        <v>92</v>
      </c>
      <c r="U41">
        <v>101</v>
      </c>
      <c r="V41">
        <f t="shared" si="2"/>
        <v>1</v>
      </c>
      <c r="W41">
        <f t="shared" si="6"/>
        <v>1.1904761904761904E-2</v>
      </c>
      <c r="X41">
        <f t="shared" si="3"/>
        <v>4.8164843386807782E-64</v>
      </c>
      <c r="Y41">
        <f t="shared" si="4"/>
        <v>4.045846844491854E-62</v>
      </c>
      <c r="Z41">
        <f t="shared" si="5"/>
        <v>2.4716704275680434E+61</v>
      </c>
    </row>
    <row r="42" spans="1:26">
      <c r="A42" s="17">
        <v>40</v>
      </c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16">
        <f t="shared" si="1"/>
        <v>92</v>
      </c>
      <c r="U42">
        <v>102</v>
      </c>
      <c r="V42">
        <f t="shared" si="2"/>
        <v>1</v>
      </c>
      <c r="W42">
        <f t="shared" si="6"/>
        <v>1.1904761904761904E-2</v>
      </c>
      <c r="X42">
        <f t="shared" si="3"/>
        <v>4.7220434692949323E-65</v>
      </c>
      <c r="Y42">
        <f t="shared" si="4"/>
        <v>3.9665165142077432E-63</v>
      </c>
      <c r="Z42">
        <f t="shared" si="5"/>
        <v>2.5211038361193768E+62</v>
      </c>
    </row>
    <row r="43" spans="1:26">
      <c r="A43" s="17">
        <v>41</v>
      </c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16">
        <f t="shared" si="1"/>
        <v>80</v>
      </c>
      <c r="U43">
        <v>103</v>
      </c>
      <c r="V43">
        <f t="shared" si="2"/>
        <v>1</v>
      </c>
      <c r="W43">
        <f t="shared" si="6"/>
        <v>1.1904761904761904E-2</v>
      </c>
      <c r="X43">
        <f t="shared" si="3"/>
        <v>4.5845082226164799E-66</v>
      </c>
      <c r="Y43">
        <f t="shared" si="4"/>
        <v>3.8509869069978432E-64</v>
      </c>
      <c r="Z43">
        <f t="shared" si="5"/>
        <v>2.596736951202935E+63</v>
      </c>
    </row>
    <row r="44" spans="1:26">
      <c r="A44" s="17">
        <v>42</v>
      </c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16">
        <f t="shared" si="1"/>
        <v>93</v>
      </c>
      <c r="U44">
        <v>104</v>
      </c>
      <c r="V44">
        <f t="shared" si="2"/>
        <v>2</v>
      </c>
      <c r="W44">
        <f t="shared" si="6"/>
        <v>2.3809523809523808E-2</v>
      </c>
      <c r="X44">
        <f t="shared" si="3"/>
        <v>4.4081809832850626E-67</v>
      </c>
      <c r="Y44">
        <f t="shared" si="4"/>
        <v>3.7028720259594525E-65</v>
      </c>
      <c r="Z44">
        <f t="shared" si="5"/>
        <v>1.0802425717004246E+65</v>
      </c>
    </row>
    <row r="45" spans="1:26">
      <c r="A45" s="17">
        <v>43</v>
      </c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16">
        <f t="shared" si="1"/>
        <v>99</v>
      </c>
      <c r="U45">
        <v>105</v>
      </c>
      <c r="V45">
        <f t="shared" si="2"/>
        <v>1</v>
      </c>
      <c r="W45">
        <f t="shared" si="6"/>
        <v>1.1904761904761904E-2</v>
      </c>
      <c r="X45">
        <f t="shared" si="3"/>
        <v>4.1982676031286045E-68</v>
      </c>
      <c r="Y45">
        <f t="shared" si="4"/>
        <v>3.526544786628028E-66</v>
      </c>
      <c r="Z45">
        <f t="shared" si="5"/>
        <v>2.835636750713632E+65</v>
      </c>
    </row>
    <row r="46" spans="1:26">
      <c r="A46" s="17">
        <v>44</v>
      </c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16">
        <f t="shared" si="1"/>
        <v>94</v>
      </c>
      <c r="U46">
        <v>106</v>
      </c>
      <c r="V46">
        <f t="shared" si="2"/>
        <v>2</v>
      </c>
      <c r="W46">
        <f t="shared" si="6"/>
        <v>2.3809523809523808E-2</v>
      </c>
      <c r="X46">
        <f t="shared" si="3"/>
        <v>3.9606298142722176E-69</v>
      </c>
      <c r="Y46">
        <f t="shared" si="4"/>
        <v>3.3269290439886627E-67</v>
      </c>
      <c r="Z46">
        <f t="shared" si="5"/>
        <v>1.2023099823025955E+67</v>
      </c>
    </row>
    <row r="47" spans="1:26">
      <c r="A47" s="17">
        <v>45</v>
      </c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16">
        <f t="shared" si="1"/>
        <v>93</v>
      </c>
      <c r="U47">
        <v>107</v>
      </c>
      <c r="V47">
        <f t="shared" si="2"/>
        <v>2</v>
      </c>
      <c r="W47">
        <f t="shared" si="6"/>
        <v>2.3809523809523808E-2</v>
      </c>
      <c r="X47">
        <f t="shared" si="3"/>
        <v>3.7015231909087617E-70</v>
      </c>
      <c r="Y47">
        <f t="shared" si="4"/>
        <v>3.1092794803633596E-68</v>
      </c>
      <c r="Z47">
        <f t="shared" si="5"/>
        <v>1.2864716810637261E+68</v>
      </c>
    </row>
    <row r="48" spans="1:26">
      <c r="A48" s="17">
        <v>46</v>
      </c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16">
        <f t="shared" si="1"/>
        <v>103</v>
      </c>
      <c r="U48">
        <v>108</v>
      </c>
      <c r="V48">
        <f t="shared" si="2"/>
        <v>2</v>
      </c>
      <c r="W48">
        <f t="shared" si="6"/>
        <v>2.3809523809523808E-2</v>
      </c>
      <c r="X48">
        <f t="shared" si="3"/>
        <v>3.4273362878784002E-71</v>
      </c>
      <c r="Y48">
        <f t="shared" si="4"/>
        <v>2.878962481817856E-69</v>
      </c>
      <c r="Z48">
        <f t="shared" si="5"/>
        <v>1.3893894155488577E+69</v>
      </c>
    </row>
    <row r="49" spans="1:26">
      <c r="A49" s="17">
        <v>47</v>
      </c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16">
        <f t="shared" si="1"/>
        <v>93</v>
      </c>
      <c r="U49">
        <v>109</v>
      </c>
      <c r="V49">
        <f t="shared" si="2"/>
        <v>1</v>
      </c>
      <c r="W49">
        <f t="shared" si="6"/>
        <v>1.1904761904761904E-2</v>
      </c>
      <c r="X49">
        <f t="shared" si="3"/>
        <v>3.1443452182371378E-72</v>
      </c>
      <c r="Y49">
        <f t="shared" si="4"/>
        <v>2.6412499833191958E-70</v>
      </c>
      <c r="Z49">
        <f t="shared" si="5"/>
        <v>3.7860861573705485E+69</v>
      </c>
    </row>
    <row r="50" spans="1:26">
      <c r="A50" s="17">
        <v>48</v>
      </c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16">
        <f t="shared" si="1"/>
        <v>112</v>
      </c>
      <c r="U50">
        <v>110</v>
      </c>
      <c r="V50">
        <f t="shared" si="2"/>
        <v>0</v>
      </c>
      <c r="W50">
        <f t="shared" si="6"/>
        <v>0</v>
      </c>
      <c r="X50">
        <f t="shared" si="3"/>
        <v>2.8584956529428135E-73</v>
      </c>
      <c r="Y50">
        <f t="shared" si="4"/>
        <v>2.4011363484719632E-71</v>
      </c>
      <c r="Z50">
        <f t="shared" si="5"/>
        <v>2.4011363484719632E-71</v>
      </c>
    </row>
    <row r="51" spans="1:26">
      <c r="A51" s="17">
        <v>49</v>
      </c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16">
        <f t="shared" si="1"/>
        <v>94</v>
      </c>
      <c r="U51">
        <v>111</v>
      </c>
      <c r="V51">
        <f t="shared" si="2"/>
        <v>3</v>
      </c>
      <c r="W51">
        <f t="shared" si="6"/>
        <v>3.5714285714285712E-2</v>
      </c>
      <c r="X51">
        <f t="shared" si="3"/>
        <v>2.5752213089574121E-74</v>
      </c>
      <c r="Y51">
        <f t="shared" si="4"/>
        <v>2.1631858995242263E-72</v>
      </c>
      <c r="Z51">
        <f t="shared" si="5"/>
        <v>4.1605300783346781E+72</v>
      </c>
    </row>
    <row r="52" spans="1:26">
      <c r="A52" s="17">
        <v>50</v>
      </c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16">
        <f t="shared" si="1"/>
        <v>83</v>
      </c>
      <c r="U52">
        <v>112</v>
      </c>
      <c r="V52">
        <f t="shared" si="2"/>
        <v>1</v>
      </c>
      <c r="W52">
        <f t="shared" si="6"/>
        <v>1.1904761904761904E-2</v>
      </c>
      <c r="X52">
        <f t="shared" si="3"/>
        <v>2.2993047401406378E-75</v>
      </c>
      <c r="Y52">
        <f t="shared" si="4"/>
        <v>1.9314159817181358E-73</v>
      </c>
      <c r="Z52">
        <f t="shared" si="5"/>
        <v>5.177548541927394E+72</v>
      </c>
    </row>
    <row r="53" spans="1:26">
      <c r="A53" s="17">
        <v>51</v>
      </c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16">
        <f t="shared" si="1"/>
        <v>94</v>
      </c>
      <c r="U53">
        <v>113</v>
      </c>
      <c r="V53">
        <f t="shared" si="2"/>
        <v>2</v>
      </c>
      <c r="W53">
        <f t="shared" si="6"/>
        <v>2.3809523809523808E-2</v>
      </c>
      <c r="X53">
        <f t="shared" si="3"/>
        <v>2.0347829558766303E-76</v>
      </c>
      <c r="Y53">
        <f t="shared" si="4"/>
        <v>1.7092176829363695E-74</v>
      </c>
      <c r="Z53">
        <f t="shared" si="5"/>
        <v>2.3402519409512283E+74</v>
      </c>
    </row>
    <row r="54" spans="1:26">
      <c r="A54" s="17">
        <v>52</v>
      </c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16">
        <f t="shared" si="1"/>
        <v>79</v>
      </c>
      <c r="U54">
        <v>114</v>
      </c>
      <c r="V54">
        <f t="shared" si="2"/>
        <v>0</v>
      </c>
      <c r="W54">
        <f t="shared" si="6"/>
        <v>0</v>
      </c>
      <c r="X54">
        <f t="shared" si="3"/>
        <v>1.7848973297163655E-77</v>
      </c>
      <c r="Y54">
        <f t="shared" si="4"/>
        <v>1.4993137569617472E-75</v>
      </c>
      <c r="Z54">
        <f t="shared" si="5"/>
        <v>1.4993137569617472E-75</v>
      </c>
    </row>
    <row r="55" spans="1:26">
      <c r="A55" s="17">
        <v>53</v>
      </c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16">
        <f t="shared" si="1"/>
        <v>79</v>
      </c>
      <c r="U55">
        <v>115</v>
      </c>
      <c r="V55">
        <f t="shared" si="2"/>
        <v>2</v>
      </c>
      <c r="W55">
        <f t="shared" si="6"/>
        <v>2.3809523809523808E-2</v>
      </c>
      <c r="X55">
        <f t="shared" si="3"/>
        <v>1.5520846345359742E-78</v>
      </c>
      <c r="Y55">
        <f t="shared" si="4"/>
        <v>1.3037510930102183E-76</v>
      </c>
      <c r="Z55">
        <f t="shared" si="5"/>
        <v>3.0680702945870124E+76</v>
      </c>
    </row>
    <row r="56" spans="1:26">
      <c r="A56" s="17">
        <v>54</v>
      </c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16">
        <f t="shared" si="1"/>
        <v>72</v>
      </c>
      <c r="U56">
        <v>116</v>
      </c>
      <c r="V56">
        <f t="shared" si="2"/>
        <v>0</v>
      </c>
      <c r="W56">
        <f t="shared" si="6"/>
        <v>0</v>
      </c>
      <c r="X56">
        <f t="shared" si="3"/>
        <v>1.3380039952895917E-79</v>
      </c>
      <c r="Y56">
        <f t="shared" si="4"/>
        <v>1.123923356043257E-77</v>
      </c>
      <c r="Z56">
        <f t="shared" si="5"/>
        <v>1.123923356043257E-77</v>
      </c>
    </row>
    <row r="57" spans="1:26">
      <c r="A57" s="17">
        <v>55</v>
      </c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16">
        <f t="shared" si="1"/>
        <v>77</v>
      </c>
      <c r="U57">
        <v>117</v>
      </c>
      <c r="V57">
        <f t="shared" si="2"/>
        <v>0</v>
      </c>
      <c r="W57">
        <f t="shared" si="6"/>
        <v>0</v>
      </c>
      <c r="X57">
        <f t="shared" si="3"/>
        <v>1.1435931583671903E-80</v>
      </c>
      <c r="Y57">
        <f t="shared" si="4"/>
        <v>9.6061825302843985E-79</v>
      </c>
      <c r="Z57">
        <f t="shared" si="5"/>
        <v>9.6061825302843985E-79</v>
      </c>
    </row>
    <row r="58" spans="1:26">
      <c r="A58" s="17">
        <v>56</v>
      </c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16">
        <f t="shared" si="1"/>
        <v>87</v>
      </c>
      <c r="U58">
        <v>118</v>
      </c>
      <c r="V58">
        <f t="shared" si="2"/>
        <v>0</v>
      </c>
      <c r="W58">
        <f t="shared" si="6"/>
        <v>0</v>
      </c>
      <c r="X58">
        <f t="shared" si="3"/>
        <v>9.6914674437895371E-82</v>
      </c>
      <c r="Y58">
        <f t="shared" si="4"/>
        <v>8.1408326527832107E-80</v>
      </c>
      <c r="Z58">
        <f t="shared" si="5"/>
        <v>8.1408326527832107E-80</v>
      </c>
    </row>
    <row r="59" spans="1:26">
      <c r="A59" s="17">
        <v>57</v>
      </c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16">
        <f t="shared" si="1"/>
        <v>80</v>
      </c>
      <c r="U59">
        <v>119</v>
      </c>
      <c r="V59">
        <f t="shared" si="2"/>
        <v>1</v>
      </c>
      <c r="W59">
        <f t="shared" si="6"/>
        <v>1.1904761904761904E-2</v>
      </c>
      <c r="X59">
        <f t="shared" si="3"/>
        <v>8.1440902888987266E-83</v>
      </c>
      <c r="Y59">
        <f t="shared" si="4"/>
        <v>6.8410358426749304E-81</v>
      </c>
      <c r="Z59">
        <f t="shared" si="5"/>
        <v>1.4617669355887886E+80</v>
      </c>
    </row>
    <row r="60" spans="1:26">
      <c r="A60" s="17">
        <v>58</v>
      </c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16">
        <f t="shared" si="1"/>
        <v>82</v>
      </c>
      <c r="U60">
        <v>120</v>
      </c>
      <c r="V60">
        <f t="shared" si="2"/>
        <v>2</v>
      </c>
      <c r="W60">
        <f t="shared" si="6"/>
        <v>2.3809523809523808E-2</v>
      </c>
      <c r="X60">
        <f t="shared" si="3"/>
        <v>6.7867419074158186E-84</v>
      </c>
      <c r="Y60">
        <f t="shared" si="4"/>
        <v>5.7008632022292882E-82</v>
      </c>
      <c r="Z60">
        <f t="shared" si="5"/>
        <v>7.0164812908259651E+81</v>
      </c>
    </row>
    <row r="61" spans="1:26">
      <c r="A61" s="17">
        <v>59</v>
      </c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16">
        <f t="shared" si="1"/>
        <v>99</v>
      </c>
      <c r="U61">
        <v>121</v>
      </c>
      <c r="V61">
        <f t="shared" si="2"/>
        <v>2</v>
      </c>
      <c r="W61">
        <f t="shared" si="6"/>
        <v>2.3809523809523808E-2</v>
      </c>
      <c r="X61">
        <f t="shared" si="3"/>
        <v>5.6088776094343983E-85</v>
      </c>
      <c r="Y61">
        <f t="shared" si="4"/>
        <v>4.7114571919248943E-83</v>
      </c>
      <c r="Z61">
        <f t="shared" si="5"/>
        <v>8.4899423618996647E+82</v>
      </c>
    </row>
    <row r="62" spans="1:26">
      <c r="A62" s="17">
        <v>60</v>
      </c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16">
        <f t="shared" si="1"/>
        <v>99</v>
      </c>
      <c r="U62">
        <v>122</v>
      </c>
      <c r="V62">
        <f t="shared" si="2"/>
        <v>0</v>
      </c>
      <c r="W62">
        <f t="shared" si="6"/>
        <v>0</v>
      </c>
      <c r="X62">
        <f t="shared" si="3"/>
        <v>4.5974406634709514E-86</v>
      </c>
      <c r="Y62">
        <f t="shared" si="4"/>
        <v>3.8618501573155992E-84</v>
      </c>
      <c r="Z62">
        <f t="shared" si="5"/>
        <v>3.8618501573155992E-84</v>
      </c>
    </row>
    <row r="63" spans="1:26">
      <c r="A63" s="17">
        <v>61</v>
      </c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16">
        <f t="shared" si="1"/>
        <v>104</v>
      </c>
      <c r="U63">
        <v>123</v>
      </c>
      <c r="V63">
        <f t="shared" si="2"/>
        <v>1</v>
      </c>
      <c r="W63">
        <f t="shared" si="6"/>
        <v>1.1904761904761904E-2</v>
      </c>
      <c r="X63">
        <f t="shared" si="3"/>
        <v>3.7377566369679859E-87</v>
      </c>
      <c r="Y63">
        <f t="shared" si="4"/>
        <v>3.1397155750531079E-85</v>
      </c>
      <c r="Z63">
        <f t="shared" si="5"/>
        <v>3.1850018770667948E+84</v>
      </c>
    </row>
    <row r="64" spans="1:26">
      <c r="A64" s="17">
        <v>62</v>
      </c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16">
        <f t="shared" si="1"/>
        <v>80</v>
      </c>
      <c r="U64">
        <v>124</v>
      </c>
      <c r="V64">
        <f t="shared" si="2"/>
        <v>0</v>
      </c>
      <c r="W64">
        <f t="shared" si="6"/>
        <v>0</v>
      </c>
      <c r="X64">
        <f t="shared" si="3"/>
        <v>3.0143198685227363E-88</v>
      </c>
      <c r="Y64">
        <f t="shared" si="4"/>
        <v>2.5320286895590984E-86</v>
      </c>
      <c r="Z64">
        <f t="shared" si="5"/>
        <v>2.5320286895590984E-86</v>
      </c>
    </row>
    <row r="65" spans="1:26">
      <c r="A65" s="17">
        <v>63</v>
      </c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16">
        <f t="shared" si="1"/>
        <v>79</v>
      </c>
      <c r="U65">
        <v>125</v>
      </c>
      <c r="V65">
        <f t="shared" si="2"/>
        <v>0</v>
      </c>
      <c r="W65">
        <f t="shared" si="6"/>
        <v>0</v>
      </c>
      <c r="X65">
        <f t="shared" si="3"/>
        <v>2.4114558948181137E-89</v>
      </c>
      <c r="Y65">
        <f t="shared" si="4"/>
        <v>2.0256229516472153E-87</v>
      </c>
      <c r="Z65">
        <f t="shared" si="5"/>
        <v>2.0256229516472153E-87</v>
      </c>
    </row>
    <row r="66" spans="1:26">
      <c r="A66" s="17">
        <v>64</v>
      </c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16">
        <f t="shared" si="1"/>
        <v>87</v>
      </c>
      <c r="U66">
        <v>126</v>
      </c>
      <c r="V66">
        <f t="shared" si="2"/>
        <v>0</v>
      </c>
      <c r="W66">
        <f t="shared" si="6"/>
        <v>0</v>
      </c>
      <c r="X66">
        <f t="shared" si="3"/>
        <v>1.9138538847763707E-90</v>
      </c>
      <c r="Y66">
        <f t="shared" si="4"/>
        <v>1.6076372632121513E-88</v>
      </c>
      <c r="Z66">
        <f t="shared" si="5"/>
        <v>1.6076372632121513E-88</v>
      </c>
    </row>
    <row r="67" spans="1:26">
      <c r="A67" s="17">
        <v>65</v>
      </c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16">
        <f t="shared" si="1"/>
        <v>75</v>
      </c>
      <c r="U67">
        <v>127</v>
      </c>
      <c r="V67">
        <f t="shared" si="2"/>
        <v>0</v>
      </c>
      <c r="W67">
        <f t="shared" ref="W67:W80" si="7">V67/SUM($V$3:$V$80)</f>
        <v>0</v>
      </c>
      <c r="X67">
        <f t="shared" si="3"/>
        <v>1.5069715628160009E-91</v>
      </c>
      <c r="Y67">
        <f t="shared" si="4"/>
        <v>1.2658561127654408E-89</v>
      </c>
      <c r="Z67">
        <f t="shared" si="5"/>
        <v>1.2658561127654408E-89</v>
      </c>
    </row>
    <row r="68" spans="1:26">
      <c r="A68" s="17">
        <v>66</v>
      </c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16">
        <f t="shared" ref="N68:N86" si="8">SUM(C68:M68)</f>
        <v>77</v>
      </c>
      <c r="U68">
        <v>128</v>
      </c>
      <c r="V68">
        <f t="shared" ref="V68:V80" si="9">COUNTIF($N$3:$N$86,U68)</f>
        <v>0</v>
      </c>
      <c r="W68">
        <f t="shared" si="7"/>
        <v>0</v>
      </c>
      <c r="X68">
        <f t="shared" ref="X68:X79" si="10">_xlfn.POISSON.DIST(U68,10,0)</f>
        <v>1.1773215334500165E-92</v>
      </c>
      <c r="Y68">
        <f t="shared" ref="Y68:Y80" si="11">X68*$P$3</f>
        <v>9.8895008809801382E-91</v>
      </c>
      <c r="Z68">
        <f t="shared" ref="Z68:Z79" si="12">(V68-Y68)^2/Y68</f>
        <v>9.8895008809801382E-91</v>
      </c>
    </row>
    <row r="69" spans="1:26">
      <c r="A69" s="17">
        <v>67</v>
      </c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16">
        <f t="shared" si="8"/>
        <v>79</v>
      </c>
      <c r="U69">
        <v>129</v>
      </c>
      <c r="V69">
        <f t="shared" si="9"/>
        <v>0</v>
      </c>
      <c r="W69">
        <f t="shared" si="7"/>
        <v>0</v>
      </c>
      <c r="X69">
        <f t="shared" si="10"/>
        <v>9.126523515116306E-94</v>
      </c>
      <c r="Y69">
        <f t="shared" si="11"/>
        <v>7.6662797526976967E-92</v>
      </c>
      <c r="Z69">
        <f t="shared" si="12"/>
        <v>7.6662797526976967E-92</v>
      </c>
    </row>
    <row r="70" spans="1:26">
      <c r="A70" s="17">
        <v>68</v>
      </c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16">
        <f t="shared" si="8"/>
        <v>91</v>
      </c>
      <c r="U70">
        <v>130</v>
      </c>
      <c r="V70">
        <f t="shared" si="9"/>
        <v>0</v>
      </c>
      <c r="W70">
        <f t="shared" si="7"/>
        <v>0</v>
      </c>
      <c r="X70">
        <f t="shared" si="10"/>
        <v>7.0204027039357487E-95</v>
      </c>
      <c r="Y70">
        <f t="shared" si="11"/>
        <v>5.8971382713060293E-93</v>
      </c>
      <c r="Z70">
        <f t="shared" si="12"/>
        <v>5.8971382713060293E-93</v>
      </c>
    </row>
    <row r="71" spans="1:26">
      <c r="A71" s="17">
        <v>69</v>
      </c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16">
        <f t="shared" si="8"/>
        <v>74</v>
      </c>
      <c r="U71">
        <v>131</v>
      </c>
      <c r="V71">
        <f t="shared" si="9"/>
        <v>0</v>
      </c>
      <c r="W71">
        <f t="shared" si="7"/>
        <v>0</v>
      </c>
      <c r="X71">
        <f t="shared" si="10"/>
        <v>5.3590860335388906E-96</v>
      </c>
      <c r="Y71">
        <f t="shared" si="11"/>
        <v>4.5016322681726683E-94</v>
      </c>
      <c r="Z71">
        <f t="shared" si="12"/>
        <v>4.5016322681726678E-94</v>
      </c>
    </row>
    <row r="72" spans="1:26">
      <c r="A72" s="17">
        <v>70</v>
      </c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16">
        <f t="shared" si="8"/>
        <v>79</v>
      </c>
      <c r="U72">
        <v>132</v>
      </c>
      <c r="V72">
        <f t="shared" si="9"/>
        <v>0</v>
      </c>
      <c r="W72">
        <f t="shared" si="7"/>
        <v>0</v>
      </c>
      <c r="X72">
        <f t="shared" si="10"/>
        <v>4.0599136617716293E-97</v>
      </c>
      <c r="Y72">
        <f t="shared" si="11"/>
        <v>3.4103274758881687E-95</v>
      </c>
      <c r="Z72">
        <f t="shared" si="12"/>
        <v>3.4103274758881687E-95</v>
      </c>
    </row>
    <row r="73" spans="1:26">
      <c r="A73" s="17">
        <v>71</v>
      </c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16">
        <f t="shared" si="8"/>
        <v>92</v>
      </c>
      <c r="U73">
        <v>133</v>
      </c>
      <c r="V73">
        <f t="shared" si="9"/>
        <v>1</v>
      </c>
      <c r="W73">
        <f t="shared" si="7"/>
        <v>1.1904761904761904E-2</v>
      </c>
      <c r="X73">
        <f t="shared" si="10"/>
        <v>3.0525666629860938E-98</v>
      </c>
      <c r="Y73">
        <f t="shared" si="11"/>
        <v>2.5641559969083188E-96</v>
      </c>
      <c r="Z73">
        <f t="shared" si="12"/>
        <v>3.8999187303960079E+95</v>
      </c>
    </row>
    <row r="74" spans="1:26">
      <c r="A74" s="17">
        <v>72</v>
      </c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16">
        <f t="shared" si="8"/>
        <v>79</v>
      </c>
      <c r="U74">
        <v>134</v>
      </c>
      <c r="V74">
        <f t="shared" si="9"/>
        <v>0</v>
      </c>
      <c r="W74">
        <f t="shared" si="7"/>
        <v>0</v>
      </c>
      <c r="X74">
        <f t="shared" si="10"/>
        <v>2.2780348231240822E-99</v>
      </c>
      <c r="Y74">
        <f t="shared" si="11"/>
        <v>1.9135492514242292E-97</v>
      </c>
      <c r="Z74">
        <f t="shared" si="12"/>
        <v>1.9135492514242292E-97</v>
      </c>
    </row>
    <row r="75" spans="1:26">
      <c r="A75" s="17">
        <v>73</v>
      </c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16">
        <f t="shared" si="8"/>
        <v>64</v>
      </c>
      <c r="U75">
        <v>135</v>
      </c>
      <c r="V75">
        <f t="shared" si="9"/>
        <v>0</v>
      </c>
      <c r="W75">
        <f t="shared" si="7"/>
        <v>0</v>
      </c>
      <c r="X75">
        <f t="shared" si="10"/>
        <v>1.6874332023141671E-100</v>
      </c>
      <c r="Y75">
        <f t="shared" si="11"/>
        <v>1.4174438899439003E-98</v>
      </c>
      <c r="Z75">
        <f t="shared" si="12"/>
        <v>1.4174438899439003E-98</v>
      </c>
    </row>
    <row r="76" spans="1:26">
      <c r="A76" s="17">
        <v>74</v>
      </c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16">
        <f t="shared" si="8"/>
        <v>64</v>
      </c>
      <c r="U76">
        <v>136</v>
      </c>
      <c r="V76">
        <f t="shared" si="9"/>
        <v>0</v>
      </c>
      <c r="W76">
        <f t="shared" si="7"/>
        <v>0</v>
      </c>
      <c r="X76">
        <f t="shared" si="10"/>
        <v>1.2407597075838701E-101</v>
      </c>
      <c r="Y76">
        <f t="shared" si="11"/>
        <v>1.0422381543704508E-99</v>
      </c>
      <c r="Z76">
        <f t="shared" si="12"/>
        <v>1.0422381543704508E-99</v>
      </c>
    </row>
    <row r="77" spans="1:26">
      <c r="A77" s="17">
        <v>75</v>
      </c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16">
        <f t="shared" si="8"/>
        <v>70</v>
      </c>
      <c r="U77">
        <v>137</v>
      </c>
      <c r="V77">
        <f t="shared" si="9"/>
        <v>0</v>
      </c>
      <c r="W77">
        <f t="shared" si="7"/>
        <v>0</v>
      </c>
      <c r="X77">
        <f t="shared" si="10"/>
        <v>9.0566402013423664E-103</v>
      </c>
      <c r="Y77">
        <f t="shared" si="11"/>
        <v>7.6075777691275877E-101</v>
      </c>
      <c r="Z77">
        <f t="shared" si="12"/>
        <v>7.6075777691275877E-101</v>
      </c>
    </row>
    <row r="78" spans="1:26">
      <c r="A78" s="17">
        <v>76</v>
      </c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16">
        <f t="shared" si="8"/>
        <v>81</v>
      </c>
      <c r="U78">
        <v>138</v>
      </c>
      <c r="V78">
        <f t="shared" si="9"/>
        <v>1</v>
      </c>
      <c r="W78">
        <f t="shared" si="7"/>
        <v>1.1904761904761904E-2</v>
      </c>
      <c r="X78">
        <f t="shared" si="10"/>
        <v>6.562782754595917E-104</v>
      </c>
      <c r="Y78">
        <f t="shared" si="11"/>
        <v>5.5127375138605706E-102</v>
      </c>
      <c r="Z78">
        <f t="shared" si="12"/>
        <v>1.8139807989872891E+101</v>
      </c>
    </row>
    <row r="79" spans="1:26">
      <c r="A79" s="17">
        <v>77</v>
      </c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16">
        <f t="shared" si="8"/>
        <v>70</v>
      </c>
      <c r="U79">
        <v>139</v>
      </c>
      <c r="V79">
        <f t="shared" si="9"/>
        <v>1</v>
      </c>
      <c r="W79">
        <f t="shared" si="7"/>
        <v>1.1904761904761904E-2</v>
      </c>
      <c r="X79">
        <f t="shared" si="10"/>
        <v>4.7214264421555827E-105</v>
      </c>
      <c r="Y79">
        <f t="shared" si="11"/>
        <v>3.9659982114106892E-103</v>
      </c>
      <c r="Z79">
        <f t="shared" si="12"/>
        <v>2.5214333105922006E+102</v>
      </c>
    </row>
    <row r="80" spans="1:26">
      <c r="A80" s="17">
        <v>78</v>
      </c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16">
        <f t="shared" si="8"/>
        <v>68</v>
      </c>
      <c r="U80" t="s">
        <v>60</v>
      </c>
      <c r="V80">
        <f t="shared" si="9"/>
        <v>0</v>
      </c>
      <c r="W80">
        <f t="shared" si="7"/>
        <v>0</v>
      </c>
      <c r="X80">
        <f>1-_xlfn.POISSON.DIST(140,10,1)</f>
        <v>0</v>
      </c>
      <c r="Y80">
        <f t="shared" si="11"/>
        <v>0</v>
      </c>
      <c r="Z80" t="s">
        <v>63</v>
      </c>
    </row>
    <row r="81" spans="1:14">
      <c r="A81" s="17">
        <v>79</v>
      </c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16">
        <f t="shared" si="8"/>
        <v>79</v>
      </c>
    </row>
    <row r="82" spans="1:14">
      <c r="A82" s="17">
        <v>80</v>
      </c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16">
        <f t="shared" si="8"/>
        <v>84</v>
      </c>
    </row>
    <row r="83" spans="1:14">
      <c r="A83" s="17">
        <v>81</v>
      </c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16">
        <f t="shared" si="8"/>
        <v>76</v>
      </c>
    </row>
    <row r="84" spans="1:14">
      <c r="A84" s="17">
        <v>82</v>
      </c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16">
        <f t="shared" si="8"/>
        <v>81</v>
      </c>
    </row>
    <row r="85" spans="1:14">
      <c r="A85" s="17">
        <v>83</v>
      </c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16">
        <f t="shared" si="8"/>
        <v>74</v>
      </c>
    </row>
    <row r="86" spans="1:14">
      <c r="A86" s="17">
        <v>84</v>
      </c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16">
        <f t="shared" si="8"/>
        <v>92</v>
      </c>
    </row>
  </sheetData>
  <mergeCells count="2">
    <mergeCell ref="B1:B2"/>
    <mergeCell ref="C1:M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C58F-6869-437D-BD75-B9811A3CF660}">
  <dimension ref="A1:M85"/>
  <sheetViews>
    <sheetView workbookViewId="0">
      <selection activeCell="M20" sqref="M20"/>
    </sheetView>
  </sheetViews>
  <sheetFormatPr defaultRowHeight="16.5"/>
  <cols>
    <col min="4" max="4" width="15.625" customWidth="1"/>
    <col min="5" max="5" width="15.25" customWidth="1"/>
    <col min="8" max="8" width="12.5" bestFit="1" customWidth="1"/>
    <col min="9" max="9" width="8.5" customWidth="1"/>
    <col min="11" max="11" width="16.25" bestFit="1" customWidth="1"/>
    <col min="13" max="13" width="16.25" bestFit="1" customWidth="1"/>
  </cols>
  <sheetData>
    <row r="1" spans="1:13">
      <c r="A1" s="11" t="s">
        <v>43</v>
      </c>
      <c r="C1" t="s">
        <v>12</v>
      </c>
      <c r="D1" t="s">
        <v>54</v>
      </c>
      <c r="E1" t="s">
        <v>55</v>
      </c>
      <c r="F1" t="s">
        <v>65</v>
      </c>
      <c r="H1" t="s">
        <v>53</v>
      </c>
      <c r="I1" t="s">
        <v>56</v>
      </c>
      <c r="J1" t="s">
        <v>235</v>
      </c>
      <c r="K1" t="s">
        <v>231</v>
      </c>
      <c r="L1" t="s">
        <v>61</v>
      </c>
      <c r="M1" t="s">
        <v>62</v>
      </c>
    </row>
    <row r="2" spans="1:13">
      <c r="A2" s="13">
        <v>15</v>
      </c>
      <c r="C2">
        <v>84</v>
      </c>
      <c r="D2" s="16">
        <f>MAX(A2:A85)</f>
        <v>17</v>
      </c>
      <c r="E2" s="16">
        <f>MIN(A2:A85)</f>
        <v>4</v>
      </c>
      <c r="F2" s="16">
        <f>D2-E2+1+2</f>
        <v>16</v>
      </c>
      <c r="H2" t="s">
        <v>232</v>
      </c>
      <c r="I2">
        <f>COUNTIF(A2:A85,"&lt;=3")</f>
        <v>0</v>
      </c>
      <c r="J2">
        <f>I2/SUM($I$2:$I$17)</f>
        <v>0</v>
      </c>
      <c r="K2">
        <f>_xlfn.POISSON.DIST(3,10,1)</f>
        <v>1.0336050675925718E-2</v>
      </c>
      <c r="L2">
        <f>$C$2*K2</f>
        <v>0.86822825677776028</v>
      </c>
      <c r="M2">
        <f>(I2-L2)^2/L2</f>
        <v>0.86822825677776017</v>
      </c>
    </row>
    <row r="3" spans="1:13">
      <c r="A3" s="13">
        <v>4</v>
      </c>
      <c r="H3">
        <v>4</v>
      </c>
      <c r="I3">
        <f>COUNTIF($A$2:$A$85,H3)</f>
        <v>1</v>
      </c>
      <c r="J3">
        <f t="shared" ref="J3:J17" si="0">I3/SUM($I$2:$I$17)</f>
        <v>1.1904761904761904E-2</v>
      </c>
      <c r="K3">
        <f>_xlfn.POISSON.DIST(H3,10,0)</f>
        <v>1.8916637401035354E-2</v>
      </c>
      <c r="L3">
        <f t="shared" ref="L3:L17" si="1">$C$2*K3</f>
        <v>1.5889975416869697</v>
      </c>
      <c r="M3">
        <f t="shared" ref="M3:M17" si="2">(I3-L3)^2/L3</f>
        <v>0.21832513582430449</v>
      </c>
    </row>
    <row r="4" spans="1:13">
      <c r="A4" s="13">
        <v>11</v>
      </c>
      <c r="H4">
        <v>5</v>
      </c>
      <c r="I4">
        <f t="shared" ref="I4:I16" si="3">COUNTIF($A$2:$A$85,H4)</f>
        <v>3</v>
      </c>
      <c r="J4">
        <f t="shared" si="0"/>
        <v>3.5714285714285712E-2</v>
      </c>
      <c r="K4">
        <f t="shared" ref="K4:K16" si="4">_xlfn.POISSON.DIST(H4,10,0)</f>
        <v>3.7833274802070715E-2</v>
      </c>
      <c r="L4">
        <f t="shared" si="1"/>
        <v>3.1779950833739399</v>
      </c>
      <c r="M4">
        <f t="shared" si="2"/>
        <v>9.9692569919460471E-3</v>
      </c>
    </row>
    <row r="5" spans="1:13">
      <c r="A5" s="13">
        <v>7</v>
      </c>
      <c r="H5">
        <v>6</v>
      </c>
      <c r="I5">
        <f t="shared" si="3"/>
        <v>9</v>
      </c>
      <c r="J5">
        <f t="shared" si="0"/>
        <v>0.10714285714285714</v>
      </c>
      <c r="K5">
        <f t="shared" si="4"/>
        <v>6.3055458003451192E-2</v>
      </c>
      <c r="L5">
        <f t="shared" si="1"/>
        <v>5.2966584722899004</v>
      </c>
      <c r="M5">
        <f t="shared" si="2"/>
        <v>2.5893190098271321</v>
      </c>
    </row>
    <row r="6" spans="1:13">
      <c r="A6" s="13">
        <v>8</v>
      </c>
      <c r="H6">
        <v>7</v>
      </c>
      <c r="I6">
        <f t="shared" si="3"/>
        <v>9</v>
      </c>
      <c r="J6">
        <f t="shared" si="0"/>
        <v>0.10714285714285714</v>
      </c>
      <c r="K6">
        <f t="shared" si="4"/>
        <v>9.0079225719215977E-2</v>
      </c>
      <c r="L6">
        <f t="shared" si="1"/>
        <v>7.5666549604141418</v>
      </c>
      <c r="M6">
        <f t="shared" si="2"/>
        <v>0.27151733669020622</v>
      </c>
    </row>
    <row r="7" spans="1:13">
      <c r="A7" s="13">
        <v>12</v>
      </c>
      <c r="H7">
        <v>8</v>
      </c>
      <c r="I7">
        <f t="shared" si="3"/>
        <v>6</v>
      </c>
      <c r="J7">
        <f t="shared" si="0"/>
        <v>7.1428571428571425E-2</v>
      </c>
      <c r="K7">
        <f t="shared" si="4"/>
        <v>0.11259903214901996</v>
      </c>
      <c r="L7">
        <f t="shared" si="1"/>
        <v>9.4583187005176779</v>
      </c>
      <c r="M7">
        <f t="shared" si="2"/>
        <v>1.2644919898602782</v>
      </c>
    </row>
    <row r="8" spans="1:13">
      <c r="A8" s="13">
        <v>7</v>
      </c>
      <c r="H8">
        <v>9</v>
      </c>
      <c r="I8">
        <f t="shared" si="3"/>
        <v>10</v>
      </c>
      <c r="J8">
        <f t="shared" si="0"/>
        <v>0.11904761904761904</v>
      </c>
      <c r="K8">
        <f t="shared" si="4"/>
        <v>0.1251100357211333</v>
      </c>
      <c r="L8">
        <f t="shared" si="1"/>
        <v>10.509243000575196</v>
      </c>
      <c r="M8">
        <f t="shared" si="2"/>
        <v>2.4676223931698587E-2</v>
      </c>
    </row>
    <row r="9" spans="1:13">
      <c r="A9" s="13">
        <v>11</v>
      </c>
      <c r="H9">
        <v>10</v>
      </c>
      <c r="I9">
        <f t="shared" si="3"/>
        <v>13</v>
      </c>
      <c r="J9">
        <f t="shared" si="0"/>
        <v>0.15476190476190477</v>
      </c>
      <c r="K9">
        <f t="shared" si="4"/>
        <v>0.1251100357211333</v>
      </c>
      <c r="L9">
        <f t="shared" si="1"/>
        <v>10.509243000575196</v>
      </c>
      <c r="M9">
        <f t="shared" si="2"/>
        <v>0.5903251480476851</v>
      </c>
    </row>
    <row r="10" spans="1:13">
      <c r="A10" s="13">
        <v>7</v>
      </c>
      <c r="H10">
        <v>11</v>
      </c>
      <c r="I10">
        <f t="shared" si="3"/>
        <v>8</v>
      </c>
      <c r="J10">
        <f t="shared" si="0"/>
        <v>9.5238095238095233E-2</v>
      </c>
      <c r="K10">
        <f t="shared" si="4"/>
        <v>0.11373639611012118</v>
      </c>
      <c r="L10">
        <f t="shared" si="1"/>
        <v>9.5538572732501787</v>
      </c>
      <c r="M10">
        <f t="shared" si="2"/>
        <v>0.25272226249315616</v>
      </c>
    </row>
    <row r="11" spans="1:13">
      <c r="A11" s="13">
        <v>13</v>
      </c>
      <c r="H11">
        <v>12</v>
      </c>
      <c r="I11">
        <f t="shared" si="3"/>
        <v>9</v>
      </c>
      <c r="J11">
        <f t="shared" si="0"/>
        <v>0.10714285714285714</v>
      </c>
      <c r="K11">
        <f t="shared" si="4"/>
        <v>9.4780330091767673E-2</v>
      </c>
      <c r="L11">
        <f t="shared" si="1"/>
        <v>7.961547727708485</v>
      </c>
      <c r="M11">
        <f t="shared" si="2"/>
        <v>0.13544893012125347</v>
      </c>
    </row>
    <row r="12" spans="1:13">
      <c r="A12" s="13">
        <v>17</v>
      </c>
      <c r="H12">
        <v>13</v>
      </c>
      <c r="I12">
        <f t="shared" si="3"/>
        <v>5</v>
      </c>
      <c r="J12">
        <f t="shared" si="0"/>
        <v>5.9523809523809521E-2</v>
      </c>
      <c r="K12">
        <f t="shared" si="4"/>
        <v>7.2907946224436637E-2</v>
      </c>
      <c r="L12">
        <f t="shared" si="1"/>
        <v>6.1242674828526775</v>
      </c>
      <c r="M12">
        <f t="shared" si="2"/>
        <v>0.20638833567261763</v>
      </c>
    </row>
    <row r="13" spans="1:13">
      <c r="A13" s="13">
        <v>13</v>
      </c>
      <c r="H13">
        <v>14</v>
      </c>
      <c r="I13">
        <f t="shared" si="3"/>
        <v>5</v>
      </c>
      <c r="J13">
        <f t="shared" si="0"/>
        <v>5.9523809523809521E-2</v>
      </c>
      <c r="K13">
        <f t="shared" si="4"/>
        <v>5.2077104446026187E-2</v>
      </c>
      <c r="L13">
        <f t="shared" si="1"/>
        <v>4.3744767734662</v>
      </c>
      <c r="M13">
        <f t="shared" si="2"/>
        <v>8.9445967414113869E-2</v>
      </c>
    </row>
    <row r="14" spans="1:13">
      <c r="A14" s="13">
        <v>7</v>
      </c>
      <c r="H14">
        <v>15</v>
      </c>
      <c r="I14">
        <f t="shared" si="3"/>
        <v>4</v>
      </c>
      <c r="J14">
        <f t="shared" si="0"/>
        <v>4.7619047619047616E-2</v>
      </c>
      <c r="K14">
        <f t="shared" si="4"/>
        <v>3.4718069630684127E-2</v>
      </c>
      <c r="L14">
        <f t="shared" si="1"/>
        <v>2.9163178489774668</v>
      </c>
      <c r="M14">
        <f t="shared" si="2"/>
        <v>0.40268827516746386</v>
      </c>
    </row>
    <row r="15" spans="1:13">
      <c r="A15" s="13">
        <v>5</v>
      </c>
      <c r="H15">
        <v>16</v>
      </c>
      <c r="I15">
        <f t="shared" si="3"/>
        <v>1</v>
      </c>
      <c r="J15">
        <f t="shared" si="0"/>
        <v>1.1904761904761904E-2</v>
      </c>
      <c r="K15">
        <f t="shared" si="4"/>
        <v>2.1698793519177549E-2</v>
      </c>
      <c r="L15">
        <f t="shared" si="1"/>
        <v>1.8226986556109142</v>
      </c>
      <c r="M15">
        <f t="shared" si="2"/>
        <v>0.37133569822991463</v>
      </c>
    </row>
    <row r="16" spans="1:13">
      <c r="A16" s="13">
        <v>12</v>
      </c>
      <c r="H16">
        <v>17</v>
      </c>
      <c r="I16">
        <f t="shared" si="3"/>
        <v>1</v>
      </c>
      <c r="J16">
        <f t="shared" si="0"/>
        <v>1.1904761904761904E-2</v>
      </c>
      <c r="K16">
        <f t="shared" si="4"/>
        <v>1.2763996187751522E-2</v>
      </c>
      <c r="L16">
        <f t="shared" si="1"/>
        <v>1.0721756797711279</v>
      </c>
      <c r="M16">
        <f t="shared" si="2"/>
        <v>4.8586522234270561E-3</v>
      </c>
    </row>
    <row r="17" spans="1:13">
      <c r="A17" s="13">
        <v>14</v>
      </c>
      <c r="H17" t="s">
        <v>233</v>
      </c>
      <c r="I17">
        <f>COUNTIF(A2:A85,"&gt;=18")</f>
        <v>0</v>
      </c>
      <c r="J17">
        <f t="shared" si="0"/>
        <v>0</v>
      </c>
      <c r="K17">
        <f>1-_xlfn.POISSON.DIST(H16,10,1)</f>
        <v>1.4277613597049599E-2</v>
      </c>
      <c r="L17">
        <f t="shared" si="1"/>
        <v>1.1993195421521663</v>
      </c>
      <c r="M17">
        <f t="shared" si="2"/>
        <v>1.1993195421521663</v>
      </c>
    </row>
    <row r="18" spans="1:13">
      <c r="A18" s="13">
        <v>9</v>
      </c>
    </row>
    <row r="19" spans="1:13">
      <c r="A19" s="13">
        <v>10</v>
      </c>
      <c r="L19" t="s">
        <v>13</v>
      </c>
      <c r="M19">
        <f>SUM(M2:M17)</f>
        <v>8.4990600214251248</v>
      </c>
    </row>
    <row r="20" spans="1:13">
      <c r="A20" s="13">
        <v>6</v>
      </c>
      <c r="L20" t="s">
        <v>234</v>
      </c>
      <c r="M20">
        <f>_xlfn.CHISQ.INV.RT(0.1,15)</f>
        <v>22.307129581578689</v>
      </c>
    </row>
    <row r="21" spans="1:13">
      <c r="A21" s="13">
        <v>15</v>
      </c>
    </row>
    <row r="22" spans="1:13">
      <c r="A22" s="13">
        <v>6</v>
      </c>
    </row>
    <row r="23" spans="1:13">
      <c r="A23" s="13">
        <v>11</v>
      </c>
    </row>
    <row r="24" spans="1:13">
      <c r="A24" s="13">
        <v>10</v>
      </c>
    </row>
    <row r="25" spans="1:13">
      <c r="A25" s="13">
        <v>14</v>
      </c>
    </row>
    <row r="26" spans="1:13">
      <c r="A26" s="13">
        <v>14</v>
      </c>
    </row>
    <row r="27" spans="1:13">
      <c r="A27" s="13">
        <v>10</v>
      </c>
    </row>
    <row r="28" spans="1:13">
      <c r="A28" s="13">
        <v>7</v>
      </c>
    </row>
    <row r="29" spans="1:13">
      <c r="A29" s="13">
        <v>12</v>
      </c>
    </row>
    <row r="30" spans="1:13">
      <c r="A30" s="13">
        <v>7</v>
      </c>
    </row>
    <row r="31" spans="1:13">
      <c r="A31" s="13">
        <v>10</v>
      </c>
    </row>
    <row r="32" spans="1:13">
      <c r="A32" s="13">
        <v>12</v>
      </c>
    </row>
    <row r="33" spans="1:1">
      <c r="A33" s="13">
        <v>9</v>
      </c>
    </row>
    <row r="34" spans="1:1">
      <c r="A34" s="13">
        <v>13</v>
      </c>
    </row>
    <row r="35" spans="1:1">
      <c r="A35" s="13">
        <v>6</v>
      </c>
    </row>
    <row r="36" spans="1:1">
      <c r="A36" s="13">
        <v>10</v>
      </c>
    </row>
    <row r="37" spans="1:1">
      <c r="A37" s="13">
        <v>8</v>
      </c>
    </row>
    <row r="38" spans="1:1">
      <c r="A38" s="13">
        <v>9</v>
      </c>
    </row>
    <row r="39" spans="1:1">
      <c r="A39" s="13">
        <v>7</v>
      </c>
    </row>
    <row r="40" spans="1:1">
      <c r="A40" s="13">
        <v>11</v>
      </c>
    </row>
    <row r="41" spans="1:1">
      <c r="A41" s="13">
        <v>14</v>
      </c>
    </row>
    <row r="42" spans="1:1">
      <c r="A42" s="13">
        <v>12</v>
      </c>
    </row>
    <row r="43" spans="1:1">
      <c r="A43" s="13">
        <v>10</v>
      </c>
    </row>
    <row r="44" spans="1:1">
      <c r="A44" s="13">
        <v>9</v>
      </c>
    </row>
    <row r="45" spans="1:1">
      <c r="A45" s="13">
        <v>9</v>
      </c>
    </row>
    <row r="46" spans="1:1">
      <c r="A46" s="13">
        <v>6</v>
      </c>
    </row>
    <row r="47" spans="1:1">
      <c r="A47" s="13">
        <v>11</v>
      </c>
    </row>
    <row r="48" spans="1:1">
      <c r="A48" s="13">
        <v>16</v>
      </c>
    </row>
    <row r="49" spans="1:1">
      <c r="A49" s="13">
        <v>9</v>
      </c>
    </row>
    <row r="50" spans="1:1">
      <c r="A50" s="13">
        <v>12</v>
      </c>
    </row>
    <row r="51" spans="1:1">
      <c r="A51" s="13">
        <v>11</v>
      </c>
    </row>
    <row r="52" spans="1:1">
      <c r="A52" s="13">
        <v>8</v>
      </c>
    </row>
    <row r="53" spans="1:1">
      <c r="A53" s="13">
        <v>10</v>
      </c>
    </row>
    <row r="54" spans="1:1">
      <c r="A54" s="13">
        <v>9</v>
      </c>
    </row>
    <row r="55" spans="1:1">
      <c r="A55" s="13">
        <v>8</v>
      </c>
    </row>
    <row r="56" spans="1:1">
      <c r="A56" s="13">
        <v>6</v>
      </c>
    </row>
    <row r="57" spans="1:1">
      <c r="A57" s="13">
        <v>8</v>
      </c>
    </row>
    <row r="58" spans="1:1">
      <c r="A58" s="13">
        <v>7</v>
      </c>
    </row>
    <row r="59" spans="1:1">
      <c r="A59" s="13">
        <v>12</v>
      </c>
    </row>
    <row r="60" spans="1:1">
      <c r="A60" s="13">
        <v>15</v>
      </c>
    </row>
    <row r="61" spans="1:1">
      <c r="A61" s="13">
        <v>12</v>
      </c>
    </row>
    <row r="62" spans="1:1">
      <c r="A62" s="13">
        <v>8</v>
      </c>
    </row>
    <row r="63" spans="1:1">
      <c r="A63" s="13">
        <v>13</v>
      </c>
    </row>
    <row r="64" spans="1:1">
      <c r="A64" s="13">
        <v>9</v>
      </c>
    </row>
    <row r="65" spans="1:1">
      <c r="A65" s="13">
        <v>6</v>
      </c>
    </row>
    <row r="66" spans="1:1">
      <c r="A66" s="13">
        <v>6</v>
      </c>
    </row>
    <row r="67" spans="1:1">
      <c r="A67" s="13">
        <v>10</v>
      </c>
    </row>
    <row r="68" spans="1:1">
      <c r="A68" s="13">
        <v>14</v>
      </c>
    </row>
    <row r="69" spans="1:1">
      <c r="A69" s="13">
        <v>9</v>
      </c>
    </row>
    <row r="70" spans="1:1">
      <c r="A70" s="13">
        <v>6</v>
      </c>
    </row>
    <row r="71" spans="1:1">
      <c r="A71" s="13">
        <v>6</v>
      </c>
    </row>
    <row r="72" spans="1:1">
      <c r="A72" s="13">
        <v>12</v>
      </c>
    </row>
    <row r="73" spans="1:1">
      <c r="A73" s="13">
        <v>15</v>
      </c>
    </row>
    <row r="74" spans="1:1">
      <c r="A74" s="13">
        <v>5</v>
      </c>
    </row>
    <row r="75" spans="1:1">
      <c r="A75" s="13">
        <v>10</v>
      </c>
    </row>
    <row r="76" spans="1:1">
      <c r="A76" s="13">
        <v>5</v>
      </c>
    </row>
    <row r="77" spans="1:1">
      <c r="A77" s="13">
        <v>7</v>
      </c>
    </row>
    <row r="78" spans="1:1">
      <c r="A78" s="13">
        <v>10</v>
      </c>
    </row>
    <row r="79" spans="1:1">
      <c r="A79" s="13">
        <v>9</v>
      </c>
    </row>
    <row r="80" spans="1:1">
      <c r="A80" s="13">
        <v>10</v>
      </c>
    </row>
    <row r="81" spans="1:1">
      <c r="A81" s="13">
        <v>13</v>
      </c>
    </row>
    <row r="82" spans="1:1">
      <c r="A82" s="13">
        <v>11</v>
      </c>
    </row>
    <row r="83" spans="1:1">
      <c r="A83" s="13">
        <v>10</v>
      </c>
    </row>
    <row r="84" spans="1:1">
      <c r="A84" s="13">
        <v>10</v>
      </c>
    </row>
    <row r="85" spans="1:1">
      <c r="A85" s="13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583-9DB6-4325-BA58-CA0BD9C092ED}">
  <dimension ref="A1:S52"/>
  <sheetViews>
    <sheetView workbookViewId="0">
      <selection activeCell="D5" sqref="D5"/>
    </sheetView>
  </sheetViews>
  <sheetFormatPr defaultRowHeight="16.5"/>
  <cols>
    <col min="2" max="2" width="0" hidden="1" customWidth="1"/>
    <col min="3" max="3" width="14.875" customWidth="1"/>
    <col min="4" max="4" width="9" customWidth="1"/>
    <col min="7" max="7" width="12.625" customWidth="1"/>
    <col min="8" max="8" width="12.875" bestFit="1" customWidth="1"/>
    <col min="12" max="12" width="9.5" bestFit="1" customWidth="1"/>
    <col min="13" max="13" width="14.625" customWidth="1"/>
    <col min="14" max="14" width="10.125" customWidth="1"/>
    <col min="15" max="15" width="8.125" customWidth="1"/>
    <col min="17" max="17" width="15.125" customWidth="1"/>
    <col min="18" max="18" width="10.75" customWidth="1"/>
    <col min="19" max="19" width="7.5" customWidth="1"/>
  </cols>
  <sheetData>
    <row r="1" spans="1:19">
      <c r="A1" t="s">
        <v>79</v>
      </c>
      <c r="B1" t="s">
        <v>12</v>
      </c>
      <c r="C1" t="s">
        <v>66</v>
      </c>
      <c r="D1" t="s">
        <v>10</v>
      </c>
      <c r="E1" t="s">
        <v>78</v>
      </c>
      <c r="F1" t="s">
        <v>10</v>
      </c>
      <c r="G1" t="s">
        <v>67</v>
      </c>
      <c r="H1" s="16">
        <f>AVERAGE(C2:C52)</f>
        <v>14.137254901960784</v>
      </c>
      <c r="L1" t="str" cm="1">
        <f t="array" ref="L1:L27">A1:A27</f>
        <v>month</v>
      </c>
      <c r="M1" t="str" cm="1">
        <f t="array" ref="M1:M27">C1:C27</f>
        <v>death in Taoyuan</v>
      </c>
      <c r="N1" t="str" cm="1">
        <f t="array" ref="N1:N27">E1:E27</f>
        <v>p-value</v>
      </c>
      <c r="O1" t="str" cm="1">
        <f t="array" ref="O1:O27">F1:F27</f>
        <v>H_0</v>
      </c>
      <c r="P1" t="str" cm="1">
        <f t="array" ref="P1:S1">L1:O1</f>
        <v>month</v>
      </c>
      <c r="Q1" t="str">
        <v>death in Taoyuan</v>
      </c>
      <c r="R1" t="str">
        <v>p-value</v>
      </c>
      <c r="S1" t="str">
        <v>H_0</v>
      </c>
    </row>
    <row r="2" spans="1:19">
      <c r="A2" s="28">
        <v>43101</v>
      </c>
      <c r="B2">
        <v>1</v>
      </c>
      <c r="C2" s="19">
        <v>7</v>
      </c>
      <c r="D2" t="str">
        <f>IF(OR(C2&gt;=$J$6,C2&lt;=$J$9),"reject","accept")</f>
        <v>accept</v>
      </c>
      <c r="E2">
        <f>IF(_xlfn.POISSON.DIST(C2,$H$5,1)&gt;0.5,(1-_xlfn.POISSON.DIST(C2,$H$5,1))*2,_xlfn.POISSON.DIST(C2,$H$5,1)*2)</f>
        <v>0.44044129320339798</v>
      </c>
      <c r="F2" t="str">
        <f>IF(E2&lt;0.05,"reject","accept")</f>
        <v>accept</v>
      </c>
      <c r="G2" t="s">
        <v>68</v>
      </c>
      <c r="H2">
        <f>_xlfn.VAR.S(C2:C52)</f>
        <v>30.680784313725489</v>
      </c>
      <c r="L2" s="29">
        <v>43101</v>
      </c>
      <c r="M2">
        <v>7</v>
      </c>
      <c r="N2">
        <v>0.44044129320339798</v>
      </c>
      <c r="O2" t="str">
        <v>accept</v>
      </c>
      <c r="P2" s="29" cm="1">
        <f t="array" ref="P2:P26">A28:A52</f>
        <v>43891</v>
      </c>
      <c r="Q2" s="16" cm="1">
        <f t="array" ref="Q2:Q26">C28:C52</f>
        <v>18</v>
      </c>
      <c r="R2" cm="1">
        <f t="array" ref="R2:R26">E28:E52</f>
        <v>1.4373009207708787E-2</v>
      </c>
      <c r="S2" t="str" cm="1">
        <f t="array" ref="S2:S26">F28:F52</f>
        <v>reject</v>
      </c>
    </row>
    <row r="3" spans="1:19">
      <c r="A3" s="12">
        <v>43132</v>
      </c>
      <c r="B3">
        <v>2</v>
      </c>
      <c r="C3" s="13">
        <v>7</v>
      </c>
      <c r="D3" t="str">
        <f t="shared" ref="D3:D52" si="0">IF(OR(C3&gt;=$J$6,C3&lt;=$J$9),"reject","accept")</f>
        <v>accept</v>
      </c>
      <c r="E3">
        <f t="shared" ref="E3:E52" si="1">IF(_xlfn.POISSON.DIST(C3,$H$5,1)&gt;0.5,(1-_xlfn.POISSON.DIST(C3,$H$5,1))*2,_xlfn.POISSON.DIST(C3,$H$5,1)*2)</f>
        <v>0.44044129320339798</v>
      </c>
      <c r="F3" t="str">
        <f t="shared" ref="F3:F52" si="2">IF(E3&lt;0.05,"reject","accept")</f>
        <v>accept</v>
      </c>
      <c r="G3" t="s">
        <v>8</v>
      </c>
      <c r="H3">
        <f>H2^0.5</f>
        <v>5.539023769016115</v>
      </c>
      <c r="L3" s="29">
        <v>43132</v>
      </c>
      <c r="M3">
        <v>7</v>
      </c>
      <c r="N3">
        <v>0.44044129320339798</v>
      </c>
      <c r="O3" t="str">
        <v>accept</v>
      </c>
      <c r="P3" s="29">
        <v>43922</v>
      </c>
      <c r="Q3">
        <v>16</v>
      </c>
      <c r="R3">
        <v>5.4083219569602381E-2</v>
      </c>
      <c r="S3" t="str">
        <v>accept</v>
      </c>
    </row>
    <row r="4" spans="1:19">
      <c r="A4" s="12">
        <v>43160</v>
      </c>
      <c r="B4">
        <v>3</v>
      </c>
      <c r="C4" s="13">
        <v>5</v>
      </c>
      <c r="D4" t="str">
        <f t="shared" si="0"/>
        <v>accept</v>
      </c>
      <c r="E4">
        <f t="shared" si="1"/>
        <v>0.13417192575806361</v>
      </c>
      <c r="F4" t="str">
        <f t="shared" si="2"/>
        <v>accept</v>
      </c>
      <c r="G4" t="s">
        <v>69</v>
      </c>
      <c r="H4" s="16">
        <f>H1</f>
        <v>14.137254901960784</v>
      </c>
      <c r="L4" s="29">
        <v>43160</v>
      </c>
      <c r="M4">
        <v>5</v>
      </c>
      <c r="N4">
        <v>0.13417192575806361</v>
      </c>
      <c r="O4" t="str">
        <v>accept</v>
      </c>
      <c r="P4" s="29">
        <v>43952</v>
      </c>
      <c r="Q4">
        <v>18</v>
      </c>
      <c r="R4">
        <v>1.4373009207708787E-2</v>
      </c>
      <c r="S4" t="str">
        <v>reject</v>
      </c>
    </row>
    <row r="5" spans="1:19">
      <c r="A5" s="12">
        <v>43191</v>
      </c>
      <c r="B5">
        <v>4</v>
      </c>
      <c r="C5" s="13">
        <v>4</v>
      </c>
      <c r="D5" t="str">
        <f t="shared" si="0"/>
        <v>reject</v>
      </c>
      <c r="E5">
        <f t="shared" si="1"/>
        <v>5.850537615392213E-2</v>
      </c>
      <c r="F5" t="str">
        <f t="shared" si="2"/>
        <v>accept</v>
      </c>
      <c r="G5" s="6" t="s">
        <v>70</v>
      </c>
      <c r="H5">
        <v>10</v>
      </c>
      <c r="L5" s="29">
        <v>43191</v>
      </c>
      <c r="M5">
        <v>4</v>
      </c>
      <c r="N5">
        <v>5.850537615392213E-2</v>
      </c>
      <c r="O5" t="str">
        <v>accept</v>
      </c>
      <c r="P5" s="29">
        <v>43983</v>
      </c>
      <c r="Q5">
        <v>7</v>
      </c>
      <c r="R5">
        <v>0.44044129320339798</v>
      </c>
      <c r="S5" t="str">
        <v>accept</v>
      </c>
    </row>
    <row r="6" spans="1:19">
      <c r="A6" s="12">
        <v>43221</v>
      </c>
      <c r="B6">
        <v>5</v>
      </c>
      <c r="C6" s="13">
        <v>9</v>
      </c>
      <c r="D6" t="str">
        <f t="shared" si="0"/>
        <v>accept</v>
      </c>
      <c r="E6">
        <f t="shared" si="1"/>
        <v>0.91585942894370453</v>
      </c>
      <c r="F6" t="str">
        <f t="shared" si="2"/>
        <v>accept</v>
      </c>
      <c r="G6" s="20" t="s">
        <v>75</v>
      </c>
      <c r="H6" s="21">
        <v>0.97499999999999998</v>
      </c>
      <c r="I6" t="s">
        <v>72</v>
      </c>
      <c r="J6">
        <v>17</v>
      </c>
      <c r="L6" s="29">
        <v>43221</v>
      </c>
      <c r="M6">
        <v>9</v>
      </c>
      <c r="N6">
        <v>0.91585942894370453</v>
      </c>
      <c r="O6" t="str">
        <v>accept</v>
      </c>
      <c r="P6" s="29">
        <v>44013</v>
      </c>
      <c r="Q6">
        <v>15</v>
      </c>
      <c r="R6">
        <v>9.7480806607957327E-2</v>
      </c>
      <c r="S6" t="str">
        <v>accept</v>
      </c>
    </row>
    <row r="7" spans="1:19">
      <c r="A7" s="12">
        <v>43252</v>
      </c>
      <c r="B7">
        <v>6</v>
      </c>
      <c r="C7" s="13">
        <v>7</v>
      </c>
      <c r="D7" t="str">
        <f t="shared" si="0"/>
        <v>accept</v>
      </c>
      <c r="E7">
        <f t="shared" si="1"/>
        <v>0.44044129320339798</v>
      </c>
      <c r="F7" t="str">
        <f t="shared" si="2"/>
        <v>accept</v>
      </c>
      <c r="G7" s="22" t="s">
        <v>73</v>
      </c>
      <c r="H7" s="23">
        <f>_xlfn.POISSON.DIST(16,10,1)</f>
        <v>0.97295839021519881</v>
      </c>
      <c r="L7" s="29">
        <v>43252</v>
      </c>
      <c r="M7">
        <v>7</v>
      </c>
      <c r="N7">
        <v>0.44044129320339798</v>
      </c>
      <c r="O7" t="str">
        <v>accept</v>
      </c>
      <c r="P7" s="29">
        <v>44044</v>
      </c>
      <c r="Q7">
        <v>14</v>
      </c>
      <c r="R7">
        <v>0.16691694586932559</v>
      </c>
      <c r="S7" t="str">
        <v>accept</v>
      </c>
    </row>
    <row r="8" spans="1:19">
      <c r="A8" s="12">
        <v>43282</v>
      </c>
      <c r="B8">
        <v>7</v>
      </c>
      <c r="C8" s="13">
        <v>10</v>
      </c>
      <c r="D8" t="str">
        <f t="shared" si="0"/>
        <v>accept</v>
      </c>
      <c r="E8">
        <f t="shared" si="1"/>
        <v>0.83392049961402925</v>
      </c>
      <c r="F8" t="str">
        <f t="shared" si="2"/>
        <v>accept</v>
      </c>
      <c r="G8" s="24" t="s">
        <v>74</v>
      </c>
      <c r="H8" s="25">
        <f>_xlfn.POISSON.DIST(17,10,1)</f>
        <v>0.9857223864029504</v>
      </c>
      <c r="L8" s="29">
        <v>43282</v>
      </c>
      <c r="M8">
        <v>10</v>
      </c>
      <c r="N8">
        <v>0.83392049961402925</v>
      </c>
      <c r="O8" t="str">
        <v>accept</v>
      </c>
      <c r="P8" s="29">
        <v>44075</v>
      </c>
      <c r="Q8">
        <v>15</v>
      </c>
      <c r="R8">
        <v>9.7480806607957327E-2</v>
      </c>
      <c r="S8" t="str">
        <v>accept</v>
      </c>
    </row>
    <row r="9" spans="1:19">
      <c r="A9" s="12">
        <v>43313</v>
      </c>
      <c r="B9">
        <v>8</v>
      </c>
      <c r="C9" s="13">
        <v>6</v>
      </c>
      <c r="D9" t="str">
        <f t="shared" si="0"/>
        <v>accept</v>
      </c>
      <c r="E9">
        <f t="shared" si="1"/>
        <v>0.26028284176496597</v>
      </c>
      <c r="F9" t="str">
        <f t="shared" si="2"/>
        <v>accept</v>
      </c>
      <c r="G9" s="20" t="s">
        <v>76</v>
      </c>
      <c r="H9" s="21">
        <v>2.5000000000000001E-2</v>
      </c>
      <c r="I9" t="s">
        <v>77</v>
      </c>
      <c r="J9">
        <v>4</v>
      </c>
      <c r="L9" s="29">
        <v>43313</v>
      </c>
      <c r="M9">
        <v>6</v>
      </c>
      <c r="N9">
        <v>0.26028284176496597</v>
      </c>
      <c r="O9" t="str">
        <v>accept</v>
      </c>
      <c r="P9" s="29">
        <v>44105</v>
      </c>
      <c r="Q9">
        <v>13</v>
      </c>
      <c r="R9">
        <v>0.271071154761378</v>
      </c>
      <c r="S9" t="str">
        <v>accept</v>
      </c>
    </row>
    <row r="10" spans="1:19">
      <c r="A10" s="12">
        <v>43344</v>
      </c>
      <c r="B10">
        <v>9</v>
      </c>
      <c r="C10" s="13">
        <v>14</v>
      </c>
      <c r="D10" t="str">
        <f t="shared" si="0"/>
        <v>accept</v>
      </c>
      <c r="E10">
        <f t="shared" si="1"/>
        <v>0.16691694586932559</v>
      </c>
      <c r="F10" t="str">
        <f t="shared" si="2"/>
        <v>accept</v>
      </c>
      <c r="G10" s="26" t="s">
        <v>80</v>
      </c>
      <c r="H10" s="23">
        <f>_xlfn.POISSON.DIST(3,10,1)</f>
        <v>1.0336050675925718E-2</v>
      </c>
      <c r="L10" s="29">
        <v>43344</v>
      </c>
      <c r="M10">
        <v>14</v>
      </c>
      <c r="N10">
        <v>0.16691694586932559</v>
      </c>
      <c r="O10" t="str">
        <v>accept</v>
      </c>
      <c r="P10" s="29">
        <v>44136</v>
      </c>
      <c r="Q10">
        <v>18</v>
      </c>
      <c r="R10">
        <v>1.4373009207708787E-2</v>
      </c>
      <c r="S10" t="str">
        <v>reject</v>
      </c>
    </row>
    <row r="11" spans="1:19">
      <c r="A11" s="12">
        <v>43374</v>
      </c>
      <c r="B11">
        <v>10</v>
      </c>
      <c r="C11" s="13">
        <v>6</v>
      </c>
      <c r="D11" t="str">
        <f t="shared" si="0"/>
        <v>accept</v>
      </c>
      <c r="E11">
        <f t="shared" si="1"/>
        <v>0.26028284176496597</v>
      </c>
      <c r="F11" t="str">
        <f t="shared" si="2"/>
        <v>accept</v>
      </c>
      <c r="G11" s="27" t="s">
        <v>71</v>
      </c>
      <c r="H11" s="25">
        <f>_xlfn.POISSON.DIST(4,10,1)</f>
        <v>2.9252688076961065E-2</v>
      </c>
      <c r="L11" s="29">
        <v>43374</v>
      </c>
      <c r="M11">
        <v>6</v>
      </c>
      <c r="N11">
        <v>0.26028284176496597</v>
      </c>
      <c r="O11" t="str">
        <v>accept</v>
      </c>
      <c r="P11" s="29">
        <v>44166</v>
      </c>
      <c r="Q11">
        <v>22</v>
      </c>
      <c r="R11">
        <v>5.9147361601219473E-4</v>
      </c>
      <c r="S11" t="str">
        <v>reject</v>
      </c>
    </row>
    <row r="12" spans="1:19">
      <c r="A12" s="12">
        <v>43405</v>
      </c>
      <c r="B12">
        <v>11</v>
      </c>
      <c r="C12" s="13">
        <v>13</v>
      </c>
      <c r="D12" t="str">
        <f t="shared" si="0"/>
        <v>accept</v>
      </c>
      <c r="E12">
        <f t="shared" si="1"/>
        <v>0.271071154761378</v>
      </c>
      <c r="F12" t="str">
        <f t="shared" si="2"/>
        <v>accept</v>
      </c>
      <c r="G12" s="30" t="s">
        <v>81</v>
      </c>
      <c r="H12">
        <v>13</v>
      </c>
      <c r="L12" s="29">
        <v>43405</v>
      </c>
      <c r="M12">
        <v>13</v>
      </c>
      <c r="N12">
        <v>0.271071154761378</v>
      </c>
      <c r="O12" t="str">
        <v>accept</v>
      </c>
      <c r="P12" s="29">
        <v>44197</v>
      </c>
      <c r="Q12">
        <v>18</v>
      </c>
      <c r="R12">
        <v>1.4373009207708787E-2</v>
      </c>
      <c r="S12" t="str">
        <v>reject</v>
      </c>
    </row>
    <row r="13" spans="1:19">
      <c r="A13" s="12">
        <v>43435</v>
      </c>
      <c r="B13">
        <v>12</v>
      </c>
      <c r="C13" s="13">
        <v>5</v>
      </c>
      <c r="D13" t="str">
        <f t="shared" si="0"/>
        <v>accept</v>
      </c>
      <c r="E13">
        <f t="shared" si="1"/>
        <v>0.13417192575806361</v>
      </c>
      <c r="F13" t="str">
        <f t="shared" si="2"/>
        <v>accept</v>
      </c>
      <c r="G13" s="30" t="s">
        <v>82</v>
      </c>
      <c r="H13">
        <f>_xlfn.POISSON.DIST(J6,H12,1)</f>
        <v>0.89046497952420234</v>
      </c>
      <c r="L13" s="29">
        <v>43435</v>
      </c>
      <c r="M13">
        <v>5</v>
      </c>
      <c r="N13">
        <v>0.13417192575806361</v>
      </c>
      <c r="O13" t="str">
        <v>accept</v>
      </c>
      <c r="P13" s="29">
        <v>44228</v>
      </c>
      <c r="Q13">
        <v>10</v>
      </c>
      <c r="R13">
        <v>0.83392049961402925</v>
      </c>
      <c r="S13" t="str">
        <v>accept</v>
      </c>
    </row>
    <row r="14" spans="1:19">
      <c r="A14" s="12">
        <v>43466</v>
      </c>
      <c r="B14">
        <v>13</v>
      </c>
      <c r="C14" s="13">
        <v>21</v>
      </c>
      <c r="D14" t="str">
        <f t="shared" si="0"/>
        <v>reject</v>
      </c>
      <c r="E14">
        <f t="shared" si="1"/>
        <v>1.3993010246697857E-3</v>
      </c>
      <c r="F14" t="str">
        <f t="shared" si="2"/>
        <v>reject</v>
      </c>
      <c r="G14" s="30" t="s">
        <v>83</v>
      </c>
      <c r="H14">
        <f>_xlfn.POISSON.DIST(J9,H12,1)</f>
        <v>3.7401859058099414E-3</v>
      </c>
      <c r="L14" s="29">
        <v>43466</v>
      </c>
      <c r="M14">
        <v>21</v>
      </c>
      <c r="N14">
        <v>1.3993010246697857E-3</v>
      </c>
      <c r="O14" t="str">
        <v>reject</v>
      </c>
      <c r="P14" s="29">
        <v>44256</v>
      </c>
      <c r="Q14">
        <v>24</v>
      </c>
      <c r="R14">
        <v>9.3898762853594775E-5</v>
      </c>
      <c r="S14" t="str">
        <v>reject</v>
      </c>
    </row>
    <row r="15" spans="1:19">
      <c r="A15" s="12">
        <v>43497</v>
      </c>
      <c r="B15">
        <v>14</v>
      </c>
      <c r="C15" s="13">
        <v>13</v>
      </c>
      <c r="D15" t="str">
        <f t="shared" si="0"/>
        <v>accept</v>
      </c>
      <c r="E15">
        <f t="shared" si="1"/>
        <v>0.271071154761378</v>
      </c>
      <c r="F15" t="str">
        <f t="shared" si="2"/>
        <v>accept</v>
      </c>
      <c r="G15" s="6" t="s">
        <v>32</v>
      </c>
      <c r="H15">
        <f>H13-H14</f>
        <v>0.8867247936183924</v>
      </c>
      <c r="L15" s="29">
        <v>43497</v>
      </c>
      <c r="M15">
        <v>13</v>
      </c>
      <c r="N15">
        <v>0.271071154761378</v>
      </c>
      <c r="O15" t="str">
        <v>accept</v>
      </c>
      <c r="P15" s="29">
        <v>44287</v>
      </c>
      <c r="Q15">
        <v>13</v>
      </c>
      <c r="R15">
        <v>0.271071154761378</v>
      </c>
      <c r="S15" t="str">
        <v>accept</v>
      </c>
    </row>
    <row r="16" spans="1:19">
      <c r="A16" s="12">
        <v>43525</v>
      </c>
      <c r="B16">
        <v>15</v>
      </c>
      <c r="C16" s="13">
        <v>13</v>
      </c>
      <c r="D16" t="str">
        <f t="shared" si="0"/>
        <v>accept</v>
      </c>
      <c r="E16">
        <f t="shared" si="1"/>
        <v>0.271071154761378</v>
      </c>
      <c r="F16" t="str">
        <f t="shared" si="2"/>
        <v>accept</v>
      </c>
      <c r="L16" s="29">
        <v>43525</v>
      </c>
      <c r="M16">
        <v>13</v>
      </c>
      <c r="N16">
        <v>0.271071154761378</v>
      </c>
      <c r="O16" t="str">
        <v>accept</v>
      </c>
      <c r="P16" s="29">
        <v>44317</v>
      </c>
      <c r="Q16">
        <v>12</v>
      </c>
      <c r="R16">
        <v>0.41688704721025127</v>
      </c>
      <c r="S16" t="str">
        <v>accept</v>
      </c>
    </row>
    <row r="17" spans="1:19">
      <c r="A17" s="12">
        <v>43556</v>
      </c>
      <c r="B17">
        <v>16</v>
      </c>
      <c r="C17" s="13">
        <v>11</v>
      </c>
      <c r="D17" t="str">
        <f t="shared" si="0"/>
        <v>accept</v>
      </c>
      <c r="E17">
        <f t="shared" si="1"/>
        <v>0.60644770739378684</v>
      </c>
      <c r="F17" t="str">
        <f t="shared" si="2"/>
        <v>accept</v>
      </c>
      <c r="L17" s="29">
        <v>43556</v>
      </c>
      <c r="M17">
        <v>11</v>
      </c>
      <c r="N17">
        <v>0.60644770739378684</v>
      </c>
      <c r="O17" t="str">
        <v>accept</v>
      </c>
      <c r="P17" s="29">
        <v>44348</v>
      </c>
      <c r="Q17">
        <v>13</v>
      </c>
      <c r="R17">
        <v>0.271071154761378</v>
      </c>
      <c r="S17" t="str">
        <v>accept</v>
      </c>
    </row>
    <row r="18" spans="1:19">
      <c r="A18" s="12">
        <v>43586</v>
      </c>
      <c r="B18">
        <v>17</v>
      </c>
      <c r="C18" s="13">
        <v>22</v>
      </c>
      <c r="D18" t="str">
        <f t="shared" si="0"/>
        <v>reject</v>
      </c>
      <c r="E18">
        <f t="shared" si="1"/>
        <v>5.9147361601219473E-4</v>
      </c>
      <c r="F18" t="str">
        <f t="shared" si="2"/>
        <v>reject</v>
      </c>
      <c r="L18" s="29">
        <v>43586</v>
      </c>
      <c r="M18">
        <v>22</v>
      </c>
      <c r="N18">
        <v>5.9147361601219473E-4</v>
      </c>
      <c r="O18" t="str">
        <v>reject</v>
      </c>
      <c r="P18" s="29">
        <v>44378</v>
      </c>
      <c r="Q18">
        <v>19</v>
      </c>
      <c r="R18">
        <v>6.9086839517136234E-3</v>
      </c>
      <c r="S18" t="str">
        <v>reject</v>
      </c>
    </row>
    <row r="19" spans="1:19">
      <c r="A19" s="12">
        <v>43617</v>
      </c>
      <c r="B19">
        <v>18</v>
      </c>
      <c r="C19" s="13">
        <v>17</v>
      </c>
      <c r="D19" t="str">
        <f t="shared" si="0"/>
        <v>reject</v>
      </c>
      <c r="E19">
        <f t="shared" si="1"/>
        <v>2.8555227194099198E-2</v>
      </c>
      <c r="F19" t="str">
        <f t="shared" si="2"/>
        <v>reject</v>
      </c>
      <c r="L19" s="29">
        <v>43617</v>
      </c>
      <c r="M19">
        <v>17</v>
      </c>
      <c r="N19">
        <v>2.8555227194099198E-2</v>
      </c>
      <c r="O19" t="str">
        <v>reject</v>
      </c>
      <c r="P19" s="29">
        <v>44409</v>
      </c>
      <c r="Q19">
        <v>9</v>
      </c>
      <c r="R19">
        <v>0.91585942894370453</v>
      </c>
      <c r="S19" t="str">
        <v>accept</v>
      </c>
    </row>
    <row r="20" spans="1:19">
      <c r="A20" s="12">
        <v>43647</v>
      </c>
      <c r="B20">
        <v>19</v>
      </c>
      <c r="C20" s="13">
        <v>9</v>
      </c>
      <c r="D20" t="str">
        <f t="shared" si="0"/>
        <v>accept</v>
      </c>
      <c r="E20">
        <f t="shared" si="1"/>
        <v>0.91585942894370453</v>
      </c>
      <c r="F20" t="str">
        <f t="shared" si="2"/>
        <v>accept</v>
      </c>
      <c r="L20" s="29">
        <v>43647</v>
      </c>
      <c r="M20">
        <v>9</v>
      </c>
      <c r="N20">
        <v>0.91585942894370453</v>
      </c>
      <c r="O20" t="str">
        <v>accept</v>
      </c>
      <c r="P20" s="29">
        <v>44440</v>
      </c>
      <c r="Q20">
        <v>15</v>
      </c>
      <c r="R20">
        <v>9.7480806607957327E-2</v>
      </c>
      <c r="S20" t="str">
        <v>accept</v>
      </c>
    </row>
    <row r="21" spans="1:19">
      <c r="A21" s="12">
        <v>43678</v>
      </c>
      <c r="B21">
        <v>20</v>
      </c>
      <c r="C21" s="13">
        <v>16</v>
      </c>
      <c r="D21" t="str">
        <f t="shared" si="0"/>
        <v>accept</v>
      </c>
      <c r="E21">
        <f t="shared" si="1"/>
        <v>5.4083219569602381E-2</v>
      </c>
      <c r="F21" t="str">
        <f t="shared" si="2"/>
        <v>accept</v>
      </c>
      <c r="L21" s="29">
        <v>43678</v>
      </c>
      <c r="M21">
        <v>16</v>
      </c>
      <c r="N21">
        <v>5.4083219569602381E-2</v>
      </c>
      <c r="O21" t="str">
        <v>accept</v>
      </c>
      <c r="P21" s="29">
        <v>44470</v>
      </c>
      <c r="Q21">
        <v>24</v>
      </c>
      <c r="R21">
        <v>9.3898762853594775E-5</v>
      </c>
      <c r="S21" t="str">
        <v>reject</v>
      </c>
    </row>
    <row r="22" spans="1:19">
      <c r="A22" s="12">
        <v>43709</v>
      </c>
      <c r="B22">
        <v>21</v>
      </c>
      <c r="C22" s="13">
        <v>22</v>
      </c>
      <c r="D22" t="str">
        <f t="shared" si="0"/>
        <v>reject</v>
      </c>
      <c r="E22">
        <f t="shared" si="1"/>
        <v>5.9147361601219473E-4</v>
      </c>
      <c r="F22" t="str">
        <f t="shared" si="2"/>
        <v>reject</v>
      </c>
      <c r="L22" s="29">
        <v>43709</v>
      </c>
      <c r="M22">
        <v>22</v>
      </c>
      <c r="N22">
        <v>5.9147361601219473E-4</v>
      </c>
      <c r="O22" t="str">
        <v>reject</v>
      </c>
      <c r="P22" s="29">
        <v>44501</v>
      </c>
      <c r="Q22">
        <v>14</v>
      </c>
      <c r="R22">
        <v>0.16691694586932559</v>
      </c>
      <c r="S22" t="str">
        <v>accept</v>
      </c>
    </row>
    <row r="23" spans="1:19">
      <c r="A23" s="12">
        <v>43739</v>
      </c>
      <c r="B23">
        <v>22</v>
      </c>
      <c r="C23" s="13">
        <v>16</v>
      </c>
      <c r="D23" t="str">
        <f t="shared" si="0"/>
        <v>accept</v>
      </c>
      <c r="E23">
        <f t="shared" si="1"/>
        <v>5.4083219569602381E-2</v>
      </c>
      <c r="F23" t="str">
        <f t="shared" si="2"/>
        <v>accept</v>
      </c>
      <c r="L23" s="29">
        <v>43739</v>
      </c>
      <c r="M23">
        <v>16</v>
      </c>
      <c r="N23">
        <v>5.4083219569602381E-2</v>
      </c>
      <c r="O23" t="str">
        <v>accept</v>
      </c>
      <c r="P23" s="29">
        <v>44531</v>
      </c>
      <c r="Q23">
        <v>12</v>
      </c>
      <c r="R23">
        <v>0.41688704721025127</v>
      </c>
      <c r="S23" t="str">
        <v>accept</v>
      </c>
    </row>
    <row r="24" spans="1:19">
      <c r="A24" s="12">
        <v>43770</v>
      </c>
      <c r="B24">
        <v>23</v>
      </c>
      <c r="C24" s="13">
        <v>11</v>
      </c>
      <c r="D24" t="str">
        <f t="shared" si="0"/>
        <v>accept</v>
      </c>
      <c r="E24">
        <f t="shared" si="1"/>
        <v>0.60644770739378684</v>
      </c>
      <c r="F24" t="str">
        <f t="shared" si="2"/>
        <v>accept</v>
      </c>
      <c r="L24" s="29">
        <v>43770</v>
      </c>
      <c r="M24">
        <v>11</v>
      </c>
      <c r="N24">
        <v>0.60644770739378684</v>
      </c>
      <c r="O24" t="str">
        <v>accept</v>
      </c>
      <c r="P24" s="29">
        <v>44562</v>
      </c>
      <c r="Q24">
        <v>18</v>
      </c>
      <c r="R24">
        <v>1.4373009207708787E-2</v>
      </c>
      <c r="S24" t="str">
        <v>reject</v>
      </c>
    </row>
    <row r="25" spans="1:19">
      <c r="A25" s="12">
        <v>43800</v>
      </c>
      <c r="B25">
        <v>24</v>
      </c>
      <c r="C25" s="13">
        <v>17</v>
      </c>
      <c r="D25" t="str">
        <f t="shared" si="0"/>
        <v>reject</v>
      </c>
      <c r="E25">
        <f t="shared" si="1"/>
        <v>2.8555227194099198E-2</v>
      </c>
      <c r="F25" t="str">
        <f t="shared" si="2"/>
        <v>reject</v>
      </c>
      <c r="L25" s="29">
        <v>43800</v>
      </c>
      <c r="M25">
        <v>17</v>
      </c>
      <c r="N25">
        <v>2.8555227194099198E-2</v>
      </c>
      <c r="O25" t="str">
        <v>reject</v>
      </c>
      <c r="P25" s="29">
        <v>44593</v>
      </c>
      <c r="Q25">
        <v>15</v>
      </c>
      <c r="R25">
        <v>9.7480806607957327E-2</v>
      </c>
      <c r="S25" t="str">
        <v>accept</v>
      </c>
    </row>
    <row r="26" spans="1:19">
      <c r="A26" s="12">
        <v>43831</v>
      </c>
      <c r="B26">
        <v>25</v>
      </c>
      <c r="C26" s="13">
        <v>21</v>
      </c>
      <c r="D26" t="str">
        <f t="shared" si="0"/>
        <v>reject</v>
      </c>
      <c r="E26">
        <f t="shared" si="1"/>
        <v>1.3993010246697857E-3</v>
      </c>
      <c r="F26" t="str">
        <f t="shared" si="2"/>
        <v>reject</v>
      </c>
      <c r="L26" s="29">
        <v>43831</v>
      </c>
      <c r="M26">
        <v>21</v>
      </c>
      <c r="N26">
        <v>1.3993010246697857E-3</v>
      </c>
      <c r="O26" t="str">
        <v>reject</v>
      </c>
      <c r="P26" s="29">
        <v>44621</v>
      </c>
      <c r="Q26">
        <v>23</v>
      </c>
      <c r="R26">
        <v>2.4024430790037243E-4</v>
      </c>
      <c r="S26" t="str">
        <v>reject</v>
      </c>
    </row>
    <row r="27" spans="1:19">
      <c r="A27" s="12">
        <v>43862</v>
      </c>
      <c r="B27">
        <v>26</v>
      </c>
      <c r="C27" s="13">
        <v>24</v>
      </c>
      <c r="D27" t="str">
        <f t="shared" si="0"/>
        <v>reject</v>
      </c>
      <c r="E27">
        <f t="shared" si="1"/>
        <v>9.3898762853594775E-5</v>
      </c>
      <c r="F27" t="str">
        <f t="shared" si="2"/>
        <v>reject</v>
      </c>
      <c r="L27" s="29">
        <v>43862</v>
      </c>
      <c r="M27">
        <v>24</v>
      </c>
      <c r="N27">
        <v>9.3898762853594775E-5</v>
      </c>
      <c r="O27" t="str">
        <v>reject</v>
      </c>
    </row>
    <row r="28" spans="1:19">
      <c r="A28" s="12">
        <v>43891</v>
      </c>
      <c r="B28">
        <v>27</v>
      </c>
      <c r="C28" s="13">
        <v>18</v>
      </c>
      <c r="D28" t="str">
        <f t="shared" si="0"/>
        <v>reject</v>
      </c>
      <c r="E28">
        <f t="shared" si="1"/>
        <v>1.4373009207708787E-2</v>
      </c>
      <c r="F28" t="str">
        <f t="shared" si="2"/>
        <v>reject</v>
      </c>
    </row>
    <row r="29" spans="1:19">
      <c r="A29" s="12">
        <v>43922</v>
      </c>
      <c r="B29">
        <v>28</v>
      </c>
      <c r="C29" s="13">
        <v>16</v>
      </c>
      <c r="D29" t="str">
        <f t="shared" si="0"/>
        <v>accept</v>
      </c>
      <c r="E29">
        <f t="shared" si="1"/>
        <v>5.4083219569602381E-2</v>
      </c>
      <c r="F29" t="str">
        <f t="shared" si="2"/>
        <v>accept</v>
      </c>
    </row>
    <row r="30" spans="1:19">
      <c r="A30" s="12">
        <v>43952</v>
      </c>
      <c r="B30">
        <v>29</v>
      </c>
      <c r="C30" s="13">
        <v>18</v>
      </c>
      <c r="D30" t="str">
        <f t="shared" si="0"/>
        <v>reject</v>
      </c>
      <c r="E30">
        <f t="shared" si="1"/>
        <v>1.4373009207708787E-2</v>
      </c>
      <c r="F30" t="str">
        <f t="shared" si="2"/>
        <v>reject</v>
      </c>
    </row>
    <row r="31" spans="1:19">
      <c r="A31" s="12">
        <v>43983</v>
      </c>
      <c r="B31">
        <v>30</v>
      </c>
      <c r="C31" s="13">
        <v>7</v>
      </c>
      <c r="D31" t="str">
        <f t="shared" si="0"/>
        <v>accept</v>
      </c>
      <c r="E31">
        <f t="shared" si="1"/>
        <v>0.44044129320339798</v>
      </c>
      <c r="F31" t="str">
        <f t="shared" si="2"/>
        <v>accept</v>
      </c>
    </row>
    <row r="32" spans="1:19">
      <c r="A32" s="12">
        <v>44013</v>
      </c>
      <c r="B32">
        <v>31</v>
      </c>
      <c r="C32" s="13">
        <v>15</v>
      </c>
      <c r="D32" t="str">
        <f t="shared" si="0"/>
        <v>accept</v>
      </c>
      <c r="E32">
        <f t="shared" si="1"/>
        <v>9.7480806607957327E-2</v>
      </c>
      <c r="F32" t="str">
        <f t="shared" si="2"/>
        <v>accept</v>
      </c>
    </row>
    <row r="33" spans="1:6">
      <c r="A33" s="12">
        <v>44044</v>
      </c>
      <c r="B33">
        <v>32</v>
      </c>
      <c r="C33" s="13">
        <v>14</v>
      </c>
      <c r="D33" t="str">
        <f t="shared" si="0"/>
        <v>accept</v>
      </c>
      <c r="E33">
        <f t="shared" si="1"/>
        <v>0.16691694586932559</v>
      </c>
      <c r="F33" t="str">
        <f t="shared" si="2"/>
        <v>accept</v>
      </c>
    </row>
    <row r="34" spans="1:6">
      <c r="A34" s="12">
        <v>44075</v>
      </c>
      <c r="B34">
        <v>33</v>
      </c>
      <c r="C34" s="13">
        <v>15</v>
      </c>
      <c r="D34" t="str">
        <f t="shared" si="0"/>
        <v>accept</v>
      </c>
      <c r="E34">
        <f t="shared" si="1"/>
        <v>9.7480806607957327E-2</v>
      </c>
      <c r="F34" t="str">
        <f t="shared" si="2"/>
        <v>accept</v>
      </c>
    </row>
    <row r="35" spans="1:6">
      <c r="A35" s="12">
        <v>44105</v>
      </c>
      <c r="B35">
        <v>34</v>
      </c>
      <c r="C35" s="13">
        <v>13</v>
      </c>
      <c r="D35" t="str">
        <f t="shared" si="0"/>
        <v>accept</v>
      </c>
      <c r="E35">
        <f t="shared" si="1"/>
        <v>0.271071154761378</v>
      </c>
      <c r="F35" t="str">
        <f t="shared" si="2"/>
        <v>accept</v>
      </c>
    </row>
    <row r="36" spans="1:6">
      <c r="A36" s="12">
        <v>44136</v>
      </c>
      <c r="B36">
        <v>35</v>
      </c>
      <c r="C36" s="13">
        <v>18</v>
      </c>
      <c r="D36" t="str">
        <f t="shared" si="0"/>
        <v>reject</v>
      </c>
      <c r="E36">
        <f t="shared" si="1"/>
        <v>1.4373009207708787E-2</v>
      </c>
      <c r="F36" t="str">
        <f t="shared" si="2"/>
        <v>reject</v>
      </c>
    </row>
    <row r="37" spans="1:6">
      <c r="A37" s="12">
        <v>44166</v>
      </c>
      <c r="B37">
        <v>36</v>
      </c>
      <c r="C37" s="13">
        <v>22</v>
      </c>
      <c r="D37" t="str">
        <f t="shared" si="0"/>
        <v>reject</v>
      </c>
      <c r="E37">
        <f t="shared" si="1"/>
        <v>5.9147361601219473E-4</v>
      </c>
      <c r="F37" t="str">
        <f t="shared" si="2"/>
        <v>reject</v>
      </c>
    </row>
    <row r="38" spans="1:6">
      <c r="A38" s="12">
        <v>44197</v>
      </c>
      <c r="B38">
        <v>37</v>
      </c>
      <c r="C38" s="13">
        <v>18</v>
      </c>
      <c r="D38" t="str">
        <f t="shared" si="0"/>
        <v>reject</v>
      </c>
      <c r="E38">
        <f t="shared" si="1"/>
        <v>1.4373009207708787E-2</v>
      </c>
      <c r="F38" t="str">
        <f t="shared" si="2"/>
        <v>reject</v>
      </c>
    </row>
    <row r="39" spans="1:6">
      <c r="A39" s="12">
        <v>44228</v>
      </c>
      <c r="B39">
        <v>38</v>
      </c>
      <c r="C39" s="13">
        <v>10</v>
      </c>
      <c r="D39" t="str">
        <f t="shared" si="0"/>
        <v>accept</v>
      </c>
      <c r="E39">
        <f t="shared" si="1"/>
        <v>0.83392049961402925</v>
      </c>
      <c r="F39" t="str">
        <f t="shared" si="2"/>
        <v>accept</v>
      </c>
    </row>
    <row r="40" spans="1:6">
      <c r="A40" s="12">
        <v>44256</v>
      </c>
      <c r="B40">
        <v>39</v>
      </c>
      <c r="C40" s="13">
        <v>24</v>
      </c>
      <c r="D40" t="str">
        <f t="shared" si="0"/>
        <v>reject</v>
      </c>
      <c r="E40">
        <f t="shared" si="1"/>
        <v>9.3898762853594775E-5</v>
      </c>
      <c r="F40" t="str">
        <f t="shared" si="2"/>
        <v>reject</v>
      </c>
    </row>
    <row r="41" spans="1:6">
      <c r="A41" s="12">
        <v>44287</v>
      </c>
      <c r="B41">
        <v>40</v>
      </c>
      <c r="C41" s="13">
        <v>13</v>
      </c>
      <c r="D41" t="str">
        <f t="shared" si="0"/>
        <v>accept</v>
      </c>
      <c r="E41">
        <f t="shared" si="1"/>
        <v>0.271071154761378</v>
      </c>
      <c r="F41" t="str">
        <f t="shared" si="2"/>
        <v>accept</v>
      </c>
    </row>
    <row r="42" spans="1:6">
      <c r="A42" s="12">
        <v>44317</v>
      </c>
      <c r="B42">
        <v>41</v>
      </c>
      <c r="C42" s="13">
        <v>12</v>
      </c>
      <c r="D42" t="str">
        <f t="shared" si="0"/>
        <v>accept</v>
      </c>
      <c r="E42">
        <f t="shared" si="1"/>
        <v>0.41688704721025127</v>
      </c>
      <c r="F42" t="str">
        <f t="shared" si="2"/>
        <v>accept</v>
      </c>
    </row>
    <row r="43" spans="1:6">
      <c r="A43" s="12">
        <v>44348</v>
      </c>
      <c r="B43">
        <v>42</v>
      </c>
      <c r="C43" s="13">
        <v>13</v>
      </c>
      <c r="D43" t="str">
        <f t="shared" si="0"/>
        <v>accept</v>
      </c>
      <c r="E43">
        <f t="shared" si="1"/>
        <v>0.271071154761378</v>
      </c>
      <c r="F43" t="str">
        <f t="shared" si="2"/>
        <v>accept</v>
      </c>
    </row>
    <row r="44" spans="1:6">
      <c r="A44" s="12">
        <v>44378</v>
      </c>
      <c r="B44">
        <v>43</v>
      </c>
      <c r="C44" s="13">
        <v>19</v>
      </c>
      <c r="D44" t="str">
        <f t="shared" si="0"/>
        <v>reject</v>
      </c>
      <c r="E44">
        <f t="shared" si="1"/>
        <v>6.9086839517136234E-3</v>
      </c>
      <c r="F44" t="str">
        <f t="shared" si="2"/>
        <v>reject</v>
      </c>
    </row>
    <row r="45" spans="1:6">
      <c r="A45" s="12">
        <v>44409</v>
      </c>
      <c r="B45">
        <v>44</v>
      </c>
      <c r="C45" s="13">
        <v>9</v>
      </c>
      <c r="D45" t="str">
        <f t="shared" si="0"/>
        <v>accept</v>
      </c>
      <c r="E45">
        <f t="shared" si="1"/>
        <v>0.91585942894370453</v>
      </c>
      <c r="F45" t="str">
        <f t="shared" si="2"/>
        <v>accept</v>
      </c>
    </row>
    <row r="46" spans="1:6">
      <c r="A46" s="12">
        <v>44440</v>
      </c>
      <c r="B46">
        <v>45</v>
      </c>
      <c r="C46" s="13">
        <v>15</v>
      </c>
      <c r="D46" t="str">
        <f t="shared" si="0"/>
        <v>accept</v>
      </c>
      <c r="E46">
        <f t="shared" si="1"/>
        <v>9.7480806607957327E-2</v>
      </c>
      <c r="F46" t="str">
        <f t="shared" si="2"/>
        <v>accept</v>
      </c>
    </row>
    <row r="47" spans="1:6">
      <c r="A47" s="12">
        <v>44470</v>
      </c>
      <c r="B47">
        <v>46</v>
      </c>
      <c r="C47" s="13">
        <v>24</v>
      </c>
      <c r="D47" t="str">
        <f t="shared" si="0"/>
        <v>reject</v>
      </c>
      <c r="E47">
        <f t="shared" si="1"/>
        <v>9.3898762853594775E-5</v>
      </c>
      <c r="F47" t="str">
        <f t="shared" si="2"/>
        <v>reject</v>
      </c>
    </row>
    <row r="48" spans="1:6">
      <c r="A48" s="12">
        <v>44501</v>
      </c>
      <c r="B48">
        <v>47</v>
      </c>
      <c r="C48" s="13">
        <v>14</v>
      </c>
      <c r="D48" t="str">
        <f t="shared" si="0"/>
        <v>accept</v>
      </c>
      <c r="E48">
        <f t="shared" si="1"/>
        <v>0.16691694586932559</v>
      </c>
      <c r="F48" t="str">
        <f t="shared" si="2"/>
        <v>accept</v>
      </c>
    </row>
    <row r="49" spans="1:6">
      <c r="A49" s="12">
        <v>44531</v>
      </c>
      <c r="B49">
        <v>48</v>
      </c>
      <c r="C49" s="13">
        <v>12</v>
      </c>
      <c r="D49" t="str">
        <f t="shared" si="0"/>
        <v>accept</v>
      </c>
      <c r="E49">
        <f t="shared" si="1"/>
        <v>0.41688704721025127</v>
      </c>
      <c r="F49" t="str">
        <f t="shared" si="2"/>
        <v>accept</v>
      </c>
    </row>
    <row r="50" spans="1:6">
      <c r="A50" s="12">
        <v>44562</v>
      </c>
      <c r="B50">
        <v>49</v>
      </c>
      <c r="C50" s="13">
        <v>18</v>
      </c>
      <c r="D50" t="str">
        <f t="shared" si="0"/>
        <v>reject</v>
      </c>
      <c r="E50">
        <f t="shared" si="1"/>
        <v>1.4373009207708787E-2</v>
      </c>
      <c r="F50" t="str">
        <f t="shared" si="2"/>
        <v>reject</v>
      </c>
    </row>
    <row r="51" spans="1:6">
      <c r="A51" s="12">
        <v>44593</v>
      </c>
      <c r="B51">
        <v>50</v>
      </c>
      <c r="C51" s="13">
        <v>15</v>
      </c>
      <c r="D51" t="str">
        <f t="shared" si="0"/>
        <v>accept</v>
      </c>
      <c r="E51">
        <f t="shared" si="1"/>
        <v>9.7480806607957327E-2</v>
      </c>
      <c r="F51" t="str">
        <f t="shared" si="2"/>
        <v>accept</v>
      </c>
    </row>
    <row r="52" spans="1:6">
      <c r="A52" s="12">
        <v>44621</v>
      </c>
      <c r="B52">
        <v>51</v>
      </c>
      <c r="C52" s="13">
        <v>23</v>
      </c>
      <c r="D52" t="str">
        <f t="shared" si="0"/>
        <v>reject</v>
      </c>
      <c r="E52">
        <f t="shared" si="1"/>
        <v>2.4024430790037243E-4</v>
      </c>
      <c r="F52" t="str">
        <f t="shared" si="2"/>
        <v>reject</v>
      </c>
    </row>
  </sheetData>
  <phoneticPr fontId="1" type="noConversion"/>
  <conditionalFormatting sqref="O2:O27">
    <cfRule type="containsText" dxfId="16" priority="2" operator="containsText" text="reject">
      <formula>NOT(ISERROR(SEARCH("reject",O2)))</formula>
    </cfRule>
  </conditionalFormatting>
  <conditionalFormatting sqref="S2:S26">
    <cfRule type="containsText" dxfId="15" priority="1" operator="containsText" text="reject">
      <formula>NOT(ISERROR(SEARCH("reject",S2)))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FF18FDD1-13AF-40D6-A704-8C0BC0C0C23C}">
            <xm:f>NOT(ISERROR(SEARCH($D$5,D2)))</xm:f>
            <xm:f>$D$5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D2:F52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DF1A8-D28B-43CB-AAFF-167B30AE249F}">
  <dimension ref="B1:AM87"/>
  <sheetViews>
    <sheetView tabSelected="1" workbookViewId="0">
      <selection activeCell="AD5" sqref="AD5:AG6"/>
    </sheetView>
  </sheetViews>
  <sheetFormatPr defaultRowHeight="16.5"/>
  <cols>
    <col min="3" max="3" width="0" hidden="1" customWidth="1"/>
    <col min="4" max="4" width="8.75" hidden="1" customWidth="1"/>
    <col min="5" max="5" width="8.75" customWidth="1"/>
    <col min="6" max="14" width="8.75" hidden="1" customWidth="1"/>
    <col min="15" max="15" width="8.75" customWidth="1"/>
    <col min="16" max="16" width="9" customWidth="1"/>
    <col min="17" max="17" width="9" hidden="1" customWidth="1"/>
    <col min="18" max="18" width="14.375" hidden="1" customWidth="1"/>
    <col min="19" max="19" width="12" customWidth="1"/>
    <col min="20" max="20" width="9" hidden="1" customWidth="1"/>
    <col min="21" max="21" width="11.25" hidden="1" customWidth="1"/>
    <col min="22" max="22" width="11.625" hidden="1" customWidth="1"/>
    <col min="23" max="27" width="9" hidden="1" customWidth="1"/>
    <col min="28" max="28" width="0" hidden="1" customWidth="1"/>
  </cols>
  <sheetData>
    <row r="1" spans="2:39">
      <c r="B1" s="42" t="s">
        <v>39</v>
      </c>
      <c r="C1" s="44" t="s">
        <v>40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18"/>
      <c r="P1" s="42" t="s">
        <v>39</v>
      </c>
      <c r="Q1" s="44" t="s">
        <v>40</v>
      </c>
      <c r="R1" s="44"/>
      <c r="S1" s="44"/>
      <c r="T1" s="44"/>
      <c r="U1" s="44"/>
      <c r="V1" s="44"/>
      <c r="W1" s="44"/>
      <c r="X1" s="44"/>
      <c r="Y1" s="44"/>
      <c r="Z1" s="44"/>
      <c r="AA1" s="44"/>
    </row>
    <row r="2" spans="2:39" ht="27">
      <c r="B2" s="43"/>
      <c r="C2" s="11" t="s">
        <v>41</v>
      </c>
      <c r="D2" s="11" t="s">
        <v>42</v>
      </c>
      <c r="E2" s="11" t="s">
        <v>43</v>
      </c>
      <c r="F2" s="11" t="s">
        <v>44</v>
      </c>
      <c r="G2" s="11" t="s">
        <v>45</v>
      </c>
      <c r="H2" s="11" t="s">
        <v>46</v>
      </c>
      <c r="I2" s="11" t="s">
        <v>47</v>
      </c>
      <c r="J2" s="11" t="s">
        <v>48</v>
      </c>
      <c r="K2" s="11" t="s">
        <v>49</v>
      </c>
      <c r="L2" s="11" t="s">
        <v>50</v>
      </c>
      <c r="M2" s="11" t="s">
        <v>51</v>
      </c>
      <c r="N2" s="18" t="s">
        <v>52</v>
      </c>
      <c r="P2" s="43"/>
      <c r="Q2" s="11" t="s">
        <v>41</v>
      </c>
      <c r="R2" s="11" t="s">
        <v>42</v>
      </c>
      <c r="S2" s="11" t="s">
        <v>43</v>
      </c>
      <c r="T2" s="11" t="s">
        <v>44</v>
      </c>
      <c r="U2" s="11" t="s">
        <v>45</v>
      </c>
      <c r="V2" s="11" t="s">
        <v>46</v>
      </c>
      <c r="W2" s="11" t="s">
        <v>47</v>
      </c>
      <c r="X2" s="11" t="s">
        <v>48</v>
      </c>
      <c r="Y2" s="11" t="s">
        <v>49</v>
      </c>
      <c r="Z2" s="11" t="s">
        <v>50</v>
      </c>
      <c r="AA2" s="11" t="s">
        <v>51</v>
      </c>
      <c r="AB2" s="15" t="s">
        <v>84</v>
      </c>
      <c r="AD2" s="31" t="s">
        <v>85</v>
      </c>
      <c r="AE2" s="31" t="s">
        <v>86</v>
      </c>
      <c r="AF2" s="31" t="s">
        <v>21</v>
      </c>
      <c r="AG2" s="31" t="s">
        <v>19</v>
      </c>
      <c r="AH2" s="31" t="s">
        <v>20</v>
      </c>
      <c r="AJ2" s="31" t="s">
        <v>87</v>
      </c>
      <c r="AK2" s="31" t="s">
        <v>21</v>
      </c>
      <c r="AL2" s="31" t="s">
        <v>19</v>
      </c>
      <c r="AM2" s="31" t="s">
        <v>20</v>
      </c>
    </row>
    <row r="3" spans="2:39">
      <c r="B3" s="12">
        <v>40544</v>
      </c>
      <c r="C3" s="13">
        <v>14</v>
      </c>
      <c r="D3" s="13">
        <v>11</v>
      </c>
      <c r="E3" s="13">
        <v>15</v>
      </c>
      <c r="F3" s="13">
        <v>17</v>
      </c>
      <c r="G3" s="13">
        <v>16</v>
      </c>
      <c r="H3" s="13">
        <v>21</v>
      </c>
      <c r="I3" s="13">
        <v>8</v>
      </c>
      <c r="J3" s="13">
        <v>7</v>
      </c>
      <c r="K3" s="13">
        <v>4</v>
      </c>
      <c r="L3" s="13">
        <v>7</v>
      </c>
      <c r="M3" s="13">
        <v>1</v>
      </c>
      <c r="N3" s="40">
        <f>SUM(C3:M3)</f>
        <v>121</v>
      </c>
      <c r="P3" s="28">
        <v>43101</v>
      </c>
      <c r="Q3" s="19">
        <v>8</v>
      </c>
      <c r="R3" s="19">
        <v>4</v>
      </c>
      <c r="S3" s="19">
        <v>8</v>
      </c>
      <c r="T3" s="19">
        <v>7</v>
      </c>
      <c r="U3" s="19">
        <v>15</v>
      </c>
      <c r="V3" s="19">
        <v>14</v>
      </c>
      <c r="W3" s="19">
        <v>4</v>
      </c>
      <c r="X3" s="19">
        <v>2</v>
      </c>
      <c r="Y3" s="19">
        <v>6</v>
      </c>
      <c r="Z3" s="19">
        <v>3</v>
      </c>
      <c r="AA3" s="19">
        <v>1</v>
      </c>
      <c r="AB3" s="16">
        <f>SUM(Q3:AA3)</f>
        <v>72</v>
      </c>
      <c r="AD3" s="16">
        <f>AVERAGE(E3:E86)</f>
        <v>9.8571428571428577</v>
      </c>
      <c r="AE3" s="32">
        <f>AD3^0.5</f>
        <v>3.1396087108337016</v>
      </c>
      <c r="AF3" s="32">
        <f>AD3</f>
        <v>9.8571428571428577</v>
      </c>
      <c r="AG3">
        <f>AD3+3*AE3</f>
        <v>19.275968989643964</v>
      </c>
      <c r="AH3">
        <f>AD3-3*AE3</f>
        <v>0.4383167246417532</v>
      </c>
      <c r="AJ3" s="16">
        <f>S3</f>
        <v>8</v>
      </c>
      <c r="AK3" s="16">
        <f>$AF$3</f>
        <v>9.8571428571428577</v>
      </c>
      <c r="AL3">
        <f>$AG$3</f>
        <v>19.275968989643964</v>
      </c>
      <c r="AM3">
        <f>$AH$3</f>
        <v>0.4383167246417532</v>
      </c>
    </row>
    <row r="4" spans="2:39">
      <c r="B4" s="12">
        <v>40575</v>
      </c>
      <c r="C4" s="13">
        <v>9</v>
      </c>
      <c r="D4" s="13">
        <v>7</v>
      </c>
      <c r="E4" s="13">
        <v>4</v>
      </c>
      <c r="F4" s="13">
        <v>14</v>
      </c>
      <c r="G4" s="13">
        <v>16</v>
      </c>
      <c r="H4" s="13">
        <v>21</v>
      </c>
      <c r="I4" s="13">
        <v>5</v>
      </c>
      <c r="J4" s="13">
        <v>9</v>
      </c>
      <c r="K4" s="13">
        <v>5</v>
      </c>
      <c r="L4" s="13">
        <v>3</v>
      </c>
      <c r="M4" s="13">
        <v>3</v>
      </c>
      <c r="N4" s="40">
        <f t="shared" ref="N4:N67" si="0">SUM(C4:M4)</f>
        <v>96</v>
      </c>
      <c r="P4" s="12">
        <v>43132</v>
      </c>
      <c r="Q4" s="13">
        <v>5</v>
      </c>
      <c r="R4" s="13">
        <v>3</v>
      </c>
      <c r="S4" s="13">
        <v>7</v>
      </c>
      <c r="T4" s="13">
        <v>7</v>
      </c>
      <c r="U4" s="13">
        <v>9</v>
      </c>
      <c r="V4" s="13">
        <v>5</v>
      </c>
      <c r="W4" s="13">
        <v>2</v>
      </c>
      <c r="X4" s="13">
        <v>4</v>
      </c>
      <c r="Y4" s="13">
        <v>2</v>
      </c>
      <c r="Z4" s="13">
        <v>3</v>
      </c>
      <c r="AA4" s="13">
        <v>1</v>
      </c>
      <c r="AB4" s="16">
        <f t="shared" ref="AB4:AB53" si="1">SUM(Q4:AA4)</f>
        <v>48</v>
      </c>
      <c r="AJ4" s="16">
        <f t="shared" ref="AJ4:AJ54" si="2">S4</f>
        <v>7</v>
      </c>
      <c r="AK4" s="16">
        <f t="shared" ref="AK4:AK53" si="3">$AF$3</f>
        <v>9.8571428571428577</v>
      </c>
      <c r="AL4">
        <f t="shared" ref="AL4:AL53" si="4">$AG$3</f>
        <v>19.275968989643964</v>
      </c>
      <c r="AM4">
        <f t="shared" ref="AM4:AM53" si="5">$AH$3</f>
        <v>0.4383167246417532</v>
      </c>
    </row>
    <row r="5" spans="2:39">
      <c r="B5" s="12">
        <v>40603</v>
      </c>
      <c r="C5" s="13">
        <v>16</v>
      </c>
      <c r="D5" s="13">
        <v>8</v>
      </c>
      <c r="E5" s="13">
        <v>11</v>
      </c>
      <c r="F5" s="13">
        <v>16</v>
      </c>
      <c r="G5" s="13">
        <v>20</v>
      </c>
      <c r="H5" s="13">
        <v>14</v>
      </c>
      <c r="I5" s="13">
        <v>4</v>
      </c>
      <c r="J5" s="13">
        <v>7</v>
      </c>
      <c r="K5" s="13">
        <v>9</v>
      </c>
      <c r="L5" s="13">
        <v>3</v>
      </c>
      <c r="M5" s="14">
        <v>0</v>
      </c>
      <c r="N5" s="40">
        <f t="shared" si="0"/>
        <v>108</v>
      </c>
      <c r="P5" s="12">
        <v>43160</v>
      </c>
      <c r="Q5" s="13">
        <v>8</v>
      </c>
      <c r="R5" s="13">
        <v>4</v>
      </c>
      <c r="S5" s="13">
        <v>6</v>
      </c>
      <c r="T5" s="13">
        <v>5</v>
      </c>
      <c r="U5" s="13">
        <v>16</v>
      </c>
      <c r="V5" s="13">
        <v>11</v>
      </c>
      <c r="W5" s="13">
        <v>2</v>
      </c>
      <c r="X5" s="13">
        <v>4</v>
      </c>
      <c r="Y5" s="13">
        <v>3</v>
      </c>
      <c r="Z5" s="13">
        <v>7</v>
      </c>
      <c r="AA5" s="13">
        <v>1</v>
      </c>
      <c r="AB5" s="16">
        <f t="shared" si="1"/>
        <v>67</v>
      </c>
      <c r="AD5" t="s">
        <v>89</v>
      </c>
      <c r="AE5" t="s">
        <v>88</v>
      </c>
      <c r="AF5" s="6" t="s">
        <v>76</v>
      </c>
      <c r="AG5" t="s">
        <v>27</v>
      </c>
      <c r="AJ5" s="16">
        <f t="shared" si="2"/>
        <v>6</v>
      </c>
      <c r="AK5" s="16">
        <f t="shared" si="3"/>
        <v>9.8571428571428577</v>
      </c>
      <c r="AL5">
        <f t="shared" si="4"/>
        <v>19.275968989643964</v>
      </c>
      <c r="AM5">
        <f t="shared" si="5"/>
        <v>0.4383167246417532</v>
      </c>
    </row>
    <row r="6" spans="2:39">
      <c r="B6" s="12">
        <v>40634</v>
      </c>
      <c r="C6" s="13">
        <v>11</v>
      </c>
      <c r="D6" s="13">
        <v>6</v>
      </c>
      <c r="E6" s="13">
        <v>7</v>
      </c>
      <c r="F6" s="13">
        <v>23</v>
      </c>
      <c r="G6" s="13">
        <v>24</v>
      </c>
      <c r="H6" s="13">
        <v>21</v>
      </c>
      <c r="I6" s="13">
        <v>10</v>
      </c>
      <c r="J6" s="13">
        <v>7</v>
      </c>
      <c r="K6" s="13">
        <v>5</v>
      </c>
      <c r="L6" s="13">
        <v>5</v>
      </c>
      <c r="M6" s="13">
        <v>1</v>
      </c>
      <c r="N6" s="40">
        <f t="shared" si="0"/>
        <v>120</v>
      </c>
      <c r="P6" s="12">
        <v>43191</v>
      </c>
      <c r="Q6" s="13">
        <v>11</v>
      </c>
      <c r="R6" s="13">
        <v>4</v>
      </c>
      <c r="S6" s="13">
        <v>10</v>
      </c>
      <c r="T6" s="13">
        <v>4</v>
      </c>
      <c r="U6" s="13">
        <v>11</v>
      </c>
      <c r="V6" s="13">
        <v>9</v>
      </c>
      <c r="W6" s="13">
        <v>4</v>
      </c>
      <c r="X6" s="13">
        <v>7</v>
      </c>
      <c r="Y6" s="13">
        <v>2</v>
      </c>
      <c r="Z6" s="13">
        <v>3</v>
      </c>
      <c r="AA6" s="13">
        <v>1</v>
      </c>
      <c r="AB6" s="16">
        <f t="shared" si="1"/>
        <v>66</v>
      </c>
      <c r="AD6">
        <f>1-_xlfn.POISSON.DIST(AG3,AD3,1)</f>
        <v>2.9543429931249143E-3</v>
      </c>
      <c r="AE6">
        <f>_xlfn.POISSON.DIST(AH3,AD3,1)</f>
        <v>5.2371769744699062E-5</v>
      </c>
      <c r="AF6">
        <f>AD6+AE6</f>
        <v>3.0067147628696136E-3</v>
      </c>
      <c r="AG6">
        <f>1/AF6</f>
        <v>332.58891476809004</v>
      </c>
      <c r="AJ6" s="16">
        <f t="shared" si="2"/>
        <v>10</v>
      </c>
      <c r="AK6" s="16">
        <f t="shared" si="3"/>
        <v>9.8571428571428577</v>
      </c>
      <c r="AL6">
        <f t="shared" si="4"/>
        <v>19.275968989643964</v>
      </c>
      <c r="AM6">
        <f t="shared" si="5"/>
        <v>0.4383167246417532</v>
      </c>
    </row>
    <row r="7" spans="2:39">
      <c r="B7" s="12">
        <v>40664</v>
      </c>
      <c r="C7" s="13">
        <v>7</v>
      </c>
      <c r="D7" s="13">
        <v>4</v>
      </c>
      <c r="E7" s="13">
        <v>8</v>
      </c>
      <c r="F7" s="13">
        <v>16</v>
      </c>
      <c r="G7" s="13">
        <v>13</v>
      </c>
      <c r="H7" s="13">
        <v>26</v>
      </c>
      <c r="I7" s="13">
        <v>5</v>
      </c>
      <c r="J7" s="13">
        <v>9</v>
      </c>
      <c r="K7" s="13">
        <v>4</v>
      </c>
      <c r="L7" s="13">
        <v>2</v>
      </c>
      <c r="M7" s="13">
        <v>3</v>
      </c>
      <c r="N7" s="40">
        <f t="shared" si="0"/>
        <v>97</v>
      </c>
      <c r="P7" s="12">
        <v>43221</v>
      </c>
      <c r="Q7" s="13">
        <v>9</v>
      </c>
      <c r="R7" s="13">
        <v>8</v>
      </c>
      <c r="S7" s="13">
        <v>11</v>
      </c>
      <c r="T7" s="13">
        <v>9</v>
      </c>
      <c r="U7" s="13">
        <v>14</v>
      </c>
      <c r="V7" s="13">
        <v>7</v>
      </c>
      <c r="W7" s="13">
        <v>3</v>
      </c>
      <c r="X7" s="13">
        <v>7</v>
      </c>
      <c r="Y7" s="13">
        <v>3</v>
      </c>
      <c r="Z7" s="13">
        <v>3</v>
      </c>
      <c r="AA7" s="14">
        <v>0</v>
      </c>
      <c r="AB7" s="16">
        <f t="shared" si="1"/>
        <v>74</v>
      </c>
      <c r="AJ7" s="16">
        <f t="shared" si="2"/>
        <v>11</v>
      </c>
      <c r="AK7" s="16">
        <f t="shared" si="3"/>
        <v>9.8571428571428577</v>
      </c>
      <c r="AL7">
        <f t="shared" si="4"/>
        <v>19.275968989643964</v>
      </c>
      <c r="AM7">
        <f t="shared" si="5"/>
        <v>0.4383167246417532</v>
      </c>
    </row>
    <row r="8" spans="2:39">
      <c r="B8" s="12">
        <v>40695</v>
      </c>
      <c r="C8" s="13">
        <v>10</v>
      </c>
      <c r="D8" s="13">
        <v>7</v>
      </c>
      <c r="E8" s="13">
        <v>12</v>
      </c>
      <c r="F8" s="13">
        <v>10</v>
      </c>
      <c r="G8" s="13">
        <v>16</v>
      </c>
      <c r="H8" s="13">
        <v>21</v>
      </c>
      <c r="I8" s="13">
        <v>11</v>
      </c>
      <c r="J8" s="13">
        <v>10</v>
      </c>
      <c r="K8" s="13">
        <v>5</v>
      </c>
      <c r="L8" s="13">
        <v>3</v>
      </c>
      <c r="M8" s="13">
        <v>2</v>
      </c>
      <c r="N8" s="40">
        <f t="shared" si="0"/>
        <v>107</v>
      </c>
      <c r="P8" s="12">
        <v>43252</v>
      </c>
      <c r="Q8" s="13">
        <v>8</v>
      </c>
      <c r="R8" s="13">
        <v>5</v>
      </c>
      <c r="S8" s="13">
        <v>8</v>
      </c>
      <c r="T8" s="13">
        <v>7</v>
      </c>
      <c r="U8" s="13">
        <v>14</v>
      </c>
      <c r="V8" s="13">
        <v>7</v>
      </c>
      <c r="W8" s="13">
        <v>2</v>
      </c>
      <c r="X8" s="13">
        <v>6</v>
      </c>
      <c r="Y8" s="13">
        <v>3</v>
      </c>
      <c r="Z8" s="13">
        <v>4</v>
      </c>
      <c r="AA8" s="13">
        <v>4</v>
      </c>
      <c r="AB8" s="16">
        <f t="shared" si="1"/>
        <v>68</v>
      </c>
      <c r="AJ8" s="16">
        <f t="shared" si="2"/>
        <v>8</v>
      </c>
      <c r="AK8" s="16">
        <f t="shared" si="3"/>
        <v>9.8571428571428577</v>
      </c>
      <c r="AL8">
        <f t="shared" si="4"/>
        <v>19.275968989643964</v>
      </c>
      <c r="AM8">
        <f t="shared" si="5"/>
        <v>0.4383167246417532</v>
      </c>
    </row>
    <row r="9" spans="2:39">
      <c r="B9" s="12">
        <v>40725</v>
      </c>
      <c r="C9" s="13">
        <v>14</v>
      </c>
      <c r="D9" s="13">
        <v>4</v>
      </c>
      <c r="E9" s="13">
        <v>7</v>
      </c>
      <c r="F9" s="13">
        <v>21</v>
      </c>
      <c r="G9" s="13">
        <v>13</v>
      </c>
      <c r="H9" s="13">
        <v>17</v>
      </c>
      <c r="I9" s="13">
        <v>5</v>
      </c>
      <c r="J9" s="13">
        <v>12</v>
      </c>
      <c r="K9" s="13">
        <v>3</v>
      </c>
      <c r="L9" s="13">
        <v>4</v>
      </c>
      <c r="M9" s="14">
        <v>0</v>
      </c>
      <c r="N9" s="40">
        <f t="shared" si="0"/>
        <v>100</v>
      </c>
      <c r="P9" s="12">
        <v>43282</v>
      </c>
      <c r="Q9" s="13">
        <v>8</v>
      </c>
      <c r="R9" s="13">
        <v>8</v>
      </c>
      <c r="S9" s="13">
        <v>9</v>
      </c>
      <c r="T9" s="13">
        <v>10</v>
      </c>
      <c r="U9" s="13">
        <v>9</v>
      </c>
      <c r="V9" s="13">
        <v>12</v>
      </c>
      <c r="W9" s="13">
        <v>5</v>
      </c>
      <c r="X9" s="13">
        <v>6</v>
      </c>
      <c r="Y9" s="13">
        <v>5</v>
      </c>
      <c r="Z9" s="13">
        <v>5</v>
      </c>
      <c r="AA9" s="13">
        <v>1</v>
      </c>
      <c r="AB9" s="16">
        <f t="shared" si="1"/>
        <v>78</v>
      </c>
      <c r="AJ9" s="16">
        <f t="shared" si="2"/>
        <v>9</v>
      </c>
      <c r="AK9" s="16">
        <f t="shared" si="3"/>
        <v>9.8571428571428577</v>
      </c>
      <c r="AL9">
        <f t="shared" si="4"/>
        <v>19.275968989643964</v>
      </c>
      <c r="AM9">
        <f t="shared" si="5"/>
        <v>0.4383167246417532</v>
      </c>
    </row>
    <row r="10" spans="2:39">
      <c r="B10" s="12">
        <v>40756</v>
      </c>
      <c r="C10" s="13">
        <v>12</v>
      </c>
      <c r="D10" s="13">
        <v>6</v>
      </c>
      <c r="E10" s="13">
        <v>11</v>
      </c>
      <c r="F10" s="13">
        <v>18</v>
      </c>
      <c r="G10" s="13">
        <v>10</v>
      </c>
      <c r="H10" s="13">
        <v>20</v>
      </c>
      <c r="I10" s="13">
        <v>7</v>
      </c>
      <c r="J10" s="13">
        <v>16</v>
      </c>
      <c r="K10" s="13">
        <v>9</v>
      </c>
      <c r="L10" s="13">
        <v>6</v>
      </c>
      <c r="M10" s="13">
        <v>4</v>
      </c>
      <c r="N10" s="40">
        <f t="shared" si="0"/>
        <v>119</v>
      </c>
      <c r="P10" s="12">
        <v>43313</v>
      </c>
      <c r="Q10" s="13">
        <v>14</v>
      </c>
      <c r="R10" s="13">
        <v>11</v>
      </c>
      <c r="S10" s="13">
        <v>16</v>
      </c>
      <c r="T10" s="13">
        <v>6</v>
      </c>
      <c r="U10" s="13">
        <v>9</v>
      </c>
      <c r="V10" s="13">
        <v>10</v>
      </c>
      <c r="W10" s="13">
        <v>10</v>
      </c>
      <c r="X10" s="13">
        <v>5</v>
      </c>
      <c r="Y10" s="13">
        <v>3</v>
      </c>
      <c r="Z10" s="13">
        <v>3</v>
      </c>
      <c r="AA10" s="13">
        <v>2</v>
      </c>
      <c r="AB10" s="16">
        <f t="shared" si="1"/>
        <v>89</v>
      </c>
      <c r="AJ10" s="16">
        <f t="shared" si="2"/>
        <v>16</v>
      </c>
      <c r="AK10" s="16">
        <f t="shared" si="3"/>
        <v>9.8571428571428577</v>
      </c>
      <c r="AL10">
        <f t="shared" si="4"/>
        <v>19.275968989643964</v>
      </c>
      <c r="AM10">
        <f t="shared" si="5"/>
        <v>0.4383167246417532</v>
      </c>
    </row>
    <row r="11" spans="2:39">
      <c r="B11" s="12">
        <v>40787</v>
      </c>
      <c r="C11" s="13">
        <v>18</v>
      </c>
      <c r="D11" s="13">
        <v>8</v>
      </c>
      <c r="E11" s="13">
        <v>7</v>
      </c>
      <c r="F11" s="13">
        <v>18</v>
      </c>
      <c r="G11" s="13">
        <v>17</v>
      </c>
      <c r="H11" s="13">
        <v>27</v>
      </c>
      <c r="I11" s="13">
        <v>5</v>
      </c>
      <c r="J11" s="13">
        <v>13</v>
      </c>
      <c r="K11" s="13">
        <v>2</v>
      </c>
      <c r="L11" s="13">
        <v>4</v>
      </c>
      <c r="M11" s="13">
        <v>1</v>
      </c>
      <c r="N11" s="40">
        <f t="shared" si="0"/>
        <v>120</v>
      </c>
      <c r="P11" s="12">
        <v>43344</v>
      </c>
      <c r="Q11" s="13">
        <v>10</v>
      </c>
      <c r="R11" s="13">
        <v>6</v>
      </c>
      <c r="S11" s="13">
        <v>9</v>
      </c>
      <c r="T11" s="13">
        <v>14</v>
      </c>
      <c r="U11" s="13">
        <v>14</v>
      </c>
      <c r="V11" s="13">
        <v>13</v>
      </c>
      <c r="W11" s="13">
        <v>5</v>
      </c>
      <c r="X11" s="13">
        <v>14</v>
      </c>
      <c r="Y11" s="13">
        <v>2</v>
      </c>
      <c r="Z11" s="13">
        <v>2</v>
      </c>
      <c r="AA11" s="13">
        <v>2</v>
      </c>
      <c r="AB11" s="16">
        <f t="shared" si="1"/>
        <v>91</v>
      </c>
      <c r="AJ11" s="16">
        <f t="shared" si="2"/>
        <v>9</v>
      </c>
      <c r="AK11" s="16">
        <f t="shared" si="3"/>
        <v>9.8571428571428577</v>
      </c>
      <c r="AL11">
        <f t="shared" si="4"/>
        <v>19.275968989643964</v>
      </c>
      <c r="AM11">
        <f t="shared" si="5"/>
        <v>0.4383167246417532</v>
      </c>
    </row>
    <row r="12" spans="2:39">
      <c r="B12" s="12">
        <v>40817</v>
      </c>
      <c r="C12" s="13">
        <v>19</v>
      </c>
      <c r="D12" s="13">
        <v>6</v>
      </c>
      <c r="E12" s="13">
        <v>13</v>
      </c>
      <c r="F12" s="13">
        <v>21</v>
      </c>
      <c r="G12" s="13">
        <v>22</v>
      </c>
      <c r="H12" s="13">
        <v>15</v>
      </c>
      <c r="I12" s="13">
        <v>5</v>
      </c>
      <c r="J12" s="13">
        <v>9</v>
      </c>
      <c r="K12" s="13">
        <v>4</v>
      </c>
      <c r="L12" s="13">
        <v>7</v>
      </c>
      <c r="M12" s="13">
        <v>2</v>
      </c>
      <c r="N12" s="40">
        <f t="shared" si="0"/>
        <v>123</v>
      </c>
      <c r="P12" s="12">
        <v>43374</v>
      </c>
      <c r="Q12" s="13">
        <v>12</v>
      </c>
      <c r="R12" s="13">
        <v>6</v>
      </c>
      <c r="S12" s="13">
        <v>8</v>
      </c>
      <c r="T12" s="13">
        <v>6</v>
      </c>
      <c r="U12" s="13">
        <v>13</v>
      </c>
      <c r="V12" s="13">
        <v>12</v>
      </c>
      <c r="W12" s="13">
        <v>2</v>
      </c>
      <c r="X12" s="13">
        <v>8</v>
      </c>
      <c r="Y12" s="13">
        <v>1</v>
      </c>
      <c r="Z12" s="13">
        <v>2</v>
      </c>
      <c r="AA12" s="13">
        <v>2</v>
      </c>
      <c r="AB12" s="16">
        <f t="shared" si="1"/>
        <v>72</v>
      </c>
      <c r="AJ12" s="16">
        <f t="shared" si="2"/>
        <v>8</v>
      </c>
      <c r="AK12" s="16">
        <f t="shared" si="3"/>
        <v>9.8571428571428577</v>
      </c>
      <c r="AL12">
        <f t="shared" si="4"/>
        <v>19.275968989643964</v>
      </c>
      <c r="AM12">
        <f t="shared" si="5"/>
        <v>0.4383167246417532</v>
      </c>
    </row>
    <row r="13" spans="2:39">
      <c r="B13" s="12">
        <v>40848</v>
      </c>
      <c r="C13" s="13">
        <v>25</v>
      </c>
      <c r="D13" s="13">
        <v>9</v>
      </c>
      <c r="E13" s="13">
        <v>17</v>
      </c>
      <c r="F13" s="13">
        <v>20</v>
      </c>
      <c r="G13" s="13">
        <v>17</v>
      </c>
      <c r="H13" s="13">
        <v>24</v>
      </c>
      <c r="I13" s="13">
        <v>9</v>
      </c>
      <c r="J13" s="13">
        <v>9</v>
      </c>
      <c r="K13" s="13">
        <v>4</v>
      </c>
      <c r="L13" s="13">
        <v>4</v>
      </c>
      <c r="M13" s="13">
        <v>1</v>
      </c>
      <c r="N13" s="40">
        <f t="shared" si="0"/>
        <v>139</v>
      </c>
      <c r="P13" s="12">
        <v>43405</v>
      </c>
      <c r="Q13" s="13">
        <v>13</v>
      </c>
      <c r="R13" s="13">
        <v>10</v>
      </c>
      <c r="S13" s="13">
        <v>14</v>
      </c>
      <c r="T13" s="13">
        <v>13</v>
      </c>
      <c r="U13" s="13">
        <v>10</v>
      </c>
      <c r="V13" s="13">
        <v>14</v>
      </c>
      <c r="W13" s="13">
        <v>5</v>
      </c>
      <c r="X13" s="13">
        <v>6</v>
      </c>
      <c r="Y13" s="13">
        <v>1</v>
      </c>
      <c r="Z13" s="13">
        <v>4</v>
      </c>
      <c r="AA13" s="13">
        <v>2</v>
      </c>
      <c r="AB13" s="16">
        <f t="shared" si="1"/>
        <v>92</v>
      </c>
      <c r="AJ13" s="16">
        <f t="shared" si="2"/>
        <v>14</v>
      </c>
      <c r="AK13" s="16">
        <f t="shared" si="3"/>
        <v>9.8571428571428577</v>
      </c>
      <c r="AL13">
        <f t="shared" si="4"/>
        <v>19.275968989643964</v>
      </c>
      <c r="AM13">
        <f t="shared" si="5"/>
        <v>0.4383167246417532</v>
      </c>
    </row>
    <row r="14" spans="2:39">
      <c r="B14" s="12">
        <v>40878</v>
      </c>
      <c r="C14" s="13">
        <v>17</v>
      </c>
      <c r="D14" s="13">
        <v>5</v>
      </c>
      <c r="E14" s="13">
        <v>13</v>
      </c>
      <c r="F14" s="13">
        <v>16</v>
      </c>
      <c r="G14" s="13">
        <v>21</v>
      </c>
      <c r="H14" s="13">
        <v>24</v>
      </c>
      <c r="I14" s="13">
        <v>3</v>
      </c>
      <c r="J14" s="13">
        <v>7</v>
      </c>
      <c r="K14" s="13">
        <v>4</v>
      </c>
      <c r="L14" s="13">
        <v>4</v>
      </c>
      <c r="M14" s="13">
        <v>1</v>
      </c>
      <c r="N14" s="40">
        <f t="shared" si="0"/>
        <v>115</v>
      </c>
      <c r="P14" s="12">
        <v>43435</v>
      </c>
      <c r="Q14" s="13">
        <v>15</v>
      </c>
      <c r="R14" s="13">
        <v>7</v>
      </c>
      <c r="S14" s="13">
        <v>15</v>
      </c>
      <c r="T14" s="13">
        <v>5</v>
      </c>
      <c r="U14" s="13">
        <v>15</v>
      </c>
      <c r="V14" s="13">
        <v>16</v>
      </c>
      <c r="W14" s="13">
        <v>4</v>
      </c>
      <c r="X14" s="13">
        <v>4</v>
      </c>
      <c r="Y14" s="13">
        <v>7</v>
      </c>
      <c r="Z14" s="13">
        <v>2</v>
      </c>
      <c r="AA14" s="14">
        <v>0</v>
      </c>
      <c r="AB14" s="16">
        <f t="shared" si="1"/>
        <v>90</v>
      </c>
      <c r="AJ14" s="16">
        <f t="shared" si="2"/>
        <v>15</v>
      </c>
      <c r="AK14" s="16">
        <f t="shared" si="3"/>
        <v>9.8571428571428577</v>
      </c>
      <c r="AL14">
        <f t="shared" si="4"/>
        <v>19.275968989643964</v>
      </c>
      <c r="AM14">
        <f t="shared" si="5"/>
        <v>0.4383167246417532</v>
      </c>
    </row>
    <row r="15" spans="2:39">
      <c r="B15" s="12">
        <v>40909</v>
      </c>
      <c r="C15" s="13">
        <v>13</v>
      </c>
      <c r="D15" s="13">
        <v>5</v>
      </c>
      <c r="E15" s="13">
        <v>7</v>
      </c>
      <c r="F15" s="13">
        <v>17</v>
      </c>
      <c r="G15" s="13">
        <v>14</v>
      </c>
      <c r="H15" s="13">
        <v>19</v>
      </c>
      <c r="I15" s="13">
        <v>6</v>
      </c>
      <c r="J15" s="13">
        <v>11</v>
      </c>
      <c r="K15" s="13">
        <v>3</v>
      </c>
      <c r="L15" s="13">
        <v>6</v>
      </c>
      <c r="M15" s="13">
        <v>1</v>
      </c>
      <c r="N15" s="40">
        <f t="shared" si="0"/>
        <v>102</v>
      </c>
      <c r="P15" s="12">
        <v>43466</v>
      </c>
      <c r="Q15" s="13">
        <v>18</v>
      </c>
      <c r="R15" s="13">
        <v>12</v>
      </c>
      <c r="S15" s="13">
        <v>16</v>
      </c>
      <c r="T15" s="13">
        <v>21</v>
      </c>
      <c r="U15" s="13">
        <v>19</v>
      </c>
      <c r="V15" s="13">
        <v>21</v>
      </c>
      <c r="W15" s="13">
        <v>7</v>
      </c>
      <c r="X15" s="13">
        <v>5</v>
      </c>
      <c r="Y15" s="13">
        <v>10</v>
      </c>
      <c r="Z15" s="13">
        <v>6</v>
      </c>
      <c r="AA15" s="13">
        <v>3</v>
      </c>
      <c r="AB15" s="16">
        <f t="shared" si="1"/>
        <v>138</v>
      </c>
      <c r="AJ15" s="16">
        <f t="shared" si="2"/>
        <v>16</v>
      </c>
      <c r="AK15" s="16">
        <f t="shared" si="3"/>
        <v>9.8571428571428577</v>
      </c>
      <c r="AL15">
        <f t="shared" si="4"/>
        <v>19.275968989643964</v>
      </c>
      <c r="AM15">
        <f t="shared" si="5"/>
        <v>0.4383167246417532</v>
      </c>
    </row>
    <row r="16" spans="2:39">
      <c r="B16" s="12">
        <v>40940</v>
      </c>
      <c r="C16" s="13">
        <v>18</v>
      </c>
      <c r="D16" s="13">
        <v>9</v>
      </c>
      <c r="E16" s="13">
        <v>5</v>
      </c>
      <c r="F16" s="13">
        <v>17</v>
      </c>
      <c r="G16" s="13">
        <v>15</v>
      </c>
      <c r="H16" s="13">
        <v>19</v>
      </c>
      <c r="I16" s="13">
        <v>4</v>
      </c>
      <c r="J16" s="13">
        <v>11</v>
      </c>
      <c r="K16" s="13">
        <v>4</v>
      </c>
      <c r="L16" s="13">
        <v>3</v>
      </c>
      <c r="M16" s="13">
        <v>3</v>
      </c>
      <c r="N16" s="40">
        <f t="shared" si="0"/>
        <v>108</v>
      </c>
      <c r="P16" s="12">
        <v>43497</v>
      </c>
      <c r="Q16" s="13">
        <v>9</v>
      </c>
      <c r="R16" s="13">
        <v>7</v>
      </c>
      <c r="S16" s="13">
        <v>11</v>
      </c>
      <c r="T16" s="13">
        <v>13</v>
      </c>
      <c r="U16" s="13">
        <v>12</v>
      </c>
      <c r="V16" s="13">
        <v>20</v>
      </c>
      <c r="W16" s="13">
        <v>5</v>
      </c>
      <c r="X16" s="13">
        <v>8</v>
      </c>
      <c r="Y16" s="13">
        <v>8</v>
      </c>
      <c r="Z16" s="13">
        <v>1</v>
      </c>
      <c r="AA16" s="13">
        <v>4</v>
      </c>
      <c r="AB16" s="16">
        <f t="shared" si="1"/>
        <v>98</v>
      </c>
      <c r="AJ16" s="16">
        <f t="shared" si="2"/>
        <v>11</v>
      </c>
      <c r="AK16" s="16">
        <f t="shared" si="3"/>
        <v>9.8571428571428577</v>
      </c>
      <c r="AL16">
        <f t="shared" si="4"/>
        <v>19.275968989643964</v>
      </c>
      <c r="AM16">
        <f t="shared" si="5"/>
        <v>0.4383167246417532</v>
      </c>
    </row>
    <row r="17" spans="2:39">
      <c r="B17" s="12">
        <v>40969</v>
      </c>
      <c r="C17" s="13">
        <v>12</v>
      </c>
      <c r="D17" s="13">
        <v>7</v>
      </c>
      <c r="E17" s="13">
        <v>12</v>
      </c>
      <c r="F17" s="13">
        <v>18</v>
      </c>
      <c r="G17" s="13">
        <v>16</v>
      </c>
      <c r="H17" s="13">
        <v>24</v>
      </c>
      <c r="I17" s="13">
        <v>5</v>
      </c>
      <c r="J17" s="13">
        <v>5</v>
      </c>
      <c r="K17" s="13">
        <v>9</v>
      </c>
      <c r="L17" s="13">
        <v>5</v>
      </c>
      <c r="M17" s="14">
        <v>0</v>
      </c>
      <c r="N17" s="40">
        <f t="shared" si="0"/>
        <v>113</v>
      </c>
      <c r="P17" s="12">
        <v>43525</v>
      </c>
      <c r="Q17" s="13">
        <v>10</v>
      </c>
      <c r="R17" s="13">
        <v>5</v>
      </c>
      <c r="S17" s="13">
        <v>13</v>
      </c>
      <c r="T17" s="13">
        <v>13</v>
      </c>
      <c r="U17" s="13">
        <v>12</v>
      </c>
      <c r="V17" s="13">
        <v>23</v>
      </c>
      <c r="W17" s="13">
        <v>8</v>
      </c>
      <c r="X17" s="13">
        <v>5</v>
      </c>
      <c r="Y17" s="13">
        <v>3</v>
      </c>
      <c r="Z17" s="13">
        <v>2</v>
      </c>
      <c r="AA17" s="14">
        <v>0</v>
      </c>
      <c r="AB17" s="16">
        <f t="shared" si="1"/>
        <v>94</v>
      </c>
      <c r="AJ17" s="16">
        <f t="shared" si="2"/>
        <v>13</v>
      </c>
      <c r="AK17" s="16">
        <f t="shared" si="3"/>
        <v>9.8571428571428577</v>
      </c>
      <c r="AL17">
        <f t="shared" si="4"/>
        <v>19.275968989643964</v>
      </c>
      <c r="AM17">
        <f t="shared" si="5"/>
        <v>0.4383167246417532</v>
      </c>
    </row>
    <row r="18" spans="2:39">
      <c r="B18" s="12">
        <v>41000</v>
      </c>
      <c r="C18" s="13">
        <v>12</v>
      </c>
      <c r="D18" s="13">
        <v>1</v>
      </c>
      <c r="E18" s="13">
        <v>14</v>
      </c>
      <c r="F18" s="13">
        <v>8</v>
      </c>
      <c r="G18" s="13">
        <v>12</v>
      </c>
      <c r="H18" s="13">
        <v>24</v>
      </c>
      <c r="I18" s="13">
        <v>6</v>
      </c>
      <c r="J18" s="13">
        <v>2</v>
      </c>
      <c r="K18" s="13">
        <v>4</v>
      </c>
      <c r="L18" s="13">
        <v>3</v>
      </c>
      <c r="M18" s="13">
        <v>1</v>
      </c>
      <c r="N18" s="40">
        <f t="shared" si="0"/>
        <v>87</v>
      </c>
      <c r="P18" s="12">
        <v>43556</v>
      </c>
      <c r="Q18" s="13">
        <v>16</v>
      </c>
      <c r="R18" s="13">
        <v>10</v>
      </c>
      <c r="S18" s="13">
        <v>10</v>
      </c>
      <c r="T18" s="13">
        <v>11</v>
      </c>
      <c r="U18" s="13">
        <v>15</v>
      </c>
      <c r="V18" s="13">
        <v>18</v>
      </c>
      <c r="W18" s="13">
        <v>3</v>
      </c>
      <c r="X18" s="13">
        <v>5</v>
      </c>
      <c r="Y18" s="13">
        <v>4</v>
      </c>
      <c r="Z18" s="13">
        <v>3</v>
      </c>
      <c r="AA18" s="13">
        <v>2</v>
      </c>
      <c r="AB18" s="16">
        <f t="shared" si="1"/>
        <v>97</v>
      </c>
      <c r="AJ18" s="16">
        <f t="shared" si="2"/>
        <v>10</v>
      </c>
      <c r="AK18" s="16">
        <f t="shared" si="3"/>
        <v>9.8571428571428577</v>
      </c>
      <c r="AL18">
        <f t="shared" si="4"/>
        <v>19.275968989643964</v>
      </c>
      <c r="AM18">
        <f t="shared" si="5"/>
        <v>0.4383167246417532</v>
      </c>
    </row>
    <row r="19" spans="2:39">
      <c r="B19" s="12">
        <v>41030</v>
      </c>
      <c r="C19" s="13">
        <v>17</v>
      </c>
      <c r="D19" s="13">
        <v>5</v>
      </c>
      <c r="E19" s="13">
        <v>9</v>
      </c>
      <c r="F19" s="13">
        <v>12</v>
      </c>
      <c r="G19" s="13">
        <v>16</v>
      </c>
      <c r="H19" s="13">
        <v>22</v>
      </c>
      <c r="I19" s="13">
        <v>4</v>
      </c>
      <c r="J19" s="13">
        <v>16</v>
      </c>
      <c r="K19" s="13">
        <v>5</v>
      </c>
      <c r="L19" s="13">
        <v>1</v>
      </c>
      <c r="M19" s="14">
        <v>0</v>
      </c>
      <c r="N19" s="40">
        <f t="shared" si="0"/>
        <v>107</v>
      </c>
      <c r="P19" s="12">
        <v>43586</v>
      </c>
      <c r="Q19" s="13">
        <v>18</v>
      </c>
      <c r="R19" s="13">
        <v>6</v>
      </c>
      <c r="S19" s="13">
        <v>9</v>
      </c>
      <c r="T19" s="13">
        <v>22</v>
      </c>
      <c r="U19" s="13">
        <v>9</v>
      </c>
      <c r="V19" s="13">
        <v>14</v>
      </c>
      <c r="W19" s="13">
        <v>3</v>
      </c>
      <c r="X19" s="13">
        <v>7</v>
      </c>
      <c r="Y19" s="13">
        <v>5</v>
      </c>
      <c r="Z19" s="13">
        <v>1</v>
      </c>
      <c r="AA19" s="14">
        <v>0</v>
      </c>
      <c r="AB19" s="16">
        <f t="shared" si="1"/>
        <v>94</v>
      </c>
      <c r="AJ19" s="16">
        <f t="shared" si="2"/>
        <v>9</v>
      </c>
      <c r="AK19" s="16">
        <f t="shared" si="3"/>
        <v>9.8571428571428577</v>
      </c>
      <c r="AL19">
        <f t="shared" si="4"/>
        <v>19.275968989643964</v>
      </c>
      <c r="AM19">
        <f t="shared" si="5"/>
        <v>0.4383167246417532</v>
      </c>
    </row>
    <row r="20" spans="2:39">
      <c r="B20" s="12">
        <v>41061</v>
      </c>
      <c r="C20" s="13">
        <v>11</v>
      </c>
      <c r="D20" s="13">
        <v>7</v>
      </c>
      <c r="E20" s="13">
        <v>10</v>
      </c>
      <c r="F20" s="13">
        <v>15</v>
      </c>
      <c r="G20" s="13">
        <v>20</v>
      </c>
      <c r="H20" s="13">
        <v>22</v>
      </c>
      <c r="I20" s="13">
        <v>6</v>
      </c>
      <c r="J20" s="13">
        <v>10</v>
      </c>
      <c r="K20" s="13">
        <v>5</v>
      </c>
      <c r="L20" s="13">
        <v>5</v>
      </c>
      <c r="M20" s="14">
        <v>0</v>
      </c>
      <c r="N20" s="40">
        <f t="shared" si="0"/>
        <v>111</v>
      </c>
      <c r="P20" s="12">
        <v>43617</v>
      </c>
      <c r="Q20" s="13">
        <v>16</v>
      </c>
      <c r="R20" s="13">
        <v>6</v>
      </c>
      <c r="S20" s="13">
        <v>13</v>
      </c>
      <c r="T20" s="13">
        <v>17</v>
      </c>
      <c r="U20" s="13">
        <v>15</v>
      </c>
      <c r="V20" s="13">
        <v>18</v>
      </c>
      <c r="W20" s="13">
        <v>6</v>
      </c>
      <c r="X20" s="13">
        <v>5</v>
      </c>
      <c r="Y20" s="13">
        <v>5</v>
      </c>
      <c r="Z20" s="13">
        <v>3</v>
      </c>
      <c r="AA20" s="13">
        <v>1</v>
      </c>
      <c r="AB20" s="16">
        <f t="shared" si="1"/>
        <v>105</v>
      </c>
      <c r="AJ20" s="16">
        <f t="shared" si="2"/>
        <v>13</v>
      </c>
      <c r="AK20" s="16">
        <f t="shared" si="3"/>
        <v>9.8571428571428577</v>
      </c>
      <c r="AL20">
        <f t="shared" si="4"/>
        <v>19.275968989643964</v>
      </c>
      <c r="AM20">
        <f t="shared" si="5"/>
        <v>0.4383167246417532</v>
      </c>
    </row>
    <row r="21" spans="2:39">
      <c r="B21" s="12">
        <v>41091</v>
      </c>
      <c r="C21" s="13">
        <v>7</v>
      </c>
      <c r="D21" s="13">
        <v>6</v>
      </c>
      <c r="E21" s="13">
        <v>6</v>
      </c>
      <c r="F21" s="13">
        <v>22</v>
      </c>
      <c r="G21" s="13">
        <v>8</v>
      </c>
      <c r="H21" s="13">
        <v>19</v>
      </c>
      <c r="I21" s="13">
        <v>6</v>
      </c>
      <c r="J21" s="13">
        <v>9</v>
      </c>
      <c r="K21" s="13">
        <v>4</v>
      </c>
      <c r="L21" s="13">
        <v>6</v>
      </c>
      <c r="M21" s="13">
        <v>1</v>
      </c>
      <c r="N21" s="40">
        <f t="shared" si="0"/>
        <v>94</v>
      </c>
      <c r="P21" s="12">
        <v>43647</v>
      </c>
      <c r="Q21" s="13">
        <v>10</v>
      </c>
      <c r="R21" s="13">
        <v>9</v>
      </c>
      <c r="S21" s="13">
        <v>12</v>
      </c>
      <c r="T21" s="13">
        <v>9</v>
      </c>
      <c r="U21" s="13">
        <v>14</v>
      </c>
      <c r="V21" s="13">
        <v>11</v>
      </c>
      <c r="W21" s="13">
        <v>4</v>
      </c>
      <c r="X21" s="13">
        <v>4</v>
      </c>
      <c r="Y21" s="13">
        <v>7</v>
      </c>
      <c r="Z21" s="13">
        <v>1</v>
      </c>
      <c r="AA21" s="14">
        <v>0</v>
      </c>
      <c r="AB21" s="16">
        <f t="shared" si="1"/>
        <v>81</v>
      </c>
      <c r="AJ21" s="16">
        <f t="shared" si="2"/>
        <v>12</v>
      </c>
      <c r="AK21" s="16">
        <f t="shared" si="3"/>
        <v>9.8571428571428577</v>
      </c>
      <c r="AL21">
        <f t="shared" si="4"/>
        <v>19.275968989643964</v>
      </c>
      <c r="AM21">
        <f t="shared" si="5"/>
        <v>0.4383167246417532</v>
      </c>
    </row>
    <row r="22" spans="2:39">
      <c r="B22" s="12">
        <v>41122</v>
      </c>
      <c r="C22" s="13">
        <v>19</v>
      </c>
      <c r="D22" s="13">
        <v>5</v>
      </c>
      <c r="E22" s="13">
        <v>15</v>
      </c>
      <c r="F22" s="13">
        <v>20</v>
      </c>
      <c r="G22" s="13">
        <v>16</v>
      </c>
      <c r="H22" s="13">
        <v>23</v>
      </c>
      <c r="I22" s="13">
        <v>5</v>
      </c>
      <c r="J22" s="13">
        <v>6</v>
      </c>
      <c r="K22" s="13">
        <v>8</v>
      </c>
      <c r="L22" s="13">
        <v>3</v>
      </c>
      <c r="M22" s="13">
        <v>1</v>
      </c>
      <c r="N22" s="40">
        <f t="shared" si="0"/>
        <v>121</v>
      </c>
      <c r="P22" s="12">
        <v>43678</v>
      </c>
      <c r="Q22" s="13">
        <v>10</v>
      </c>
      <c r="R22" s="13">
        <v>5</v>
      </c>
      <c r="S22" s="13">
        <v>17</v>
      </c>
      <c r="T22" s="13">
        <v>16</v>
      </c>
      <c r="U22" s="13">
        <v>9</v>
      </c>
      <c r="V22" s="13">
        <v>10</v>
      </c>
      <c r="W22" s="13">
        <v>5</v>
      </c>
      <c r="X22" s="13">
        <v>5</v>
      </c>
      <c r="Y22" s="13">
        <v>6</v>
      </c>
      <c r="Z22" s="13">
        <v>7</v>
      </c>
      <c r="AA22" s="13">
        <v>1</v>
      </c>
      <c r="AB22" s="16">
        <f t="shared" si="1"/>
        <v>91</v>
      </c>
      <c r="AJ22" s="16">
        <f t="shared" si="2"/>
        <v>17</v>
      </c>
      <c r="AK22" s="16">
        <f t="shared" si="3"/>
        <v>9.8571428571428577</v>
      </c>
      <c r="AL22">
        <f t="shared" si="4"/>
        <v>19.275968989643964</v>
      </c>
      <c r="AM22">
        <f t="shared" si="5"/>
        <v>0.4383167246417532</v>
      </c>
    </row>
    <row r="23" spans="2:39">
      <c r="B23" s="12">
        <v>41153</v>
      </c>
      <c r="C23" s="13">
        <v>12</v>
      </c>
      <c r="D23" s="13">
        <v>5</v>
      </c>
      <c r="E23" s="13">
        <v>6</v>
      </c>
      <c r="F23" s="13">
        <v>16</v>
      </c>
      <c r="G23" s="13">
        <v>12</v>
      </c>
      <c r="H23" s="13">
        <v>25</v>
      </c>
      <c r="I23" s="13">
        <v>6</v>
      </c>
      <c r="J23" s="13">
        <v>10</v>
      </c>
      <c r="K23" s="13">
        <v>9</v>
      </c>
      <c r="L23" s="13">
        <v>3</v>
      </c>
      <c r="M23" s="13">
        <v>2</v>
      </c>
      <c r="N23" s="40">
        <f t="shared" si="0"/>
        <v>106</v>
      </c>
      <c r="P23" s="12">
        <v>43709</v>
      </c>
      <c r="Q23" s="13">
        <v>13</v>
      </c>
      <c r="R23" s="13">
        <v>5</v>
      </c>
      <c r="S23" s="13">
        <v>9</v>
      </c>
      <c r="T23" s="13">
        <v>22</v>
      </c>
      <c r="U23" s="13">
        <v>12</v>
      </c>
      <c r="V23" s="13">
        <v>17</v>
      </c>
      <c r="W23" s="13">
        <v>1</v>
      </c>
      <c r="X23" s="13">
        <v>6</v>
      </c>
      <c r="Y23" s="13">
        <v>2</v>
      </c>
      <c r="Z23" s="13">
        <v>4</v>
      </c>
      <c r="AA23" s="14">
        <v>0</v>
      </c>
      <c r="AB23" s="16">
        <f t="shared" si="1"/>
        <v>91</v>
      </c>
      <c r="AJ23" s="16">
        <f t="shared" si="2"/>
        <v>9</v>
      </c>
      <c r="AK23" s="16">
        <f t="shared" si="3"/>
        <v>9.8571428571428577</v>
      </c>
      <c r="AL23">
        <f t="shared" si="4"/>
        <v>19.275968989643964</v>
      </c>
      <c r="AM23">
        <f t="shared" si="5"/>
        <v>0.4383167246417532</v>
      </c>
    </row>
    <row r="24" spans="2:39">
      <c r="B24" s="12">
        <v>41183</v>
      </c>
      <c r="C24" s="13">
        <v>16</v>
      </c>
      <c r="D24" s="13">
        <v>9</v>
      </c>
      <c r="E24" s="13">
        <v>11</v>
      </c>
      <c r="F24" s="13">
        <v>19</v>
      </c>
      <c r="G24" s="13">
        <v>18</v>
      </c>
      <c r="H24" s="13">
        <v>19</v>
      </c>
      <c r="I24" s="13">
        <v>4</v>
      </c>
      <c r="J24" s="13">
        <v>8</v>
      </c>
      <c r="K24" s="13">
        <v>3</v>
      </c>
      <c r="L24" s="13">
        <v>3</v>
      </c>
      <c r="M24" s="13">
        <v>1</v>
      </c>
      <c r="N24" s="40">
        <f t="shared" si="0"/>
        <v>111</v>
      </c>
      <c r="P24" s="12">
        <v>43739</v>
      </c>
      <c r="Q24" s="13">
        <v>16</v>
      </c>
      <c r="R24" s="13">
        <v>6</v>
      </c>
      <c r="S24" s="13">
        <v>12</v>
      </c>
      <c r="T24" s="13">
        <v>16</v>
      </c>
      <c r="U24" s="13">
        <v>24</v>
      </c>
      <c r="V24" s="13">
        <v>17</v>
      </c>
      <c r="W24" s="13">
        <v>4</v>
      </c>
      <c r="X24" s="13">
        <v>13</v>
      </c>
      <c r="Y24" s="13">
        <v>3</v>
      </c>
      <c r="Z24" s="13">
        <v>4</v>
      </c>
      <c r="AA24" s="13">
        <v>1</v>
      </c>
      <c r="AB24" s="16">
        <f t="shared" si="1"/>
        <v>116</v>
      </c>
      <c r="AJ24" s="16">
        <f t="shared" si="2"/>
        <v>12</v>
      </c>
      <c r="AK24" s="16">
        <f t="shared" si="3"/>
        <v>9.8571428571428577</v>
      </c>
      <c r="AL24">
        <f t="shared" si="4"/>
        <v>19.275968989643964</v>
      </c>
      <c r="AM24">
        <f t="shared" si="5"/>
        <v>0.4383167246417532</v>
      </c>
    </row>
    <row r="25" spans="2:39">
      <c r="B25" s="12">
        <v>41214</v>
      </c>
      <c r="C25" s="13">
        <v>17</v>
      </c>
      <c r="D25" s="13">
        <v>10</v>
      </c>
      <c r="E25" s="13">
        <v>10</v>
      </c>
      <c r="F25" s="13">
        <v>17</v>
      </c>
      <c r="G25" s="13">
        <v>13</v>
      </c>
      <c r="H25" s="13">
        <v>16</v>
      </c>
      <c r="I25" s="13">
        <v>3</v>
      </c>
      <c r="J25" s="13">
        <v>8</v>
      </c>
      <c r="K25" s="13">
        <v>5</v>
      </c>
      <c r="L25" s="13">
        <v>4</v>
      </c>
      <c r="M25" s="13">
        <v>2</v>
      </c>
      <c r="N25" s="40">
        <f t="shared" si="0"/>
        <v>105</v>
      </c>
      <c r="P25" s="12">
        <v>43770</v>
      </c>
      <c r="Q25" s="13">
        <v>15</v>
      </c>
      <c r="R25" s="13">
        <v>8</v>
      </c>
      <c r="S25" s="13">
        <v>13</v>
      </c>
      <c r="T25" s="13">
        <v>11</v>
      </c>
      <c r="U25" s="13">
        <v>21</v>
      </c>
      <c r="V25" s="13">
        <v>11</v>
      </c>
      <c r="W25" s="13">
        <v>2</v>
      </c>
      <c r="X25" s="13">
        <v>5</v>
      </c>
      <c r="Y25" s="13">
        <v>4</v>
      </c>
      <c r="Z25" s="13">
        <v>3</v>
      </c>
      <c r="AA25" s="13">
        <v>1</v>
      </c>
      <c r="AB25" s="16">
        <f t="shared" si="1"/>
        <v>94</v>
      </c>
      <c r="AJ25" s="16">
        <f t="shared" si="2"/>
        <v>13</v>
      </c>
      <c r="AK25" s="16">
        <f t="shared" si="3"/>
        <v>9.8571428571428577</v>
      </c>
      <c r="AL25">
        <f t="shared" si="4"/>
        <v>19.275968989643964</v>
      </c>
      <c r="AM25">
        <f t="shared" si="5"/>
        <v>0.4383167246417532</v>
      </c>
    </row>
    <row r="26" spans="2:39">
      <c r="B26" s="12">
        <v>41244</v>
      </c>
      <c r="C26" s="13">
        <v>12</v>
      </c>
      <c r="D26" s="13">
        <v>8</v>
      </c>
      <c r="E26" s="13">
        <v>14</v>
      </c>
      <c r="F26" s="13">
        <v>22</v>
      </c>
      <c r="G26" s="13">
        <v>18</v>
      </c>
      <c r="H26" s="13">
        <v>19</v>
      </c>
      <c r="I26" s="13">
        <v>7</v>
      </c>
      <c r="J26" s="13">
        <v>24</v>
      </c>
      <c r="K26" s="13">
        <v>8</v>
      </c>
      <c r="L26" s="13">
        <v>5</v>
      </c>
      <c r="M26" s="13">
        <v>1</v>
      </c>
      <c r="N26" s="40">
        <f t="shared" si="0"/>
        <v>138</v>
      </c>
      <c r="P26" s="12">
        <v>43800</v>
      </c>
      <c r="Q26" s="13">
        <v>10</v>
      </c>
      <c r="R26" s="13">
        <v>4</v>
      </c>
      <c r="S26" s="13">
        <v>14</v>
      </c>
      <c r="T26" s="13">
        <v>17</v>
      </c>
      <c r="U26" s="13">
        <v>19</v>
      </c>
      <c r="V26" s="13">
        <v>20</v>
      </c>
      <c r="W26" s="13">
        <v>8</v>
      </c>
      <c r="X26" s="13">
        <v>8</v>
      </c>
      <c r="Y26" s="13">
        <v>8</v>
      </c>
      <c r="Z26" s="13">
        <v>2</v>
      </c>
      <c r="AA26" s="14">
        <v>0</v>
      </c>
      <c r="AB26" s="16">
        <f t="shared" si="1"/>
        <v>110</v>
      </c>
      <c r="AJ26" s="16">
        <f t="shared" si="2"/>
        <v>14</v>
      </c>
      <c r="AK26" s="16">
        <f t="shared" si="3"/>
        <v>9.8571428571428577</v>
      </c>
      <c r="AL26">
        <f t="shared" si="4"/>
        <v>19.275968989643964</v>
      </c>
      <c r="AM26">
        <f t="shared" si="5"/>
        <v>0.4383167246417532</v>
      </c>
    </row>
    <row r="27" spans="2:39">
      <c r="B27" s="12">
        <v>41275</v>
      </c>
      <c r="C27" s="13">
        <v>8</v>
      </c>
      <c r="D27" s="13">
        <v>8</v>
      </c>
      <c r="E27" s="13">
        <v>14</v>
      </c>
      <c r="F27" s="13">
        <v>16</v>
      </c>
      <c r="G27" s="13">
        <v>23</v>
      </c>
      <c r="H27" s="13">
        <v>20</v>
      </c>
      <c r="I27" s="13">
        <v>6</v>
      </c>
      <c r="J27" s="13">
        <v>10</v>
      </c>
      <c r="K27" s="13">
        <v>7</v>
      </c>
      <c r="L27" s="13">
        <v>2</v>
      </c>
      <c r="M27" s="13">
        <v>1</v>
      </c>
      <c r="N27" s="40">
        <f t="shared" si="0"/>
        <v>115</v>
      </c>
      <c r="P27" s="12">
        <v>43831</v>
      </c>
      <c r="Q27" s="13">
        <v>15</v>
      </c>
      <c r="R27" s="13">
        <v>5</v>
      </c>
      <c r="S27" s="13">
        <v>16</v>
      </c>
      <c r="T27" s="13">
        <v>21</v>
      </c>
      <c r="U27" s="13">
        <v>25</v>
      </c>
      <c r="V27" s="13">
        <v>22</v>
      </c>
      <c r="W27" s="13">
        <v>3</v>
      </c>
      <c r="X27" s="13">
        <v>7</v>
      </c>
      <c r="Y27" s="13">
        <v>3</v>
      </c>
      <c r="Z27" s="13">
        <v>2</v>
      </c>
      <c r="AA27" s="14">
        <v>0</v>
      </c>
      <c r="AB27" s="16">
        <f t="shared" si="1"/>
        <v>119</v>
      </c>
      <c r="AJ27" s="16">
        <f t="shared" si="2"/>
        <v>16</v>
      </c>
      <c r="AK27" s="16">
        <f t="shared" si="3"/>
        <v>9.8571428571428577</v>
      </c>
      <c r="AL27">
        <f t="shared" si="4"/>
        <v>19.275968989643964</v>
      </c>
      <c r="AM27">
        <f t="shared" si="5"/>
        <v>0.4383167246417532</v>
      </c>
    </row>
    <row r="28" spans="2:39">
      <c r="B28" s="12">
        <v>41306</v>
      </c>
      <c r="C28" s="13">
        <v>11</v>
      </c>
      <c r="D28" s="13">
        <v>4</v>
      </c>
      <c r="E28" s="13">
        <v>10</v>
      </c>
      <c r="F28" s="13">
        <v>11</v>
      </c>
      <c r="G28" s="13">
        <v>21</v>
      </c>
      <c r="H28" s="13">
        <v>23</v>
      </c>
      <c r="I28" s="13">
        <v>8</v>
      </c>
      <c r="J28" s="13">
        <v>10</v>
      </c>
      <c r="K28" s="13">
        <v>2</v>
      </c>
      <c r="L28" s="13">
        <v>6</v>
      </c>
      <c r="M28" s="14">
        <v>0</v>
      </c>
      <c r="N28" s="40">
        <f t="shared" si="0"/>
        <v>106</v>
      </c>
      <c r="P28" s="12">
        <v>43862</v>
      </c>
      <c r="Q28" s="13">
        <v>13</v>
      </c>
      <c r="R28" s="13">
        <v>6</v>
      </c>
      <c r="S28" s="13">
        <v>21</v>
      </c>
      <c r="T28" s="13">
        <v>24</v>
      </c>
      <c r="U28" s="13">
        <v>11</v>
      </c>
      <c r="V28" s="13">
        <v>26</v>
      </c>
      <c r="W28" s="13">
        <v>5</v>
      </c>
      <c r="X28" s="13">
        <v>8</v>
      </c>
      <c r="Y28" s="13">
        <v>4</v>
      </c>
      <c r="Z28" s="13">
        <v>4</v>
      </c>
      <c r="AA28" s="13">
        <v>1</v>
      </c>
      <c r="AB28" s="16">
        <f t="shared" si="1"/>
        <v>123</v>
      </c>
      <c r="AJ28" s="16">
        <f t="shared" si="2"/>
        <v>21</v>
      </c>
      <c r="AK28" s="16">
        <f t="shared" si="3"/>
        <v>9.8571428571428577</v>
      </c>
      <c r="AL28">
        <f t="shared" si="4"/>
        <v>19.275968989643964</v>
      </c>
      <c r="AM28">
        <f t="shared" si="5"/>
        <v>0.4383167246417532</v>
      </c>
    </row>
    <row r="29" spans="2:39">
      <c r="B29" s="12">
        <v>41334</v>
      </c>
      <c r="C29" s="13">
        <v>21</v>
      </c>
      <c r="D29" s="13">
        <v>5</v>
      </c>
      <c r="E29" s="13">
        <v>7</v>
      </c>
      <c r="F29" s="13">
        <v>12</v>
      </c>
      <c r="G29" s="13">
        <v>14</v>
      </c>
      <c r="H29" s="13">
        <v>17</v>
      </c>
      <c r="I29" s="13">
        <v>11</v>
      </c>
      <c r="J29" s="13">
        <v>7</v>
      </c>
      <c r="K29" s="13">
        <v>6</v>
      </c>
      <c r="L29" s="13">
        <v>4</v>
      </c>
      <c r="M29" s="14">
        <v>0</v>
      </c>
      <c r="N29" s="40">
        <f t="shared" si="0"/>
        <v>104</v>
      </c>
      <c r="P29" s="12">
        <v>43891</v>
      </c>
      <c r="Q29" s="13">
        <v>14</v>
      </c>
      <c r="R29" s="13">
        <v>4</v>
      </c>
      <c r="S29" s="13">
        <v>12</v>
      </c>
      <c r="T29" s="13">
        <v>18</v>
      </c>
      <c r="U29" s="13">
        <v>17</v>
      </c>
      <c r="V29" s="13">
        <v>19</v>
      </c>
      <c r="W29" s="13">
        <v>7</v>
      </c>
      <c r="X29" s="13">
        <v>5</v>
      </c>
      <c r="Y29" s="13">
        <v>5</v>
      </c>
      <c r="Z29" s="13">
        <v>4</v>
      </c>
      <c r="AA29" s="14">
        <v>0</v>
      </c>
      <c r="AB29" s="16">
        <f t="shared" si="1"/>
        <v>105</v>
      </c>
      <c r="AJ29" s="16">
        <f t="shared" si="2"/>
        <v>12</v>
      </c>
      <c r="AK29" s="16">
        <f t="shared" si="3"/>
        <v>9.8571428571428577</v>
      </c>
      <c r="AL29">
        <f t="shared" si="4"/>
        <v>19.275968989643964</v>
      </c>
      <c r="AM29">
        <f t="shared" si="5"/>
        <v>0.4383167246417532</v>
      </c>
    </row>
    <row r="30" spans="2:39">
      <c r="B30" s="12">
        <v>41365</v>
      </c>
      <c r="C30" s="13">
        <v>9</v>
      </c>
      <c r="D30" s="13">
        <v>8</v>
      </c>
      <c r="E30" s="13">
        <v>12</v>
      </c>
      <c r="F30" s="13">
        <v>14</v>
      </c>
      <c r="G30" s="13">
        <v>9</v>
      </c>
      <c r="H30" s="13">
        <v>17</v>
      </c>
      <c r="I30" s="13">
        <v>4</v>
      </c>
      <c r="J30" s="13">
        <v>6</v>
      </c>
      <c r="K30" s="13">
        <v>7</v>
      </c>
      <c r="L30" s="13">
        <v>8</v>
      </c>
      <c r="M30" s="14">
        <v>0</v>
      </c>
      <c r="N30" s="40">
        <f t="shared" si="0"/>
        <v>94</v>
      </c>
      <c r="P30" s="12">
        <v>43922</v>
      </c>
      <c r="Q30" s="13">
        <v>7</v>
      </c>
      <c r="R30" s="13">
        <v>3</v>
      </c>
      <c r="S30" s="13">
        <v>10</v>
      </c>
      <c r="T30" s="13">
        <v>16</v>
      </c>
      <c r="U30" s="13">
        <v>12</v>
      </c>
      <c r="V30" s="13">
        <v>18</v>
      </c>
      <c r="W30" s="13">
        <v>5</v>
      </c>
      <c r="X30" s="13">
        <v>9</v>
      </c>
      <c r="Y30" s="13">
        <v>4</v>
      </c>
      <c r="Z30" s="13">
        <v>4</v>
      </c>
      <c r="AA30" s="13">
        <v>1</v>
      </c>
      <c r="AB30" s="16">
        <f t="shared" si="1"/>
        <v>89</v>
      </c>
      <c r="AJ30" s="16">
        <f t="shared" si="2"/>
        <v>10</v>
      </c>
      <c r="AK30" s="16">
        <f t="shared" si="3"/>
        <v>9.8571428571428577</v>
      </c>
      <c r="AL30">
        <f t="shared" si="4"/>
        <v>19.275968989643964</v>
      </c>
      <c r="AM30">
        <f t="shared" si="5"/>
        <v>0.4383167246417532</v>
      </c>
    </row>
    <row r="31" spans="2:39">
      <c r="B31" s="12">
        <v>41395</v>
      </c>
      <c r="C31" s="13">
        <v>12</v>
      </c>
      <c r="D31" s="13">
        <v>5</v>
      </c>
      <c r="E31" s="13">
        <v>7</v>
      </c>
      <c r="F31" s="13">
        <v>8</v>
      </c>
      <c r="G31" s="13">
        <v>13</v>
      </c>
      <c r="H31" s="13">
        <v>17</v>
      </c>
      <c r="I31" s="13">
        <v>4</v>
      </c>
      <c r="J31" s="13">
        <v>4</v>
      </c>
      <c r="K31" s="13">
        <v>4</v>
      </c>
      <c r="L31" s="14">
        <v>0</v>
      </c>
      <c r="M31" s="14">
        <v>0</v>
      </c>
      <c r="N31" s="40">
        <f t="shared" si="0"/>
        <v>74</v>
      </c>
      <c r="P31" s="12">
        <v>43952</v>
      </c>
      <c r="Q31" s="13">
        <v>9</v>
      </c>
      <c r="R31" s="13">
        <v>9</v>
      </c>
      <c r="S31" s="13">
        <v>17</v>
      </c>
      <c r="T31" s="13">
        <v>18</v>
      </c>
      <c r="U31" s="13">
        <v>15</v>
      </c>
      <c r="V31" s="13">
        <v>9</v>
      </c>
      <c r="W31" s="13">
        <v>2</v>
      </c>
      <c r="X31" s="13">
        <v>4</v>
      </c>
      <c r="Y31" s="13">
        <v>5</v>
      </c>
      <c r="Z31" s="13">
        <v>2</v>
      </c>
      <c r="AA31" s="14">
        <v>0</v>
      </c>
      <c r="AB31" s="16">
        <f t="shared" si="1"/>
        <v>90</v>
      </c>
      <c r="AJ31" s="16">
        <f t="shared" si="2"/>
        <v>17</v>
      </c>
      <c r="AK31" s="16">
        <f t="shared" si="3"/>
        <v>9.8571428571428577</v>
      </c>
      <c r="AL31">
        <f t="shared" si="4"/>
        <v>19.275968989643964</v>
      </c>
      <c r="AM31">
        <f t="shared" si="5"/>
        <v>0.4383167246417532</v>
      </c>
    </row>
    <row r="32" spans="2:39">
      <c r="B32" s="12">
        <v>41426</v>
      </c>
      <c r="C32" s="13">
        <v>9</v>
      </c>
      <c r="D32" s="13">
        <v>5</v>
      </c>
      <c r="E32" s="13">
        <v>10</v>
      </c>
      <c r="F32" s="13">
        <v>12</v>
      </c>
      <c r="G32" s="13">
        <v>12</v>
      </c>
      <c r="H32" s="13">
        <v>16</v>
      </c>
      <c r="I32" s="13">
        <v>6</v>
      </c>
      <c r="J32" s="13">
        <v>4</v>
      </c>
      <c r="K32" s="13">
        <v>5</v>
      </c>
      <c r="L32" s="13">
        <v>5</v>
      </c>
      <c r="M32" s="13">
        <v>1</v>
      </c>
      <c r="N32" s="40">
        <f t="shared" si="0"/>
        <v>85</v>
      </c>
      <c r="P32" s="12">
        <v>43983</v>
      </c>
      <c r="Q32" s="13">
        <v>12</v>
      </c>
      <c r="R32" s="13">
        <v>6</v>
      </c>
      <c r="S32" s="13">
        <v>20</v>
      </c>
      <c r="T32" s="13">
        <v>7</v>
      </c>
      <c r="U32" s="13">
        <v>13</v>
      </c>
      <c r="V32" s="13">
        <v>21</v>
      </c>
      <c r="W32" s="13">
        <v>2</v>
      </c>
      <c r="X32" s="13">
        <v>11</v>
      </c>
      <c r="Y32" s="13">
        <v>7</v>
      </c>
      <c r="Z32" s="13">
        <v>10</v>
      </c>
      <c r="AA32" s="13">
        <v>1</v>
      </c>
      <c r="AB32" s="16">
        <f t="shared" si="1"/>
        <v>110</v>
      </c>
      <c r="AJ32" s="16">
        <f t="shared" si="2"/>
        <v>20</v>
      </c>
      <c r="AK32" s="16">
        <f t="shared" si="3"/>
        <v>9.8571428571428577</v>
      </c>
      <c r="AL32">
        <f t="shared" si="4"/>
        <v>19.275968989643964</v>
      </c>
      <c r="AM32">
        <f t="shared" si="5"/>
        <v>0.4383167246417532</v>
      </c>
    </row>
    <row r="33" spans="2:39">
      <c r="B33" s="12">
        <v>41456</v>
      </c>
      <c r="C33" s="13">
        <v>5</v>
      </c>
      <c r="D33" s="13">
        <v>8</v>
      </c>
      <c r="E33" s="13">
        <v>12</v>
      </c>
      <c r="F33" s="13">
        <v>13</v>
      </c>
      <c r="G33" s="13">
        <v>16</v>
      </c>
      <c r="H33" s="13">
        <v>20</v>
      </c>
      <c r="I33" s="13">
        <v>4</v>
      </c>
      <c r="J33" s="13">
        <v>11</v>
      </c>
      <c r="K33" s="13">
        <v>2</v>
      </c>
      <c r="L33" s="13">
        <v>5</v>
      </c>
      <c r="M33" s="14">
        <v>0</v>
      </c>
      <c r="N33" s="40">
        <f t="shared" si="0"/>
        <v>96</v>
      </c>
      <c r="P33" s="12">
        <v>44013</v>
      </c>
      <c r="Q33" s="13">
        <v>10</v>
      </c>
      <c r="R33" s="13">
        <v>6</v>
      </c>
      <c r="S33" s="13">
        <v>10</v>
      </c>
      <c r="T33" s="13">
        <v>15</v>
      </c>
      <c r="U33" s="13">
        <v>9</v>
      </c>
      <c r="V33" s="13">
        <v>12</v>
      </c>
      <c r="W33" s="13">
        <v>10</v>
      </c>
      <c r="X33" s="13">
        <v>7</v>
      </c>
      <c r="Y33" s="13">
        <v>5</v>
      </c>
      <c r="Z33" s="13">
        <v>4</v>
      </c>
      <c r="AA33" s="13">
        <v>1</v>
      </c>
      <c r="AB33" s="16">
        <f t="shared" si="1"/>
        <v>89</v>
      </c>
      <c r="AJ33" s="16">
        <f t="shared" si="2"/>
        <v>10</v>
      </c>
      <c r="AK33" s="16">
        <f t="shared" si="3"/>
        <v>9.8571428571428577</v>
      </c>
      <c r="AL33">
        <f t="shared" si="4"/>
        <v>19.275968989643964</v>
      </c>
      <c r="AM33">
        <f t="shared" si="5"/>
        <v>0.4383167246417532</v>
      </c>
    </row>
    <row r="34" spans="2:39">
      <c r="B34" s="12">
        <v>41487</v>
      </c>
      <c r="C34" s="13">
        <v>10</v>
      </c>
      <c r="D34" s="13">
        <v>9</v>
      </c>
      <c r="E34" s="13">
        <v>9</v>
      </c>
      <c r="F34" s="13">
        <v>15</v>
      </c>
      <c r="G34" s="13">
        <v>11</v>
      </c>
      <c r="H34" s="13">
        <v>14</v>
      </c>
      <c r="I34" s="13">
        <v>1</v>
      </c>
      <c r="J34" s="13">
        <v>10</v>
      </c>
      <c r="K34" s="13">
        <v>1</v>
      </c>
      <c r="L34" s="13">
        <v>3</v>
      </c>
      <c r="M34" s="13">
        <v>1</v>
      </c>
      <c r="N34" s="40">
        <f t="shared" si="0"/>
        <v>84</v>
      </c>
      <c r="P34" s="12">
        <v>44044</v>
      </c>
      <c r="Q34" s="13">
        <v>13</v>
      </c>
      <c r="R34" s="13">
        <v>1</v>
      </c>
      <c r="S34" s="13">
        <v>8</v>
      </c>
      <c r="T34" s="13">
        <v>14</v>
      </c>
      <c r="U34" s="13">
        <v>12</v>
      </c>
      <c r="V34" s="13">
        <v>4</v>
      </c>
      <c r="W34" s="13">
        <v>1</v>
      </c>
      <c r="X34" s="13">
        <v>7</v>
      </c>
      <c r="Y34" s="13">
        <v>3</v>
      </c>
      <c r="Z34" s="13">
        <v>9</v>
      </c>
      <c r="AA34" s="13">
        <v>2</v>
      </c>
      <c r="AB34" s="16">
        <f t="shared" si="1"/>
        <v>74</v>
      </c>
      <c r="AJ34" s="16">
        <f t="shared" si="2"/>
        <v>8</v>
      </c>
      <c r="AK34" s="16">
        <f t="shared" si="3"/>
        <v>9.8571428571428577</v>
      </c>
      <c r="AL34">
        <f t="shared" si="4"/>
        <v>19.275968989643964</v>
      </c>
      <c r="AM34">
        <f t="shared" si="5"/>
        <v>0.4383167246417532</v>
      </c>
    </row>
    <row r="35" spans="2:39">
      <c r="B35" s="12">
        <v>41518</v>
      </c>
      <c r="C35" s="13">
        <v>11</v>
      </c>
      <c r="D35" s="13">
        <v>7</v>
      </c>
      <c r="E35" s="13">
        <v>13</v>
      </c>
      <c r="F35" s="13">
        <v>12</v>
      </c>
      <c r="G35" s="13">
        <v>13</v>
      </c>
      <c r="H35" s="13">
        <v>24</v>
      </c>
      <c r="I35" s="13">
        <v>3</v>
      </c>
      <c r="J35" s="13">
        <v>15</v>
      </c>
      <c r="K35" s="13">
        <v>7</v>
      </c>
      <c r="L35" s="13">
        <v>2</v>
      </c>
      <c r="M35" s="13">
        <v>2</v>
      </c>
      <c r="N35" s="40">
        <f t="shared" si="0"/>
        <v>109</v>
      </c>
      <c r="P35" s="12">
        <v>44075</v>
      </c>
      <c r="Q35" s="13">
        <v>9</v>
      </c>
      <c r="R35" s="13">
        <v>4</v>
      </c>
      <c r="S35" s="13">
        <v>8</v>
      </c>
      <c r="T35" s="13">
        <v>15</v>
      </c>
      <c r="U35" s="13">
        <v>16</v>
      </c>
      <c r="V35" s="13">
        <v>20</v>
      </c>
      <c r="W35" s="13">
        <v>3</v>
      </c>
      <c r="X35" s="13">
        <v>5</v>
      </c>
      <c r="Y35" s="13">
        <v>7</v>
      </c>
      <c r="Z35" s="13">
        <v>2</v>
      </c>
      <c r="AA35" s="13">
        <v>1</v>
      </c>
      <c r="AB35" s="16">
        <f t="shared" si="1"/>
        <v>90</v>
      </c>
      <c r="AJ35" s="16">
        <f t="shared" si="2"/>
        <v>8</v>
      </c>
      <c r="AK35" s="16">
        <f t="shared" si="3"/>
        <v>9.8571428571428577</v>
      </c>
      <c r="AL35">
        <f t="shared" si="4"/>
        <v>19.275968989643964</v>
      </c>
      <c r="AM35">
        <f t="shared" si="5"/>
        <v>0.4383167246417532</v>
      </c>
    </row>
    <row r="36" spans="2:39">
      <c r="B36" s="12">
        <v>41548</v>
      </c>
      <c r="C36" s="13">
        <v>13</v>
      </c>
      <c r="D36" s="13">
        <v>5</v>
      </c>
      <c r="E36" s="13">
        <v>6</v>
      </c>
      <c r="F36" s="13">
        <v>14</v>
      </c>
      <c r="G36" s="13">
        <v>23</v>
      </c>
      <c r="H36" s="13">
        <v>20</v>
      </c>
      <c r="I36" s="13">
        <v>2</v>
      </c>
      <c r="J36" s="13">
        <v>5</v>
      </c>
      <c r="K36" s="13">
        <v>9</v>
      </c>
      <c r="L36" s="13">
        <v>3</v>
      </c>
      <c r="M36" s="13">
        <v>1</v>
      </c>
      <c r="N36" s="40">
        <f t="shared" si="0"/>
        <v>101</v>
      </c>
      <c r="P36" s="12">
        <v>44105</v>
      </c>
      <c r="Q36" s="13">
        <v>9</v>
      </c>
      <c r="R36" s="13">
        <v>7</v>
      </c>
      <c r="S36" s="13">
        <v>14</v>
      </c>
      <c r="T36" s="13">
        <v>13</v>
      </c>
      <c r="U36" s="13">
        <v>16</v>
      </c>
      <c r="V36" s="13">
        <v>17</v>
      </c>
      <c r="W36" s="13">
        <v>1</v>
      </c>
      <c r="X36" s="13">
        <v>10</v>
      </c>
      <c r="Y36" s="13">
        <v>11</v>
      </c>
      <c r="Z36" s="13">
        <v>7</v>
      </c>
      <c r="AA36" s="14">
        <v>0</v>
      </c>
      <c r="AB36" s="16">
        <f t="shared" si="1"/>
        <v>105</v>
      </c>
      <c r="AJ36" s="16">
        <f t="shared" si="2"/>
        <v>14</v>
      </c>
      <c r="AK36" s="16">
        <f t="shared" si="3"/>
        <v>9.8571428571428577</v>
      </c>
      <c r="AL36">
        <f t="shared" si="4"/>
        <v>19.275968989643964</v>
      </c>
      <c r="AM36">
        <f t="shared" si="5"/>
        <v>0.4383167246417532</v>
      </c>
    </row>
    <row r="37" spans="2:39">
      <c r="B37" s="12">
        <v>41579</v>
      </c>
      <c r="C37" s="13">
        <v>21</v>
      </c>
      <c r="D37" s="13">
        <v>10</v>
      </c>
      <c r="E37" s="13">
        <v>10</v>
      </c>
      <c r="F37" s="13">
        <v>14</v>
      </c>
      <c r="G37" s="13">
        <v>17</v>
      </c>
      <c r="H37" s="13">
        <v>20</v>
      </c>
      <c r="I37" s="13">
        <v>3</v>
      </c>
      <c r="J37" s="13">
        <v>8</v>
      </c>
      <c r="K37" s="13">
        <v>4</v>
      </c>
      <c r="L37" s="13">
        <v>3</v>
      </c>
      <c r="M37" s="13">
        <v>3</v>
      </c>
      <c r="N37" s="40">
        <f t="shared" si="0"/>
        <v>113</v>
      </c>
      <c r="P37" s="12">
        <v>44136</v>
      </c>
      <c r="Q37" s="13">
        <v>13</v>
      </c>
      <c r="R37" s="13">
        <v>4</v>
      </c>
      <c r="S37" s="13">
        <v>11</v>
      </c>
      <c r="T37" s="13">
        <v>18</v>
      </c>
      <c r="U37" s="13">
        <v>19</v>
      </c>
      <c r="V37" s="13">
        <v>11</v>
      </c>
      <c r="W37" s="14">
        <v>0</v>
      </c>
      <c r="X37" s="13">
        <v>10</v>
      </c>
      <c r="Y37" s="13">
        <v>3</v>
      </c>
      <c r="Z37" s="13">
        <v>1</v>
      </c>
      <c r="AA37" s="13">
        <v>3</v>
      </c>
      <c r="AB37" s="16">
        <f t="shared" si="1"/>
        <v>93</v>
      </c>
      <c r="AJ37" s="16">
        <f t="shared" si="2"/>
        <v>11</v>
      </c>
      <c r="AK37" s="16">
        <f t="shared" si="3"/>
        <v>9.8571428571428577</v>
      </c>
      <c r="AL37">
        <f t="shared" si="4"/>
        <v>19.275968989643964</v>
      </c>
      <c r="AM37">
        <f t="shared" si="5"/>
        <v>0.4383167246417532</v>
      </c>
    </row>
    <row r="38" spans="2:39">
      <c r="B38" s="12">
        <v>41609</v>
      </c>
      <c r="C38" s="13">
        <v>18</v>
      </c>
      <c r="D38" s="13">
        <v>9</v>
      </c>
      <c r="E38" s="13">
        <v>8</v>
      </c>
      <c r="F38" s="13">
        <v>16</v>
      </c>
      <c r="G38" s="13">
        <v>19</v>
      </c>
      <c r="H38" s="13">
        <v>20</v>
      </c>
      <c r="I38" s="13">
        <v>4</v>
      </c>
      <c r="J38" s="13">
        <v>4</v>
      </c>
      <c r="K38" s="13">
        <v>4</v>
      </c>
      <c r="L38" s="13">
        <v>6</v>
      </c>
      <c r="M38" s="13">
        <v>3</v>
      </c>
      <c r="N38" s="40">
        <f t="shared" si="0"/>
        <v>111</v>
      </c>
      <c r="P38" s="12">
        <v>44166</v>
      </c>
      <c r="Q38" s="13">
        <v>7</v>
      </c>
      <c r="R38" s="13">
        <v>5</v>
      </c>
      <c r="S38" s="13">
        <v>20</v>
      </c>
      <c r="T38" s="13">
        <v>22</v>
      </c>
      <c r="U38" s="13">
        <v>21</v>
      </c>
      <c r="V38" s="13">
        <v>21</v>
      </c>
      <c r="W38" s="13">
        <v>4</v>
      </c>
      <c r="X38" s="13">
        <v>7</v>
      </c>
      <c r="Y38" s="13">
        <v>5</v>
      </c>
      <c r="Z38" s="13">
        <v>4</v>
      </c>
      <c r="AA38" s="14">
        <v>0</v>
      </c>
      <c r="AB38" s="16">
        <f t="shared" si="1"/>
        <v>116</v>
      </c>
      <c r="AJ38" s="16">
        <f t="shared" si="2"/>
        <v>20</v>
      </c>
      <c r="AK38" s="16">
        <f t="shared" si="3"/>
        <v>9.8571428571428577</v>
      </c>
      <c r="AL38">
        <f t="shared" si="4"/>
        <v>19.275968989643964</v>
      </c>
      <c r="AM38">
        <f t="shared" si="5"/>
        <v>0.4383167246417532</v>
      </c>
    </row>
    <row r="39" spans="2:39">
      <c r="B39" s="12">
        <v>41640</v>
      </c>
      <c r="C39" s="13">
        <v>19</v>
      </c>
      <c r="D39" s="13">
        <v>7</v>
      </c>
      <c r="E39" s="13">
        <v>9</v>
      </c>
      <c r="F39" s="13">
        <v>13</v>
      </c>
      <c r="G39" s="13">
        <v>19</v>
      </c>
      <c r="H39" s="13">
        <v>24</v>
      </c>
      <c r="I39" s="13">
        <v>9</v>
      </c>
      <c r="J39" s="13">
        <v>11</v>
      </c>
      <c r="K39" s="13">
        <v>9</v>
      </c>
      <c r="L39" s="13">
        <v>8</v>
      </c>
      <c r="M39" s="13">
        <v>5</v>
      </c>
      <c r="N39" s="40">
        <f t="shared" si="0"/>
        <v>133</v>
      </c>
      <c r="P39" s="12">
        <v>44197</v>
      </c>
      <c r="Q39" s="13">
        <v>23</v>
      </c>
      <c r="R39" s="13">
        <v>5</v>
      </c>
      <c r="S39" s="13">
        <v>13</v>
      </c>
      <c r="T39" s="13">
        <v>18</v>
      </c>
      <c r="U39" s="13">
        <v>19</v>
      </c>
      <c r="V39" s="13">
        <v>14</v>
      </c>
      <c r="W39" s="13">
        <v>10</v>
      </c>
      <c r="X39" s="13">
        <v>6</v>
      </c>
      <c r="Y39" s="13">
        <v>11</v>
      </c>
      <c r="Z39" s="13">
        <v>3</v>
      </c>
      <c r="AA39" s="13">
        <v>2</v>
      </c>
      <c r="AB39" s="16">
        <f t="shared" si="1"/>
        <v>124</v>
      </c>
      <c r="AJ39" s="16">
        <f t="shared" si="2"/>
        <v>13</v>
      </c>
      <c r="AK39" s="16">
        <f t="shared" si="3"/>
        <v>9.8571428571428577</v>
      </c>
      <c r="AL39">
        <f t="shared" si="4"/>
        <v>19.275968989643964</v>
      </c>
      <c r="AM39">
        <f t="shared" si="5"/>
        <v>0.4383167246417532</v>
      </c>
    </row>
    <row r="40" spans="2:39">
      <c r="B40" s="12">
        <v>41671</v>
      </c>
      <c r="C40" s="13">
        <v>10</v>
      </c>
      <c r="D40" s="13">
        <v>4</v>
      </c>
      <c r="E40" s="13">
        <v>7</v>
      </c>
      <c r="F40" s="13">
        <v>12</v>
      </c>
      <c r="G40" s="13">
        <v>13</v>
      </c>
      <c r="H40" s="13">
        <v>8</v>
      </c>
      <c r="I40" s="13">
        <v>2</v>
      </c>
      <c r="J40" s="13">
        <v>9</v>
      </c>
      <c r="K40" s="13">
        <v>2</v>
      </c>
      <c r="L40" s="13">
        <v>7</v>
      </c>
      <c r="M40" s="14">
        <v>0</v>
      </c>
      <c r="N40" s="40">
        <f t="shared" si="0"/>
        <v>74</v>
      </c>
      <c r="P40" s="12">
        <v>44228</v>
      </c>
      <c r="Q40" s="13">
        <v>12</v>
      </c>
      <c r="R40" s="13">
        <v>6</v>
      </c>
      <c r="S40" s="13">
        <v>16</v>
      </c>
      <c r="T40" s="13">
        <v>10</v>
      </c>
      <c r="U40" s="13">
        <v>25</v>
      </c>
      <c r="V40" s="13">
        <v>21</v>
      </c>
      <c r="W40" s="13">
        <v>4</v>
      </c>
      <c r="X40" s="13">
        <v>8</v>
      </c>
      <c r="Y40" s="13">
        <v>8</v>
      </c>
      <c r="Z40" s="13">
        <v>7</v>
      </c>
      <c r="AA40" s="13">
        <v>1</v>
      </c>
      <c r="AB40" s="16">
        <f t="shared" si="1"/>
        <v>118</v>
      </c>
      <c r="AJ40" s="16">
        <f t="shared" si="2"/>
        <v>16</v>
      </c>
      <c r="AK40" s="16">
        <f t="shared" si="3"/>
        <v>9.8571428571428577</v>
      </c>
      <c r="AL40">
        <f t="shared" si="4"/>
        <v>19.275968989643964</v>
      </c>
      <c r="AM40">
        <f t="shared" si="5"/>
        <v>0.4383167246417532</v>
      </c>
    </row>
    <row r="41" spans="2:39">
      <c r="B41" s="12">
        <v>41699</v>
      </c>
      <c r="C41" s="13">
        <v>10</v>
      </c>
      <c r="D41" s="13">
        <v>6</v>
      </c>
      <c r="E41" s="13">
        <v>11</v>
      </c>
      <c r="F41" s="13">
        <v>11</v>
      </c>
      <c r="G41" s="13">
        <v>10</v>
      </c>
      <c r="H41" s="13">
        <v>20</v>
      </c>
      <c r="I41" s="13">
        <v>5</v>
      </c>
      <c r="J41" s="13">
        <v>14</v>
      </c>
      <c r="K41" s="13">
        <v>1</v>
      </c>
      <c r="L41" s="13">
        <v>2</v>
      </c>
      <c r="M41" s="13">
        <v>2</v>
      </c>
      <c r="N41" s="40">
        <f t="shared" si="0"/>
        <v>92</v>
      </c>
      <c r="P41" s="12">
        <v>44256</v>
      </c>
      <c r="Q41" s="13">
        <v>7</v>
      </c>
      <c r="R41" s="13">
        <v>7</v>
      </c>
      <c r="S41" s="13">
        <v>9</v>
      </c>
      <c r="T41" s="13">
        <v>24</v>
      </c>
      <c r="U41" s="13">
        <v>15</v>
      </c>
      <c r="V41" s="13">
        <v>19</v>
      </c>
      <c r="W41" s="13">
        <v>10</v>
      </c>
      <c r="X41" s="13">
        <v>4</v>
      </c>
      <c r="Y41" s="13">
        <v>8</v>
      </c>
      <c r="Z41" s="13">
        <v>3</v>
      </c>
      <c r="AA41" s="14">
        <v>0</v>
      </c>
      <c r="AB41" s="16">
        <f t="shared" si="1"/>
        <v>106</v>
      </c>
      <c r="AJ41" s="16">
        <f t="shared" si="2"/>
        <v>9</v>
      </c>
      <c r="AK41" s="16">
        <f t="shared" si="3"/>
        <v>9.8571428571428577</v>
      </c>
      <c r="AL41">
        <f t="shared" si="4"/>
        <v>19.275968989643964</v>
      </c>
      <c r="AM41">
        <f t="shared" si="5"/>
        <v>0.4383167246417532</v>
      </c>
    </row>
    <row r="42" spans="2:39">
      <c r="B42" s="12">
        <v>41730</v>
      </c>
      <c r="C42" s="13">
        <v>15</v>
      </c>
      <c r="D42" s="13">
        <v>5</v>
      </c>
      <c r="E42" s="13">
        <v>14</v>
      </c>
      <c r="F42" s="13">
        <v>10</v>
      </c>
      <c r="G42" s="13">
        <v>17</v>
      </c>
      <c r="H42" s="13">
        <v>14</v>
      </c>
      <c r="I42" s="13">
        <v>3</v>
      </c>
      <c r="J42" s="13">
        <v>4</v>
      </c>
      <c r="K42" s="13">
        <v>9</v>
      </c>
      <c r="L42" s="14">
        <v>0</v>
      </c>
      <c r="M42" s="13">
        <v>1</v>
      </c>
      <c r="N42" s="40">
        <f t="shared" si="0"/>
        <v>92</v>
      </c>
      <c r="P42" s="12">
        <v>44287</v>
      </c>
      <c r="Q42" s="13">
        <v>11</v>
      </c>
      <c r="R42" s="13">
        <v>6</v>
      </c>
      <c r="S42" s="13">
        <v>16</v>
      </c>
      <c r="T42" s="13">
        <v>13</v>
      </c>
      <c r="U42" s="13">
        <v>14</v>
      </c>
      <c r="V42" s="13">
        <v>16</v>
      </c>
      <c r="W42" s="13">
        <v>9</v>
      </c>
      <c r="X42" s="13">
        <v>5</v>
      </c>
      <c r="Y42" s="13">
        <v>6</v>
      </c>
      <c r="Z42" s="13">
        <v>5</v>
      </c>
      <c r="AA42" s="14">
        <v>0</v>
      </c>
      <c r="AB42" s="16">
        <f t="shared" si="1"/>
        <v>101</v>
      </c>
      <c r="AJ42" s="16">
        <f t="shared" si="2"/>
        <v>16</v>
      </c>
      <c r="AK42" s="16">
        <f t="shared" si="3"/>
        <v>9.8571428571428577</v>
      </c>
      <c r="AL42">
        <f t="shared" si="4"/>
        <v>19.275968989643964</v>
      </c>
      <c r="AM42">
        <f t="shared" si="5"/>
        <v>0.4383167246417532</v>
      </c>
    </row>
    <row r="43" spans="2:39">
      <c r="B43" s="12">
        <v>41760</v>
      </c>
      <c r="C43" s="13">
        <v>7</v>
      </c>
      <c r="D43" s="13">
        <v>5</v>
      </c>
      <c r="E43" s="13">
        <v>12</v>
      </c>
      <c r="F43" s="13">
        <v>6</v>
      </c>
      <c r="G43" s="13">
        <v>13</v>
      </c>
      <c r="H43" s="13">
        <v>18</v>
      </c>
      <c r="I43" s="13">
        <v>7</v>
      </c>
      <c r="J43" s="13">
        <v>2</v>
      </c>
      <c r="K43" s="13">
        <v>5</v>
      </c>
      <c r="L43" s="13">
        <v>3</v>
      </c>
      <c r="M43" s="13">
        <v>2</v>
      </c>
      <c r="N43" s="40">
        <f t="shared" si="0"/>
        <v>80</v>
      </c>
      <c r="P43" s="12">
        <v>44317</v>
      </c>
      <c r="Q43" s="13">
        <v>14</v>
      </c>
      <c r="R43" s="13">
        <v>6</v>
      </c>
      <c r="S43" s="13">
        <v>14</v>
      </c>
      <c r="T43" s="13">
        <v>12</v>
      </c>
      <c r="U43" s="13">
        <v>18</v>
      </c>
      <c r="V43" s="13">
        <v>16</v>
      </c>
      <c r="W43" s="13">
        <v>3</v>
      </c>
      <c r="X43" s="13">
        <v>10</v>
      </c>
      <c r="Y43" s="13">
        <v>6</v>
      </c>
      <c r="Z43" s="13">
        <v>5</v>
      </c>
      <c r="AA43" s="14">
        <v>0</v>
      </c>
      <c r="AB43" s="16">
        <f t="shared" si="1"/>
        <v>104</v>
      </c>
      <c r="AJ43" s="16">
        <f t="shared" si="2"/>
        <v>14</v>
      </c>
      <c r="AK43" s="16">
        <f t="shared" si="3"/>
        <v>9.8571428571428577</v>
      </c>
      <c r="AL43">
        <f t="shared" si="4"/>
        <v>19.275968989643964</v>
      </c>
      <c r="AM43">
        <f t="shared" si="5"/>
        <v>0.4383167246417532</v>
      </c>
    </row>
    <row r="44" spans="2:39">
      <c r="B44" s="12">
        <v>41791</v>
      </c>
      <c r="C44" s="13">
        <v>10</v>
      </c>
      <c r="D44" s="13">
        <v>8</v>
      </c>
      <c r="E44" s="13">
        <v>10</v>
      </c>
      <c r="F44" s="13">
        <v>7</v>
      </c>
      <c r="G44" s="13">
        <v>14</v>
      </c>
      <c r="H44" s="13">
        <v>26</v>
      </c>
      <c r="I44" s="13">
        <v>3</v>
      </c>
      <c r="J44" s="14">
        <v>4</v>
      </c>
      <c r="K44" s="13">
        <v>4</v>
      </c>
      <c r="L44" s="13">
        <v>6</v>
      </c>
      <c r="M44" s="13">
        <v>1</v>
      </c>
      <c r="N44" s="40">
        <f t="shared" si="0"/>
        <v>93</v>
      </c>
      <c r="P44" s="12">
        <v>44348</v>
      </c>
      <c r="Q44" s="13">
        <v>7</v>
      </c>
      <c r="R44" s="13">
        <v>5</v>
      </c>
      <c r="S44" s="13">
        <v>16</v>
      </c>
      <c r="T44" s="13">
        <v>13</v>
      </c>
      <c r="U44" s="13">
        <v>18</v>
      </c>
      <c r="V44" s="13">
        <v>10</v>
      </c>
      <c r="W44" s="13">
        <v>4</v>
      </c>
      <c r="X44" s="13">
        <v>8</v>
      </c>
      <c r="Y44" s="13">
        <v>1</v>
      </c>
      <c r="Z44" s="13">
        <v>2</v>
      </c>
      <c r="AA44" s="13">
        <v>1</v>
      </c>
      <c r="AB44" s="16">
        <f t="shared" si="1"/>
        <v>85</v>
      </c>
      <c r="AJ44" s="16">
        <f t="shared" si="2"/>
        <v>16</v>
      </c>
      <c r="AK44" s="16">
        <f t="shared" si="3"/>
        <v>9.8571428571428577</v>
      </c>
      <c r="AL44">
        <f t="shared" si="4"/>
        <v>19.275968989643964</v>
      </c>
      <c r="AM44">
        <f t="shared" si="5"/>
        <v>0.4383167246417532</v>
      </c>
    </row>
    <row r="45" spans="2:39">
      <c r="B45" s="12">
        <v>41821</v>
      </c>
      <c r="C45" s="13">
        <v>7</v>
      </c>
      <c r="D45" s="13">
        <v>5</v>
      </c>
      <c r="E45" s="13">
        <v>9</v>
      </c>
      <c r="F45" s="13">
        <v>18</v>
      </c>
      <c r="G45" s="13">
        <v>22</v>
      </c>
      <c r="H45" s="13">
        <v>19</v>
      </c>
      <c r="I45" s="13">
        <v>4</v>
      </c>
      <c r="J45" s="13">
        <v>6</v>
      </c>
      <c r="K45" s="13">
        <v>1</v>
      </c>
      <c r="L45" s="13">
        <v>7</v>
      </c>
      <c r="M45" s="13">
        <v>1</v>
      </c>
      <c r="N45" s="40">
        <f t="shared" si="0"/>
        <v>99</v>
      </c>
      <c r="P45" s="12">
        <v>44378</v>
      </c>
      <c r="Q45" s="13">
        <v>15</v>
      </c>
      <c r="R45" s="13">
        <v>4</v>
      </c>
      <c r="S45" s="13">
        <v>16</v>
      </c>
      <c r="T45" s="13">
        <v>19</v>
      </c>
      <c r="U45" s="13">
        <v>9</v>
      </c>
      <c r="V45" s="13">
        <v>8</v>
      </c>
      <c r="W45" s="13">
        <v>4</v>
      </c>
      <c r="X45" s="13">
        <v>5</v>
      </c>
      <c r="Y45" s="13">
        <v>4</v>
      </c>
      <c r="Z45" s="13">
        <v>3</v>
      </c>
      <c r="AA45" s="13">
        <v>2</v>
      </c>
      <c r="AB45" s="16">
        <f t="shared" si="1"/>
        <v>89</v>
      </c>
      <c r="AJ45" s="16">
        <f t="shared" si="2"/>
        <v>16</v>
      </c>
      <c r="AK45" s="16">
        <f t="shared" si="3"/>
        <v>9.8571428571428577</v>
      </c>
      <c r="AL45">
        <f t="shared" si="4"/>
        <v>19.275968989643964</v>
      </c>
      <c r="AM45">
        <f t="shared" si="5"/>
        <v>0.4383167246417532</v>
      </c>
    </row>
    <row r="46" spans="2:39">
      <c r="B46" s="12">
        <v>41852</v>
      </c>
      <c r="C46" s="13">
        <v>11</v>
      </c>
      <c r="D46" s="13">
        <v>11</v>
      </c>
      <c r="E46" s="13">
        <v>9</v>
      </c>
      <c r="F46" s="13">
        <v>8</v>
      </c>
      <c r="G46" s="13">
        <v>16</v>
      </c>
      <c r="H46" s="13">
        <v>14</v>
      </c>
      <c r="I46" s="13">
        <v>3</v>
      </c>
      <c r="J46" s="13">
        <v>8</v>
      </c>
      <c r="K46" s="13">
        <v>7</v>
      </c>
      <c r="L46" s="13">
        <v>6</v>
      </c>
      <c r="M46" s="13">
        <v>1</v>
      </c>
      <c r="N46" s="40">
        <f t="shared" si="0"/>
        <v>94</v>
      </c>
      <c r="P46" s="12">
        <v>44409</v>
      </c>
      <c r="Q46" s="13">
        <v>11</v>
      </c>
      <c r="R46" s="13">
        <v>9</v>
      </c>
      <c r="S46" s="13">
        <v>14</v>
      </c>
      <c r="T46" s="13">
        <v>9</v>
      </c>
      <c r="U46" s="13">
        <v>12</v>
      </c>
      <c r="V46" s="13">
        <v>10</v>
      </c>
      <c r="W46" s="13">
        <v>2</v>
      </c>
      <c r="X46" s="13">
        <v>5</v>
      </c>
      <c r="Y46" s="13">
        <v>3</v>
      </c>
      <c r="Z46" s="13">
        <v>8</v>
      </c>
      <c r="AA46" s="13">
        <v>1</v>
      </c>
      <c r="AB46" s="16">
        <f t="shared" si="1"/>
        <v>84</v>
      </c>
      <c r="AJ46" s="16">
        <f t="shared" si="2"/>
        <v>14</v>
      </c>
      <c r="AK46" s="16">
        <f t="shared" si="3"/>
        <v>9.8571428571428577</v>
      </c>
      <c r="AL46">
        <f t="shared" si="4"/>
        <v>19.275968989643964</v>
      </c>
      <c r="AM46">
        <f t="shared" si="5"/>
        <v>0.4383167246417532</v>
      </c>
    </row>
    <row r="47" spans="2:39">
      <c r="B47" s="12">
        <v>41883</v>
      </c>
      <c r="C47" s="13">
        <v>6</v>
      </c>
      <c r="D47" s="13">
        <v>6</v>
      </c>
      <c r="E47" s="13">
        <v>6</v>
      </c>
      <c r="F47" s="13">
        <v>11</v>
      </c>
      <c r="G47" s="13">
        <v>18</v>
      </c>
      <c r="H47" s="13">
        <v>27</v>
      </c>
      <c r="I47" s="13">
        <v>3</v>
      </c>
      <c r="J47" s="13">
        <v>8</v>
      </c>
      <c r="K47" s="13">
        <v>3</v>
      </c>
      <c r="L47" s="13">
        <v>5</v>
      </c>
      <c r="M47" s="14">
        <v>0</v>
      </c>
      <c r="N47" s="40">
        <f t="shared" si="0"/>
        <v>93</v>
      </c>
      <c r="P47" s="12">
        <v>44440</v>
      </c>
      <c r="Q47" s="13">
        <v>11</v>
      </c>
      <c r="R47" s="13">
        <v>6</v>
      </c>
      <c r="S47" s="13">
        <v>19</v>
      </c>
      <c r="T47" s="13">
        <v>15</v>
      </c>
      <c r="U47" s="13">
        <v>11</v>
      </c>
      <c r="V47" s="13">
        <v>18</v>
      </c>
      <c r="W47" s="13">
        <v>4</v>
      </c>
      <c r="X47" s="13">
        <v>5</v>
      </c>
      <c r="Y47" s="13">
        <v>7</v>
      </c>
      <c r="Z47" s="13">
        <v>4</v>
      </c>
      <c r="AA47" s="13">
        <v>1</v>
      </c>
      <c r="AB47" s="16">
        <f t="shared" si="1"/>
        <v>101</v>
      </c>
      <c r="AJ47" s="16">
        <f t="shared" si="2"/>
        <v>19</v>
      </c>
      <c r="AK47" s="16">
        <f t="shared" si="3"/>
        <v>9.8571428571428577</v>
      </c>
      <c r="AL47">
        <f t="shared" si="4"/>
        <v>19.275968989643964</v>
      </c>
      <c r="AM47">
        <f t="shared" si="5"/>
        <v>0.4383167246417532</v>
      </c>
    </row>
    <row r="48" spans="2:39">
      <c r="B48" s="12">
        <v>41913</v>
      </c>
      <c r="C48" s="13">
        <v>16</v>
      </c>
      <c r="D48" s="13">
        <v>3</v>
      </c>
      <c r="E48" s="13">
        <v>11</v>
      </c>
      <c r="F48" s="13">
        <v>11</v>
      </c>
      <c r="G48" s="13">
        <v>9</v>
      </c>
      <c r="H48" s="13">
        <v>24</v>
      </c>
      <c r="I48" s="13">
        <v>5</v>
      </c>
      <c r="J48" s="13">
        <v>10</v>
      </c>
      <c r="K48" s="13">
        <v>8</v>
      </c>
      <c r="L48" s="13">
        <v>5</v>
      </c>
      <c r="M48" s="13">
        <v>1</v>
      </c>
      <c r="N48" s="40">
        <f t="shared" si="0"/>
        <v>103</v>
      </c>
      <c r="P48" s="12">
        <v>44470</v>
      </c>
      <c r="Q48" s="13">
        <v>13</v>
      </c>
      <c r="R48" s="13">
        <v>4</v>
      </c>
      <c r="S48" s="13">
        <v>7</v>
      </c>
      <c r="T48" s="13">
        <v>24</v>
      </c>
      <c r="U48" s="13">
        <v>14</v>
      </c>
      <c r="V48" s="13">
        <v>24</v>
      </c>
      <c r="W48" s="13">
        <v>6</v>
      </c>
      <c r="X48" s="13">
        <v>9</v>
      </c>
      <c r="Y48" s="13">
        <v>5</v>
      </c>
      <c r="Z48" s="13">
        <v>1</v>
      </c>
      <c r="AA48" s="13">
        <v>5</v>
      </c>
      <c r="AB48" s="16">
        <f t="shared" si="1"/>
        <v>112</v>
      </c>
      <c r="AJ48" s="16">
        <f t="shared" si="2"/>
        <v>7</v>
      </c>
      <c r="AK48" s="16">
        <f t="shared" si="3"/>
        <v>9.8571428571428577</v>
      </c>
      <c r="AL48">
        <f t="shared" si="4"/>
        <v>19.275968989643964</v>
      </c>
      <c r="AM48">
        <f t="shared" si="5"/>
        <v>0.4383167246417532</v>
      </c>
    </row>
    <row r="49" spans="2:39">
      <c r="B49" s="12">
        <v>41944</v>
      </c>
      <c r="C49" s="13">
        <v>12</v>
      </c>
      <c r="D49" s="13">
        <v>14</v>
      </c>
      <c r="E49" s="13">
        <v>16</v>
      </c>
      <c r="F49" s="13">
        <v>2</v>
      </c>
      <c r="G49" s="13">
        <v>17</v>
      </c>
      <c r="H49" s="13">
        <v>10</v>
      </c>
      <c r="I49" s="13">
        <v>4</v>
      </c>
      <c r="J49" s="13">
        <v>9</v>
      </c>
      <c r="K49" s="13">
        <v>3</v>
      </c>
      <c r="L49" s="13">
        <v>2</v>
      </c>
      <c r="M49" s="13">
        <v>4</v>
      </c>
      <c r="N49" s="40">
        <f t="shared" si="0"/>
        <v>93</v>
      </c>
      <c r="P49" s="12">
        <v>44501</v>
      </c>
      <c r="Q49" s="13">
        <v>11</v>
      </c>
      <c r="R49" s="13">
        <v>8</v>
      </c>
      <c r="S49" s="13">
        <v>15</v>
      </c>
      <c r="T49" s="13">
        <v>14</v>
      </c>
      <c r="U49" s="13">
        <v>7</v>
      </c>
      <c r="V49" s="13">
        <v>15</v>
      </c>
      <c r="W49" s="13">
        <v>9</v>
      </c>
      <c r="X49" s="13">
        <v>18</v>
      </c>
      <c r="Y49" s="13">
        <v>10</v>
      </c>
      <c r="Z49" s="13">
        <v>3</v>
      </c>
      <c r="AA49" s="13">
        <v>2</v>
      </c>
      <c r="AB49" s="16">
        <f t="shared" si="1"/>
        <v>112</v>
      </c>
      <c r="AJ49" s="16">
        <f t="shared" si="2"/>
        <v>15</v>
      </c>
      <c r="AK49" s="16">
        <f t="shared" si="3"/>
        <v>9.8571428571428577</v>
      </c>
      <c r="AL49">
        <f t="shared" si="4"/>
        <v>19.275968989643964</v>
      </c>
      <c r="AM49">
        <f t="shared" si="5"/>
        <v>0.4383167246417532</v>
      </c>
    </row>
    <row r="50" spans="2:39">
      <c r="B50" s="12">
        <v>41974</v>
      </c>
      <c r="C50" s="13">
        <v>9</v>
      </c>
      <c r="D50" s="13">
        <v>9</v>
      </c>
      <c r="E50" s="13">
        <v>9</v>
      </c>
      <c r="F50" s="13">
        <v>13</v>
      </c>
      <c r="G50" s="13">
        <v>11</v>
      </c>
      <c r="H50" s="13">
        <v>22</v>
      </c>
      <c r="I50" s="13">
        <v>5</v>
      </c>
      <c r="J50" s="13">
        <v>10</v>
      </c>
      <c r="K50" s="13">
        <v>9</v>
      </c>
      <c r="L50" s="13">
        <v>12</v>
      </c>
      <c r="M50" s="13">
        <v>3</v>
      </c>
      <c r="N50" s="40">
        <f t="shared" si="0"/>
        <v>112</v>
      </c>
      <c r="P50" s="12">
        <v>44531</v>
      </c>
      <c r="Q50" s="13">
        <v>21</v>
      </c>
      <c r="R50" s="13">
        <v>5</v>
      </c>
      <c r="S50" s="13">
        <v>13</v>
      </c>
      <c r="T50" s="13">
        <v>12</v>
      </c>
      <c r="U50" s="13">
        <v>12</v>
      </c>
      <c r="V50" s="13">
        <v>17</v>
      </c>
      <c r="W50" s="13">
        <v>2</v>
      </c>
      <c r="X50" s="13">
        <v>10</v>
      </c>
      <c r="Y50" s="13">
        <v>4</v>
      </c>
      <c r="Z50" s="13">
        <v>5</v>
      </c>
      <c r="AA50" s="13">
        <v>1</v>
      </c>
      <c r="AB50" s="16">
        <f t="shared" si="1"/>
        <v>102</v>
      </c>
      <c r="AJ50" s="16">
        <f t="shared" si="2"/>
        <v>13</v>
      </c>
      <c r="AK50" s="16">
        <f t="shared" si="3"/>
        <v>9.8571428571428577</v>
      </c>
      <c r="AL50">
        <f t="shared" si="4"/>
        <v>19.275968989643964</v>
      </c>
      <c r="AM50">
        <f t="shared" si="5"/>
        <v>0.4383167246417532</v>
      </c>
    </row>
    <row r="51" spans="2:39">
      <c r="B51" s="12">
        <v>42005</v>
      </c>
      <c r="C51" s="13">
        <v>14</v>
      </c>
      <c r="D51" s="13">
        <v>9</v>
      </c>
      <c r="E51" s="13">
        <v>12</v>
      </c>
      <c r="F51" s="13">
        <v>15</v>
      </c>
      <c r="G51" s="13">
        <v>11</v>
      </c>
      <c r="H51" s="13">
        <v>12</v>
      </c>
      <c r="I51" s="13">
        <v>4</v>
      </c>
      <c r="J51" s="13">
        <v>9</v>
      </c>
      <c r="K51" s="13">
        <v>4</v>
      </c>
      <c r="L51" s="13">
        <v>3</v>
      </c>
      <c r="M51" s="13">
        <v>1</v>
      </c>
      <c r="N51" s="40">
        <f t="shared" si="0"/>
        <v>94</v>
      </c>
      <c r="P51" s="12">
        <v>44562</v>
      </c>
      <c r="Q51" s="13">
        <v>11</v>
      </c>
      <c r="R51" s="13">
        <v>10</v>
      </c>
      <c r="S51" s="13">
        <v>17</v>
      </c>
      <c r="T51" s="13">
        <v>18</v>
      </c>
      <c r="U51" s="13">
        <v>14</v>
      </c>
      <c r="V51" s="13">
        <v>12</v>
      </c>
      <c r="W51" s="13">
        <v>6</v>
      </c>
      <c r="X51" s="13">
        <v>12</v>
      </c>
      <c r="Y51" s="13">
        <v>8</v>
      </c>
      <c r="Z51" s="13">
        <v>2</v>
      </c>
      <c r="AA51" s="14">
        <v>0</v>
      </c>
      <c r="AB51" s="16">
        <f t="shared" si="1"/>
        <v>110</v>
      </c>
      <c r="AJ51" s="16">
        <f t="shared" si="2"/>
        <v>17</v>
      </c>
      <c r="AK51" s="16">
        <f t="shared" si="3"/>
        <v>9.8571428571428577</v>
      </c>
      <c r="AL51">
        <f t="shared" si="4"/>
        <v>19.275968989643964</v>
      </c>
      <c r="AM51">
        <f t="shared" si="5"/>
        <v>0.4383167246417532</v>
      </c>
    </row>
    <row r="52" spans="2:39">
      <c r="B52" s="12">
        <v>42036</v>
      </c>
      <c r="C52" s="13">
        <v>6</v>
      </c>
      <c r="D52" s="13">
        <v>6</v>
      </c>
      <c r="E52" s="13">
        <v>11</v>
      </c>
      <c r="F52" s="13">
        <v>10</v>
      </c>
      <c r="G52" s="13">
        <v>12</v>
      </c>
      <c r="H52" s="13">
        <v>13</v>
      </c>
      <c r="I52" s="13">
        <v>4</v>
      </c>
      <c r="J52" s="13">
        <v>7</v>
      </c>
      <c r="K52" s="13">
        <v>4</v>
      </c>
      <c r="L52" s="13">
        <v>8</v>
      </c>
      <c r="M52" s="13">
        <v>2</v>
      </c>
      <c r="N52" s="40">
        <f t="shared" si="0"/>
        <v>83</v>
      </c>
      <c r="P52" s="12">
        <v>44593</v>
      </c>
      <c r="Q52" s="13">
        <v>12</v>
      </c>
      <c r="R52" s="13">
        <v>1</v>
      </c>
      <c r="S52" s="13">
        <v>10</v>
      </c>
      <c r="T52" s="13">
        <v>15</v>
      </c>
      <c r="U52" s="13">
        <v>11</v>
      </c>
      <c r="V52" s="13">
        <v>20</v>
      </c>
      <c r="W52" s="13">
        <v>2</v>
      </c>
      <c r="X52" s="13">
        <v>11</v>
      </c>
      <c r="Y52" s="13">
        <v>3</v>
      </c>
      <c r="Z52" s="13">
        <v>6</v>
      </c>
      <c r="AA52" s="13">
        <v>4</v>
      </c>
      <c r="AB52" s="16">
        <f t="shared" si="1"/>
        <v>95</v>
      </c>
      <c r="AJ52" s="16">
        <f t="shared" si="2"/>
        <v>10</v>
      </c>
      <c r="AK52" s="16">
        <f t="shared" si="3"/>
        <v>9.8571428571428577</v>
      </c>
      <c r="AL52">
        <f t="shared" si="4"/>
        <v>19.275968989643964</v>
      </c>
      <c r="AM52">
        <f t="shared" si="5"/>
        <v>0.4383167246417532</v>
      </c>
    </row>
    <row r="53" spans="2:39">
      <c r="B53" s="12">
        <v>42064</v>
      </c>
      <c r="C53" s="13">
        <v>14</v>
      </c>
      <c r="D53" s="13">
        <v>9</v>
      </c>
      <c r="E53" s="13">
        <v>8</v>
      </c>
      <c r="F53" s="13">
        <v>13</v>
      </c>
      <c r="G53" s="13">
        <v>18</v>
      </c>
      <c r="H53" s="13">
        <v>14</v>
      </c>
      <c r="I53" s="13">
        <v>4</v>
      </c>
      <c r="J53" s="13">
        <v>8</v>
      </c>
      <c r="K53" s="13">
        <v>4</v>
      </c>
      <c r="L53" s="13">
        <v>2</v>
      </c>
      <c r="M53" s="14">
        <v>0</v>
      </c>
      <c r="N53" s="40">
        <f t="shared" si="0"/>
        <v>94</v>
      </c>
      <c r="P53" s="12">
        <v>44621</v>
      </c>
      <c r="Q53" s="13">
        <v>16</v>
      </c>
      <c r="R53" s="13">
        <v>6</v>
      </c>
      <c r="S53" s="13">
        <v>10</v>
      </c>
      <c r="T53" s="13">
        <v>23</v>
      </c>
      <c r="U53" s="13">
        <v>14</v>
      </c>
      <c r="V53" s="13">
        <v>25</v>
      </c>
      <c r="W53" s="13">
        <v>3</v>
      </c>
      <c r="X53" s="13">
        <v>5</v>
      </c>
      <c r="Y53" s="13">
        <v>5</v>
      </c>
      <c r="Z53" s="13">
        <v>1</v>
      </c>
      <c r="AA53" s="14">
        <v>0</v>
      </c>
      <c r="AB53" s="16">
        <f t="shared" si="1"/>
        <v>108</v>
      </c>
      <c r="AJ53" s="16">
        <f t="shared" si="2"/>
        <v>10</v>
      </c>
      <c r="AK53" s="16">
        <f t="shared" si="3"/>
        <v>9.8571428571428577</v>
      </c>
      <c r="AL53">
        <f t="shared" si="4"/>
        <v>19.275968989643964</v>
      </c>
      <c r="AM53">
        <f t="shared" si="5"/>
        <v>0.4383167246417532</v>
      </c>
    </row>
    <row r="54" spans="2:39">
      <c r="B54" s="12">
        <v>42095</v>
      </c>
      <c r="C54" s="13">
        <v>12</v>
      </c>
      <c r="D54" s="13">
        <v>5</v>
      </c>
      <c r="E54" s="13">
        <v>10</v>
      </c>
      <c r="F54" s="13">
        <v>7</v>
      </c>
      <c r="G54" s="13">
        <v>11</v>
      </c>
      <c r="H54" s="13">
        <v>17</v>
      </c>
      <c r="I54" s="13">
        <v>6</v>
      </c>
      <c r="J54" s="13">
        <v>5</v>
      </c>
      <c r="K54" s="13">
        <v>1</v>
      </c>
      <c r="L54" s="13">
        <v>4</v>
      </c>
      <c r="M54" s="13">
        <v>1</v>
      </c>
      <c r="N54" s="40">
        <f t="shared" si="0"/>
        <v>79</v>
      </c>
      <c r="P54" t="s">
        <v>67</v>
      </c>
      <c r="AB54" s="16">
        <f>AVERAGE(AB3:AB53)</f>
        <v>95.490196078431367</v>
      </c>
      <c r="AJ54" s="16">
        <f t="shared" si="2"/>
        <v>0</v>
      </c>
    </row>
    <row r="55" spans="2:39">
      <c r="B55" s="12">
        <v>42125</v>
      </c>
      <c r="C55" s="13">
        <v>8</v>
      </c>
      <c r="D55" s="13">
        <v>6</v>
      </c>
      <c r="E55" s="13">
        <v>9</v>
      </c>
      <c r="F55" s="13">
        <v>10</v>
      </c>
      <c r="G55" s="13">
        <v>9</v>
      </c>
      <c r="H55" s="13">
        <v>14</v>
      </c>
      <c r="I55" s="13">
        <v>5</v>
      </c>
      <c r="J55" s="13">
        <v>8</v>
      </c>
      <c r="K55" s="13">
        <v>3</v>
      </c>
      <c r="L55" s="13">
        <v>4</v>
      </c>
      <c r="M55" s="13">
        <v>3</v>
      </c>
      <c r="N55" s="40">
        <f t="shared" si="0"/>
        <v>79</v>
      </c>
    </row>
    <row r="56" spans="2:39">
      <c r="B56" s="12">
        <v>42156</v>
      </c>
      <c r="C56" s="13">
        <v>7</v>
      </c>
      <c r="D56" s="13">
        <v>5</v>
      </c>
      <c r="E56" s="13">
        <v>8</v>
      </c>
      <c r="F56" s="13">
        <v>8</v>
      </c>
      <c r="G56" s="13">
        <v>11</v>
      </c>
      <c r="H56" s="13">
        <v>14</v>
      </c>
      <c r="I56" s="13">
        <v>2</v>
      </c>
      <c r="J56" s="13">
        <v>5</v>
      </c>
      <c r="K56" s="13">
        <v>6</v>
      </c>
      <c r="L56" s="13">
        <v>5</v>
      </c>
      <c r="M56" s="13">
        <v>1</v>
      </c>
      <c r="N56" s="40">
        <f t="shared" si="0"/>
        <v>72</v>
      </c>
    </row>
    <row r="57" spans="2:39">
      <c r="B57" s="12">
        <v>42186</v>
      </c>
      <c r="C57" s="13">
        <v>7</v>
      </c>
      <c r="D57" s="13">
        <v>8</v>
      </c>
      <c r="E57" s="13">
        <v>6</v>
      </c>
      <c r="F57" s="13">
        <v>8</v>
      </c>
      <c r="G57" s="13">
        <v>12</v>
      </c>
      <c r="H57" s="13">
        <v>17</v>
      </c>
      <c r="I57" s="13">
        <v>2</v>
      </c>
      <c r="J57" s="13">
        <v>6</v>
      </c>
      <c r="K57" s="13">
        <v>4</v>
      </c>
      <c r="L57" s="13">
        <v>2</v>
      </c>
      <c r="M57" s="13">
        <v>5</v>
      </c>
      <c r="N57" s="40">
        <f t="shared" si="0"/>
        <v>77</v>
      </c>
    </row>
    <row r="58" spans="2:39">
      <c r="B58" s="12">
        <v>42217</v>
      </c>
      <c r="C58" s="13">
        <v>6</v>
      </c>
      <c r="D58" s="13">
        <v>6</v>
      </c>
      <c r="E58" s="13">
        <v>8</v>
      </c>
      <c r="F58" s="13">
        <v>8</v>
      </c>
      <c r="G58" s="13">
        <v>22</v>
      </c>
      <c r="H58" s="13">
        <v>15</v>
      </c>
      <c r="I58" s="13">
        <v>4</v>
      </c>
      <c r="J58" s="13">
        <v>6</v>
      </c>
      <c r="K58" s="13">
        <v>5</v>
      </c>
      <c r="L58" s="13">
        <v>5</v>
      </c>
      <c r="M58" s="13">
        <v>2</v>
      </c>
      <c r="N58" s="40">
        <f t="shared" si="0"/>
        <v>87</v>
      </c>
    </row>
    <row r="59" spans="2:39">
      <c r="B59" s="12">
        <v>42248</v>
      </c>
      <c r="C59" s="13">
        <v>11</v>
      </c>
      <c r="D59" s="13">
        <v>5</v>
      </c>
      <c r="E59" s="13">
        <v>7</v>
      </c>
      <c r="F59" s="13">
        <v>10</v>
      </c>
      <c r="G59" s="13">
        <v>12</v>
      </c>
      <c r="H59" s="13">
        <v>14</v>
      </c>
      <c r="I59" s="13">
        <v>6</v>
      </c>
      <c r="J59" s="13">
        <v>7</v>
      </c>
      <c r="K59" s="13">
        <v>5</v>
      </c>
      <c r="L59" s="13">
        <v>1</v>
      </c>
      <c r="M59" s="13">
        <v>2</v>
      </c>
      <c r="N59" s="40">
        <f t="shared" si="0"/>
        <v>80</v>
      </c>
    </row>
    <row r="60" spans="2:39">
      <c r="B60" s="12">
        <v>42278</v>
      </c>
      <c r="C60" s="13">
        <v>7</v>
      </c>
      <c r="D60" s="13">
        <v>9</v>
      </c>
      <c r="E60" s="13">
        <v>12</v>
      </c>
      <c r="F60" s="13">
        <v>5</v>
      </c>
      <c r="G60" s="13">
        <v>12</v>
      </c>
      <c r="H60" s="13">
        <v>19</v>
      </c>
      <c r="I60" s="13">
        <v>5</v>
      </c>
      <c r="J60" s="13">
        <v>5</v>
      </c>
      <c r="K60" s="13">
        <v>4</v>
      </c>
      <c r="L60" s="13">
        <v>4</v>
      </c>
      <c r="M60" s="14">
        <v>0</v>
      </c>
      <c r="N60" s="40">
        <f t="shared" si="0"/>
        <v>82</v>
      </c>
    </row>
    <row r="61" spans="2:39">
      <c r="B61" s="12">
        <v>42309</v>
      </c>
      <c r="C61" s="13">
        <v>14</v>
      </c>
      <c r="D61" s="13">
        <v>6</v>
      </c>
      <c r="E61" s="13">
        <v>15</v>
      </c>
      <c r="F61" s="13">
        <v>12</v>
      </c>
      <c r="G61" s="13">
        <v>20</v>
      </c>
      <c r="H61" s="13">
        <v>9</v>
      </c>
      <c r="I61" s="13">
        <v>4</v>
      </c>
      <c r="J61" s="13">
        <v>13</v>
      </c>
      <c r="K61" s="13">
        <v>2</v>
      </c>
      <c r="L61" s="13">
        <v>1</v>
      </c>
      <c r="M61" s="13">
        <v>3</v>
      </c>
      <c r="N61" s="40">
        <f t="shared" si="0"/>
        <v>99</v>
      </c>
    </row>
    <row r="62" spans="2:39">
      <c r="B62" s="12">
        <v>42339</v>
      </c>
      <c r="C62" s="13">
        <v>11</v>
      </c>
      <c r="D62" s="13">
        <v>10</v>
      </c>
      <c r="E62" s="13">
        <v>12</v>
      </c>
      <c r="F62" s="13">
        <v>14</v>
      </c>
      <c r="G62" s="13">
        <v>13</v>
      </c>
      <c r="H62" s="13">
        <v>17</v>
      </c>
      <c r="I62" s="13">
        <v>4</v>
      </c>
      <c r="J62" s="13">
        <v>9</v>
      </c>
      <c r="K62" s="13">
        <v>4</v>
      </c>
      <c r="L62" s="13">
        <v>4</v>
      </c>
      <c r="M62" s="13">
        <v>1</v>
      </c>
      <c r="N62" s="40">
        <f t="shared" si="0"/>
        <v>99</v>
      </c>
    </row>
    <row r="63" spans="2:39">
      <c r="B63" s="12">
        <v>42370</v>
      </c>
      <c r="C63" s="13">
        <v>16</v>
      </c>
      <c r="D63" s="13">
        <v>9</v>
      </c>
      <c r="E63" s="13">
        <v>8</v>
      </c>
      <c r="F63" s="13">
        <v>17</v>
      </c>
      <c r="G63" s="13">
        <v>17</v>
      </c>
      <c r="H63" s="13">
        <v>15</v>
      </c>
      <c r="I63" s="13">
        <v>4</v>
      </c>
      <c r="J63" s="13">
        <v>6</v>
      </c>
      <c r="K63" s="13">
        <v>4</v>
      </c>
      <c r="L63" s="13">
        <v>7</v>
      </c>
      <c r="M63" s="13">
        <v>1</v>
      </c>
      <c r="N63" s="40">
        <f t="shared" si="0"/>
        <v>104</v>
      </c>
    </row>
    <row r="64" spans="2:39">
      <c r="B64" s="12">
        <v>42401</v>
      </c>
      <c r="C64" s="13">
        <v>6</v>
      </c>
      <c r="D64" s="13">
        <v>6</v>
      </c>
      <c r="E64" s="13">
        <v>13</v>
      </c>
      <c r="F64" s="13">
        <v>7</v>
      </c>
      <c r="G64" s="13">
        <v>16</v>
      </c>
      <c r="H64" s="13">
        <v>15</v>
      </c>
      <c r="I64" s="13">
        <v>2</v>
      </c>
      <c r="J64" s="13">
        <v>5</v>
      </c>
      <c r="K64" s="13">
        <v>6</v>
      </c>
      <c r="L64" s="13">
        <v>2</v>
      </c>
      <c r="M64" s="13">
        <v>2</v>
      </c>
      <c r="N64" s="40">
        <f t="shared" si="0"/>
        <v>80</v>
      </c>
    </row>
    <row r="65" spans="2:14">
      <c r="B65" s="12">
        <v>42430</v>
      </c>
      <c r="C65" s="13">
        <v>8</v>
      </c>
      <c r="D65" s="13">
        <v>8</v>
      </c>
      <c r="E65" s="13">
        <v>9</v>
      </c>
      <c r="F65" s="13">
        <v>5</v>
      </c>
      <c r="G65" s="13">
        <v>20</v>
      </c>
      <c r="H65" s="13">
        <v>11</v>
      </c>
      <c r="I65" s="13">
        <v>8</v>
      </c>
      <c r="J65" s="13">
        <v>2</v>
      </c>
      <c r="K65" s="13">
        <v>1</v>
      </c>
      <c r="L65" s="13">
        <v>4</v>
      </c>
      <c r="M65" s="13">
        <v>3</v>
      </c>
      <c r="N65" s="40">
        <f t="shared" si="0"/>
        <v>79</v>
      </c>
    </row>
    <row r="66" spans="2:14">
      <c r="B66" s="12">
        <v>42461</v>
      </c>
      <c r="C66" s="13">
        <v>14</v>
      </c>
      <c r="D66" s="13">
        <v>5</v>
      </c>
      <c r="E66" s="13">
        <v>6</v>
      </c>
      <c r="F66" s="13">
        <v>9</v>
      </c>
      <c r="G66" s="13">
        <v>20</v>
      </c>
      <c r="H66" s="13">
        <v>18</v>
      </c>
      <c r="I66" s="13">
        <v>1</v>
      </c>
      <c r="J66" s="13">
        <v>5</v>
      </c>
      <c r="K66" s="13">
        <v>4</v>
      </c>
      <c r="L66" s="13">
        <v>5</v>
      </c>
      <c r="M66" s="14">
        <v>0</v>
      </c>
      <c r="N66" s="40">
        <f t="shared" si="0"/>
        <v>87</v>
      </c>
    </row>
    <row r="67" spans="2:14">
      <c r="B67" s="12">
        <v>42491</v>
      </c>
      <c r="C67" s="13">
        <v>6</v>
      </c>
      <c r="D67" s="13">
        <v>7</v>
      </c>
      <c r="E67" s="13">
        <v>6</v>
      </c>
      <c r="F67" s="13">
        <v>8</v>
      </c>
      <c r="G67" s="13">
        <v>11</v>
      </c>
      <c r="H67" s="13">
        <v>16</v>
      </c>
      <c r="I67" s="13">
        <v>3</v>
      </c>
      <c r="J67" s="13">
        <v>5</v>
      </c>
      <c r="K67" s="13">
        <v>5</v>
      </c>
      <c r="L67" s="13">
        <v>7</v>
      </c>
      <c r="M67" s="13">
        <v>1</v>
      </c>
      <c r="N67" s="40">
        <f t="shared" si="0"/>
        <v>75</v>
      </c>
    </row>
    <row r="68" spans="2:14">
      <c r="B68" s="12">
        <v>42522</v>
      </c>
      <c r="C68" s="13">
        <v>7</v>
      </c>
      <c r="D68" s="13">
        <v>5</v>
      </c>
      <c r="E68" s="13">
        <v>10</v>
      </c>
      <c r="F68" s="13">
        <v>5</v>
      </c>
      <c r="G68" s="13">
        <v>8</v>
      </c>
      <c r="H68" s="13">
        <v>17</v>
      </c>
      <c r="I68" s="13">
        <v>4</v>
      </c>
      <c r="J68" s="13">
        <v>10</v>
      </c>
      <c r="K68" s="13">
        <v>5</v>
      </c>
      <c r="L68" s="13">
        <v>5</v>
      </c>
      <c r="M68" s="13">
        <v>1</v>
      </c>
      <c r="N68" s="40">
        <f t="shared" ref="N68:N86" si="6">SUM(C68:M68)</f>
        <v>77</v>
      </c>
    </row>
    <row r="69" spans="2:14">
      <c r="B69" s="12">
        <v>42552</v>
      </c>
      <c r="C69" s="13">
        <v>9</v>
      </c>
      <c r="D69" s="13">
        <v>7</v>
      </c>
      <c r="E69" s="13">
        <v>14</v>
      </c>
      <c r="F69" s="13">
        <v>8</v>
      </c>
      <c r="G69" s="13">
        <v>14</v>
      </c>
      <c r="H69" s="13">
        <v>8</v>
      </c>
      <c r="I69" s="13">
        <v>5</v>
      </c>
      <c r="J69" s="13">
        <v>4</v>
      </c>
      <c r="K69" s="13">
        <v>5</v>
      </c>
      <c r="L69" s="13">
        <v>5</v>
      </c>
      <c r="M69" s="14">
        <v>0</v>
      </c>
      <c r="N69" s="40">
        <f t="shared" si="6"/>
        <v>79</v>
      </c>
    </row>
    <row r="70" spans="2:14">
      <c r="B70" s="12">
        <v>42583</v>
      </c>
      <c r="C70" s="13">
        <v>9</v>
      </c>
      <c r="D70" s="13">
        <v>7</v>
      </c>
      <c r="E70" s="13">
        <v>9</v>
      </c>
      <c r="F70" s="13">
        <v>10</v>
      </c>
      <c r="G70" s="13">
        <v>15</v>
      </c>
      <c r="H70" s="13">
        <v>14</v>
      </c>
      <c r="I70" s="13">
        <v>8</v>
      </c>
      <c r="J70" s="13">
        <v>8</v>
      </c>
      <c r="K70" s="13">
        <v>7</v>
      </c>
      <c r="L70" s="13">
        <v>3</v>
      </c>
      <c r="M70" s="13">
        <v>1</v>
      </c>
      <c r="N70" s="40">
        <f t="shared" si="6"/>
        <v>91</v>
      </c>
    </row>
    <row r="71" spans="2:14">
      <c r="B71" s="12">
        <v>42614</v>
      </c>
      <c r="C71" s="13">
        <v>13</v>
      </c>
      <c r="D71" s="13">
        <v>11</v>
      </c>
      <c r="E71" s="13">
        <v>6</v>
      </c>
      <c r="F71" s="13">
        <v>6</v>
      </c>
      <c r="G71" s="13">
        <v>15</v>
      </c>
      <c r="H71" s="13">
        <v>8</v>
      </c>
      <c r="I71" s="13">
        <v>2</v>
      </c>
      <c r="J71" s="13">
        <v>5</v>
      </c>
      <c r="K71" s="13">
        <v>4</v>
      </c>
      <c r="L71" s="13">
        <v>2</v>
      </c>
      <c r="M71" s="13">
        <v>2</v>
      </c>
      <c r="N71" s="40">
        <f t="shared" si="6"/>
        <v>74</v>
      </c>
    </row>
    <row r="72" spans="2:14">
      <c r="B72" s="12">
        <v>42644</v>
      </c>
      <c r="C72" s="13">
        <v>7</v>
      </c>
      <c r="D72" s="13">
        <v>5</v>
      </c>
      <c r="E72" s="13">
        <v>6</v>
      </c>
      <c r="F72" s="13">
        <v>11</v>
      </c>
      <c r="G72" s="13">
        <v>15</v>
      </c>
      <c r="H72" s="13">
        <v>16</v>
      </c>
      <c r="I72" s="13">
        <v>2</v>
      </c>
      <c r="J72" s="13">
        <v>10</v>
      </c>
      <c r="K72" s="13">
        <v>3</v>
      </c>
      <c r="L72" s="13">
        <v>3</v>
      </c>
      <c r="M72" s="13">
        <v>1</v>
      </c>
      <c r="N72" s="40">
        <f t="shared" si="6"/>
        <v>79</v>
      </c>
    </row>
    <row r="73" spans="2:14">
      <c r="B73" s="12">
        <v>42675</v>
      </c>
      <c r="C73" s="13">
        <v>16</v>
      </c>
      <c r="D73" s="13">
        <v>9</v>
      </c>
      <c r="E73" s="13">
        <v>12</v>
      </c>
      <c r="F73" s="13">
        <v>9</v>
      </c>
      <c r="G73" s="13">
        <v>14</v>
      </c>
      <c r="H73" s="13">
        <v>16</v>
      </c>
      <c r="I73" s="13">
        <v>8</v>
      </c>
      <c r="J73" s="13">
        <v>5</v>
      </c>
      <c r="K73" s="13">
        <v>1</v>
      </c>
      <c r="L73" s="13">
        <v>1</v>
      </c>
      <c r="M73" s="13">
        <v>1</v>
      </c>
      <c r="N73" s="40">
        <f t="shared" si="6"/>
        <v>92</v>
      </c>
    </row>
    <row r="74" spans="2:14">
      <c r="B74" s="12">
        <v>42705</v>
      </c>
      <c r="C74" s="13">
        <v>7</v>
      </c>
      <c r="D74" s="13">
        <v>10</v>
      </c>
      <c r="E74" s="13">
        <v>15</v>
      </c>
      <c r="F74" s="13">
        <v>7</v>
      </c>
      <c r="G74" s="13">
        <v>12</v>
      </c>
      <c r="H74" s="13">
        <v>10</v>
      </c>
      <c r="I74" s="13">
        <v>1</v>
      </c>
      <c r="J74" s="13">
        <v>7</v>
      </c>
      <c r="K74" s="14">
        <v>0</v>
      </c>
      <c r="L74" s="13">
        <v>7</v>
      </c>
      <c r="M74" s="13">
        <v>3</v>
      </c>
      <c r="N74" s="40">
        <f t="shared" si="6"/>
        <v>79</v>
      </c>
    </row>
    <row r="75" spans="2:14">
      <c r="B75" s="12">
        <v>42736</v>
      </c>
      <c r="C75" s="13">
        <v>12</v>
      </c>
      <c r="D75" s="13">
        <v>6</v>
      </c>
      <c r="E75" s="13">
        <v>5</v>
      </c>
      <c r="F75" s="13">
        <v>7</v>
      </c>
      <c r="G75" s="13">
        <v>12</v>
      </c>
      <c r="H75" s="13">
        <v>7</v>
      </c>
      <c r="I75" s="13">
        <v>3</v>
      </c>
      <c r="J75" s="13">
        <v>7</v>
      </c>
      <c r="K75" s="14">
        <v>0</v>
      </c>
      <c r="L75" s="13">
        <v>5</v>
      </c>
      <c r="M75" s="14">
        <v>0</v>
      </c>
      <c r="N75" s="40">
        <f t="shared" si="6"/>
        <v>64</v>
      </c>
    </row>
    <row r="76" spans="2:14">
      <c r="B76" s="12">
        <v>42767</v>
      </c>
      <c r="C76" s="13">
        <v>5</v>
      </c>
      <c r="D76" s="13">
        <v>4</v>
      </c>
      <c r="E76" s="13">
        <v>10</v>
      </c>
      <c r="F76" s="13">
        <v>5</v>
      </c>
      <c r="G76" s="13">
        <v>16</v>
      </c>
      <c r="H76" s="13">
        <v>9</v>
      </c>
      <c r="I76" s="14">
        <v>0</v>
      </c>
      <c r="J76" s="13">
        <v>3</v>
      </c>
      <c r="K76" s="13">
        <v>2</v>
      </c>
      <c r="L76" s="13">
        <v>6</v>
      </c>
      <c r="M76" s="13">
        <v>4</v>
      </c>
      <c r="N76" s="40">
        <f t="shared" si="6"/>
        <v>64</v>
      </c>
    </row>
    <row r="77" spans="2:14">
      <c r="B77" s="12">
        <v>42795</v>
      </c>
      <c r="C77" s="13">
        <v>6</v>
      </c>
      <c r="D77" s="13">
        <v>6</v>
      </c>
      <c r="E77" s="13">
        <v>5</v>
      </c>
      <c r="F77" s="13">
        <v>6</v>
      </c>
      <c r="G77" s="13">
        <v>12</v>
      </c>
      <c r="H77" s="13">
        <v>13</v>
      </c>
      <c r="I77" s="13">
        <v>3</v>
      </c>
      <c r="J77" s="13">
        <v>9</v>
      </c>
      <c r="K77" s="13">
        <v>1</v>
      </c>
      <c r="L77" s="13">
        <v>8</v>
      </c>
      <c r="M77" s="13">
        <v>1</v>
      </c>
      <c r="N77" s="40">
        <f t="shared" si="6"/>
        <v>70</v>
      </c>
    </row>
    <row r="78" spans="2:14">
      <c r="B78" s="12">
        <v>42826</v>
      </c>
      <c r="C78" s="13">
        <v>15</v>
      </c>
      <c r="D78" s="13">
        <v>7</v>
      </c>
      <c r="E78" s="13">
        <v>7</v>
      </c>
      <c r="F78" s="13">
        <v>7</v>
      </c>
      <c r="G78" s="13">
        <v>11</v>
      </c>
      <c r="H78" s="13">
        <v>14</v>
      </c>
      <c r="I78" s="13">
        <v>5</v>
      </c>
      <c r="J78" s="13">
        <v>5</v>
      </c>
      <c r="K78" s="13">
        <v>5</v>
      </c>
      <c r="L78" s="13">
        <v>2</v>
      </c>
      <c r="M78" s="13">
        <v>3</v>
      </c>
      <c r="N78" s="40">
        <f t="shared" si="6"/>
        <v>81</v>
      </c>
    </row>
    <row r="79" spans="2:14">
      <c r="B79" s="12">
        <v>42856</v>
      </c>
      <c r="C79" s="13">
        <v>5</v>
      </c>
      <c r="D79" s="13">
        <v>3</v>
      </c>
      <c r="E79" s="13">
        <v>10</v>
      </c>
      <c r="F79" s="13">
        <v>7</v>
      </c>
      <c r="G79" s="13">
        <v>17</v>
      </c>
      <c r="H79" s="13">
        <v>9</v>
      </c>
      <c r="I79" s="13">
        <v>3</v>
      </c>
      <c r="J79" s="13">
        <v>8</v>
      </c>
      <c r="K79" s="13">
        <v>5</v>
      </c>
      <c r="L79" s="13">
        <v>1</v>
      </c>
      <c r="M79" s="13">
        <v>2</v>
      </c>
      <c r="N79" s="40">
        <f t="shared" si="6"/>
        <v>70</v>
      </c>
    </row>
    <row r="80" spans="2:14">
      <c r="B80" s="12">
        <v>42887</v>
      </c>
      <c r="C80" s="13">
        <v>7</v>
      </c>
      <c r="D80" s="13">
        <v>4</v>
      </c>
      <c r="E80" s="13">
        <v>9</v>
      </c>
      <c r="F80" s="13">
        <v>11</v>
      </c>
      <c r="G80" s="13">
        <v>14</v>
      </c>
      <c r="H80" s="13">
        <v>12</v>
      </c>
      <c r="I80" s="13">
        <v>1</v>
      </c>
      <c r="J80" s="13">
        <v>3</v>
      </c>
      <c r="K80" s="13">
        <v>3</v>
      </c>
      <c r="L80" s="13">
        <v>3</v>
      </c>
      <c r="M80" s="13">
        <v>1</v>
      </c>
      <c r="N80" s="40">
        <f t="shared" si="6"/>
        <v>68</v>
      </c>
    </row>
    <row r="81" spans="2:14">
      <c r="B81" s="12">
        <v>42917</v>
      </c>
      <c r="C81" s="13">
        <v>8</v>
      </c>
      <c r="D81" s="13">
        <v>12</v>
      </c>
      <c r="E81" s="13">
        <v>10</v>
      </c>
      <c r="F81" s="13">
        <v>8</v>
      </c>
      <c r="G81" s="13">
        <v>10</v>
      </c>
      <c r="H81" s="13">
        <v>14</v>
      </c>
      <c r="I81" s="13">
        <v>2</v>
      </c>
      <c r="J81" s="13">
        <v>6</v>
      </c>
      <c r="K81" s="13">
        <v>1</v>
      </c>
      <c r="L81" s="13">
        <v>6</v>
      </c>
      <c r="M81" s="13">
        <v>2</v>
      </c>
      <c r="N81" s="40">
        <f t="shared" si="6"/>
        <v>79</v>
      </c>
    </row>
    <row r="82" spans="2:14">
      <c r="B82" s="12">
        <v>42948</v>
      </c>
      <c r="C82" s="13">
        <v>10</v>
      </c>
      <c r="D82" s="13">
        <v>2</v>
      </c>
      <c r="E82" s="13">
        <v>13</v>
      </c>
      <c r="F82" s="13">
        <v>5</v>
      </c>
      <c r="G82" s="13">
        <v>18</v>
      </c>
      <c r="H82" s="13">
        <v>15</v>
      </c>
      <c r="I82" s="13">
        <v>6</v>
      </c>
      <c r="J82" s="13">
        <v>4</v>
      </c>
      <c r="K82" s="13">
        <v>3</v>
      </c>
      <c r="L82" s="13">
        <v>7</v>
      </c>
      <c r="M82" s="13">
        <v>1</v>
      </c>
      <c r="N82" s="40">
        <f t="shared" si="6"/>
        <v>84</v>
      </c>
    </row>
    <row r="83" spans="2:14">
      <c r="B83" s="12">
        <v>42979</v>
      </c>
      <c r="C83" s="13">
        <v>12</v>
      </c>
      <c r="D83" s="13">
        <v>5</v>
      </c>
      <c r="E83" s="13">
        <v>11</v>
      </c>
      <c r="F83" s="13">
        <v>11</v>
      </c>
      <c r="G83" s="13">
        <v>14</v>
      </c>
      <c r="H83" s="13">
        <v>9</v>
      </c>
      <c r="I83" s="13">
        <v>2</v>
      </c>
      <c r="J83" s="13">
        <v>7</v>
      </c>
      <c r="K83" s="13">
        <v>2</v>
      </c>
      <c r="L83" s="13">
        <v>2</v>
      </c>
      <c r="M83" s="13">
        <v>1</v>
      </c>
      <c r="N83" s="40">
        <f t="shared" si="6"/>
        <v>76</v>
      </c>
    </row>
    <row r="84" spans="2:14">
      <c r="B84" s="12">
        <v>43009</v>
      </c>
      <c r="C84" s="13">
        <v>10</v>
      </c>
      <c r="D84" s="13">
        <v>6</v>
      </c>
      <c r="E84" s="13">
        <v>10</v>
      </c>
      <c r="F84" s="13">
        <v>7</v>
      </c>
      <c r="G84" s="13">
        <v>12</v>
      </c>
      <c r="H84" s="13">
        <v>15</v>
      </c>
      <c r="I84" s="13">
        <v>1</v>
      </c>
      <c r="J84" s="13">
        <v>11</v>
      </c>
      <c r="K84" s="13">
        <v>7</v>
      </c>
      <c r="L84" s="13">
        <v>2</v>
      </c>
      <c r="M84" s="14">
        <v>0</v>
      </c>
      <c r="N84" s="40">
        <f t="shared" si="6"/>
        <v>81</v>
      </c>
    </row>
    <row r="85" spans="2:14">
      <c r="B85" s="12">
        <v>43040</v>
      </c>
      <c r="C85" s="13">
        <v>10</v>
      </c>
      <c r="D85" s="13">
        <v>4</v>
      </c>
      <c r="E85" s="13">
        <v>10</v>
      </c>
      <c r="F85" s="13">
        <v>7</v>
      </c>
      <c r="G85" s="13">
        <v>15</v>
      </c>
      <c r="H85" s="13">
        <v>13</v>
      </c>
      <c r="I85" s="13">
        <v>5</v>
      </c>
      <c r="J85" s="13">
        <v>4</v>
      </c>
      <c r="K85" s="13">
        <v>4</v>
      </c>
      <c r="L85" s="13">
        <v>1</v>
      </c>
      <c r="M85" s="13">
        <v>1</v>
      </c>
      <c r="N85" s="40">
        <f t="shared" si="6"/>
        <v>74</v>
      </c>
    </row>
    <row r="86" spans="2:14">
      <c r="B86" s="12">
        <v>43070</v>
      </c>
      <c r="C86" s="13">
        <v>14</v>
      </c>
      <c r="D86" s="13">
        <v>6</v>
      </c>
      <c r="E86" s="13">
        <v>11</v>
      </c>
      <c r="F86" s="13">
        <v>13</v>
      </c>
      <c r="G86" s="13">
        <v>20</v>
      </c>
      <c r="H86" s="13">
        <v>7</v>
      </c>
      <c r="I86" s="13">
        <v>3</v>
      </c>
      <c r="J86" s="13">
        <v>9</v>
      </c>
      <c r="K86" s="13">
        <v>3</v>
      </c>
      <c r="L86" s="13">
        <v>4</v>
      </c>
      <c r="M86" s="13">
        <v>2</v>
      </c>
      <c r="N86" s="40">
        <f t="shared" si="6"/>
        <v>92</v>
      </c>
    </row>
    <row r="87" spans="2:14">
      <c r="M87" t="s">
        <v>67</v>
      </c>
      <c r="N87" s="16">
        <f>AVERAGE(N3:N86)</f>
        <v>94.547619047619051</v>
      </c>
    </row>
  </sheetData>
  <mergeCells count="4">
    <mergeCell ref="P1:P2"/>
    <mergeCell ref="Q1:AA1"/>
    <mergeCell ref="B1:B2"/>
    <mergeCell ref="C1:M1"/>
  </mergeCells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DAC8-2FCD-4487-B0BD-BBD5202B0D70}">
  <dimension ref="A1:N87"/>
  <sheetViews>
    <sheetView topLeftCell="F1" workbookViewId="0">
      <selection activeCell="N2" sqref="N2"/>
    </sheetView>
  </sheetViews>
  <sheetFormatPr defaultRowHeight="16.5"/>
  <cols>
    <col min="11" max="11" width="9" customWidth="1"/>
    <col min="12" max="12" width="12.875" bestFit="1" customWidth="1"/>
    <col min="13" max="13" width="11.25" customWidth="1"/>
    <col min="14" max="14" width="11.5" customWidth="1"/>
  </cols>
  <sheetData>
    <row r="1" spans="1:14">
      <c r="A1" s="41" t="s">
        <v>90</v>
      </c>
      <c r="B1" s="41"/>
      <c r="C1" s="41"/>
      <c r="D1" s="41"/>
      <c r="E1" s="41"/>
      <c r="F1" s="41" t="s">
        <v>67</v>
      </c>
      <c r="G1" s="41"/>
      <c r="H1" s="41"/>
      <c r="I1" s="41"/>
      <c r="J1" s="41"/>
      <c r="K1" s="41" t="s">
        <v>96</v>
      </c>
      <c r="L1" s="41"/>
      <c r="M1" s="41" t="s">
        <v>101</v>
      </c>
      <c r="N1" s="41"/>
    </row>
    <row r="2" spans="1:14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97</v>
      </c>
      <c r="L2">
        <f>(J5/2+I5/2)^0.5</f>
        <v>9.240037408827229</v>
      </c>
      <c r="M2" t="s">
        <v>102</v>
      </c>
      <c r="N2">
        <f>J5/G5</f>
        <v>2.1479674796747954</v>
      </c>
    </row>
    <row r="3" spans="1:14">
      <c r="A3">
        <v>355</v>
      </c>
      <c r="B3">
        <v>351</v>
      </c>
      <c r="C3">
        <v>356</v>
      </c>
      <c r="D3">
        <v>352</v>
      </c>
      <c r="E3">
        <v>359</v>
      </c>
      <c r="F3">
        <f>AVERAGE(A3:A87)</f>
        <v>349.7176470588235</v>
      </c>
      <c r="G3">
        <f t="shared" ref="G3:J3" si="0">AVERAGE(B3:B87)</f>
        <v>349.64705882352939</v>
      </c>
      <c r="H3">
        <f t="shared" si="0"/>
        <v>356.18823529411765</v>
      </c>
      <c r="I3">
        <f t="shared" si="0"/>
        <v>348.74117647058824</v>
      </c>
      <c r="J3">
        <f t="shared" si="0"/>
        <v>357.09411764705885</v>
      </c>
      <c r="K3" t="s">
        <v>98</v>
      </c>
      <c r="L3">
        <f>(J3-I3)/(L2*(1/84+1/84)^0.5)</f>
        <v>5.8585526701488373</v>
      </c>
      <c r="M3" t="s">
        <v>103</v>
      </c>
      <c r="N3">
        <f>_xlfn.F.INV.RT(0.02,84,84)</f>
        <v>1.570492537843083</v>
      </c>
    </row>
    <row r="4" spans="1:14">
      <c r="A4">
        <v>353</v>
      </c>
      <c r="B4">
        <v>351</v>
      </c>
      <c r="C4">
        <v>359</v>
      </c>
      <c r="D4">
        <v>352</v>
      </c>
      <c r="E4">
        <v>354</v>
      </c>
      <c r="F4" s="41" t="s">
        <v>68</v>
      </c>
      <c r="G4" s="41"/>
      <c r="H4" s="41"/>
      <c r="I4" s="41"/>
      <c r="J4" s="41"/>
      <c r="K4" t="s">
        <v>99</v>
      </c>
      <c r="L4">
        <f>_xlfn.T.INV(0.99,168)</f>
        <v>2.3487488239602206</v>
      </c>
      <c r="M4" t="s">
        <v>78</v>
      </c>
      <c r="N4">
        <f>_xlfn.F.DIST.RT(N2,84,84)</f>
        <v>2.7822273597721857E-4</v>
      </c>
    </row>
    <row r="5" spans="1:14">
      <c r="A5">
        <v>351</v>
      </c>
      <c r="B5">
        <v>351</v>
      </c>
      <c r="C5">
        <v>357</v>
      </c>
      <c r="D5">
        <v>352</v>
      </c>
      <c r="E5">
        <v>357</v>
      </c>
      <c r="F5">
        <f>_xlfn.VAR.S(A3:A87)</f>
        <v>23.752661064425723</v>
      </c>
      <c r="G5">
        <f t="shared" ref="G5:J5" si="1">_xlfn.VAR.S(B3:B87)</f>
        <v>15.159663865546239</v>
      </c>
      <c r="H5">
        <f t="shared" si="1"/>
        <v>142.13081232492991</v>
      </c>
      <c r="I5">
        <f t="shared" si="1"/>
        <v>138.19411764705876</v>
      </c>
      <c r="J5">
        <f t="shared" si="1"/>
        <v>32.562464985994424</v>
      </c>
      <c r="K5" t="s">
        <v>100</v>
      </c>
      <c r="L5">
        <f>_xlfn.T.INV(0.01,168)</f>
        <v>-2.3487488239602206</v>
      </c>
    </row>
    <row r="6" spans="1:14">
      <c r="A6">
        <v>353</v>
      </c>
      <c r="B6">
        <v>357</v>
      </c>
      <c r="C6">
        <v>362</v>
      </c>
      <c r="D6">
        <v>355</v>
      </c>
      <c r="E6">
        <v>361</v>
      </c>
      <c r="F6" s="41" t="s">
        <v>8</v>
      </c>
      <c r="G6" s="41"/>
      <c r="H6" s="41"/>
      <c r="I6" s="41"/>
      <c r="J6" s="41"/>
      <c r="K6" t="s">
        <v>78</v>
      </c>
      <c r="L6">
        <f>(1-_xlfn.T.DIST(L3,168,1))*2</f>
        <v>2.4010106125516018E-8</v>
      </c>
    </row>
    <row r="7" spans="1:14">
      <c r="A7">
        <v>350</v>
      </c>
      <c r="B7">
        <v>353</v>
      </c>
      <c r="C7">
        <v>356</v>
      </c>
      <c r="D7">
        <v>353</v>
      </c>
      <c r="E7">
        <v>357</v>
      </c>
      <c r="F7">
        <f>F5^0.5</f>
        <v>4.8736701842067367</v>
      </c>
      <c r="G7">
        <f t="shared" ref="G7:J7" si="2">G5^0.5</f>
        <v>3.8935413013792779</v>
      </c>
      <c r="H7">
        <f t="shared" si="2"/>
        <v>11.921862787539954</v>
      </c>
      <c r="I7">
        <f t="shared" si="2"/>
        <v>11.755599416748547</v>
      </c>
      <c r="J7">
        <f t="shared" si="2"/>
        <v>5.7063530372729678</v>
      </c>
    </row>
    <row r="8" spans="1:14">
      <c r="A8">
        <v>351</v>
      </c>
      <c r="B8">
        <v>351</v>
      </c>
      <c r="C8">
        <v>353</v>
      </c>
      <c r="D8">
        <v>351</v>
      </c>
      <c r="E8">
        <v>356</v>
      </c>
    </row>
    <row r="9" spans="1:14">
      <c r="A9">
        <v>351</v>
      </c>
      <c r="B9">
        <v>352</v>
      </c>
      <c r="C9">
        <v>360</v>
      </c>
      <c r="D9">
        <v>353</v>
      </c>
      <c r="E9">
        <v>362</v>
      </c>
    </row>
    <row r="10" spans="1:14">
      <c r="A10">
        <v>352</v>
      </c>
      <c r="B10">
        <v>350</v>
      </c>
      <c r="C10">
        <v>357</v>
      </c>
      <c r="D10">
        <v>350</v>
      </c>
      <c r="E10">
        <v>357</v>
      </c>
    </row>
    <row r="11" spans="1:14">
      <c r="A11">
        <v>353</v>
      </c>
      <c r="B11">
        <v>353</v>
      </c>
      <c r="C11">
        <v>359</v>
      </c>
      <c r="D11">
        <v>352</v>
      </c>
      <c r="E11">
        <v>358</v>
      </c>
    </row>
    <row r="12" spans="1:14">
      <c r="A12">
        <v>353</v>
      </c>
      <c r="B12">
        <v>353</v>
      </c>
      <c r="C12">
        <v>355</v>
      </c>
      <c r="D12">
        <v>351</v>
      </c>
      <c r="E12">
        <v>360</v>
      </c>
    </row>
    <row r="13" spans="1:14">
      <c r="A13">
        <v>353</v>
      </c>
      <c r="B13">
        <v>353</v>
      </c>
      <c r="C13">
        <v>354</v>
      </c>
      <c r="D13">
        <v>351</v>
      </c>
      <c r="E13">
        <v>359</v>
      </c>
    </row>
    <row r="14" spans="1:14">
      <c r="A14">
        <v>349</v>
      </c>
      <c r="B14">
        <v>350</v>
      </c>
      <c r="C14">
        <v>359</v>
      </c>
      <c r="D14">
        <v>352</v>
      </c>
      <c r="E14">
        <v>356</v>
      </c>
    </row>
    <row r="15" spans="1:14">
      <c r="A15">
        <v>350</v>
      </c>
      <c r="B15">
        <v>351</v>
      </c>
      <c r="C15">
        <v>361</v>
      </c>
      <c r="D15">
        <v>350</v>
      </c>
      <c r="E15">
        <v>359</v>
      </c>
    </row>
    <row r="16" spans="1:14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6">
    <mergeCell ref="M1:N1"/>
    <mergeCell ref="A1:E1"/>
    <mergeCell ref="F1:J1"/>
    <mergeCell ref="F4:J4"/>
    <mergeCell ref="F6:J6"/>
    <mergeCell ref="K1:L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F6ED-10D7-4048-BC89-BF55826E62F6}">
  <dimension ref="A1:AA86"/>
  <sheetViews>
    <sheetView topLeftCell="B10" workbookViewId="0">
      <selection activeCell="I31" sqref="I31"/>
    </sheetView>
  </sheetViews>
  <sheetFormatPr defaultRowHeight="16.5"/>
  <cols>
    <col min="2" max="2" width="17.125" customWidth="1"/>
    <col min="3" max="3" width="7.625" customWidth="1"/>
    <col min="4" max="4" width="11.125" customWidth="1"/>
    <col min="6" max="6" width="10.5" customWidth="1"/>
    <col min="7" max="7" width="14.625" customWidth="1"/>
    <col min="9" max="9" width="16" customWidth="1"/>
    <col min="13" max="13" width="12.25" hidden="1" customWidth="1"/>
    <col min="18" max="18" width="18" hidden="1" customWidth="1"/>
    <col min="19" max="19" width="0" hidden="1" customWidth="1"/>
    <col min="24" max="24" width="9" customWidth="1"/>
  </cols>
  <sheetData>
    <row r="1" spans="1:25">
      <c r="A1" t="s">
        <v>94</v>
      </c>
      <c r="B1" t="s">
        <v>105</v>
      </c>
      <c r="C1">
        <f>MIN(A2:A86)</f>
        <v>252</v>
      </c>
      <c r="E1" t="s">
        <v>104</v>
      </c>
      <c r="F1" t="s">
        <v>121</v>
      </c>
      <c r="G1" t="s">
        <v>122</v>
      </c>
      <c r="H1" t="s">
        <v>61</v>
      </c>
      <c r="I1" t="s">
        <v>124</v>
      </c>
      <c r="K1" t="s">
        <v>113</v>
      </c>
      <c r="L1" t="s">
        <v>120</v>
      </c>
      <c r="M1" t="s">
        <v>119</v>
      </c>
      <c r="R1" t="s">
        <v>114</v>
      </c>
      <c r="S1">
        <f>AVERAGE(A2:A17,A19:A48,A50:A86)</f>
        <v>349.66265060240966</v>
      </c>
      <c r="T1" t="str" cm="1">
        <f t="array" ref="T1:Y2">TRANSPOSE(B5:C10)</f>
        <v>average</v>
      </c>
      <c r="U1" t="str">
        <v>sample variance</v>
      </c>
      <c r="V1" t="str">
        <v>standard error</v>
      </c>
      <c r="W1" t="str">
        <v>estimated α</v>
      </c>
      <c r="X1" t="str">
        <v>estimated β</v>
      </c>
      <c r="Y1" t="str">
        <v>k</v>
      </c>
    </row>
    <row r="2" spans="1:25">
      <c r="A2">
        <v>352</v>
      </c>
      <c r="B2" t="s">
        <v>106</v>
      </c>
      <c r="C2">
        <f>MAX(A2:A86)</f>
        <v>369</v>
      </c>
      <c r="D2" t="s">
        <v>228</v>
      </c>
      <c r="E2" t="s">
        <v>109</v>
      </c>
      <c r="F2">
        <f>COUNTIF(A2:A86,"&lt;334")</f>
        <v>1</v>
      </c>
      <c r="G2">
        <f>_xlfn.GAMMA.DIST(333,C8,C9,1)</f>
        <v>8.8756597407847318E-2</v>
      </c>
      <c r="H2">
        <f>85*G2</f>
        <v>7.5443107796670219</v>
      </c>
      <c r="I2">
        <f>(F2-H2)^2/H2</f>
        <v>5.6768609925632267</v>
      </c>
      <c r="K2">
        <f>100*(_xlfn.RANK.EQ(A2,$A$2:$A$86,1)-0.5)/85</f>
        <v>65.294117647058826</v>
      </c>
      <c r="L2">
        <f>_xlfn.GAMMA.INV(K2/100,$C$8,$C$9)</f>
        <v>353.25168979037204</v>
      </c>
      <c r="M2">
        <f t="shared" ref="M2:M33" si="0">_xlfn.GAMMA.INV(K2/100,$S$4,$S$5)</f>
        <v>351.47161240054709</v>
      </c>
      <c r="R2" t="s">
        <v>115</v>
      </c>
      <c r="S2">
        <f>_xlfn.VAR.S(A2:A17,A19:A48,A50:A86)</f>
        <v>21.567734352042319</v>
      </c>
      <c r="T2">
        <v>348.74117647058824</v>
      </c>
      <c r="U2">
        <v>138.19411764705876</v>
      </c>
      <c r="V2">
        <v>11.755599416748547</v>
      </c>
      <c r="W2">
        <v>880.06935632891941</v>
      </c>
      <c r="X2">
        <v>0.39626556016597492</v>
      </c>
      <c r="Y2">
        <v>27</v>
      </c>
    </row>
    <row r="3" spans="1:25">
      <c r="A3">
        <v>352</v>
      </c>
      <c r="B3" t="s">
        <v>107</v>
      </c>
      <c r="C3">
        <f>SMALL(A2:A86,2)</f>
        <v>334</v>
      </c>
      <c r="D3" t="s">
        <v>202</v>
      </c>
      <c r="E3">
        <v>334</v>
      </c>
      <c r="F3">
        <f>COUNTIF($A$2:$A$86,"="&amp;E3)</f>
        <v>1</v>
      </c>
      <c r="G3">
        <f>_xlfn.GAMMA.DIST(E3,$C$8,$C$9,1)-_xlfn.GAMMA.DIST(E3-1,$C$8,$C$9,1)</f>
        <v>1.4931842490207736E-2</v>
      </c>
      <c r="H3">
        <f t="shared" ref="H3:H28" si="1">85*G3</f>
        <v>1.2692066116676575</v>
      </c>
      <c r="I3">
        <f t="shared" ref="I3:I28" si="2">(F3-H3)^2/H3</f>
        <v>5.7100395711268029E-2</v>
      </c>
      <c r="K3">
        <f t="shared" ref="K3:K66" si="3">100*(_xlfn.RANK.EQ(A3,$A$2:$A$86,1)-0.5)/85</f>
        <v>65.294117647058826</v>
      </c>
      <c r="L3">
        <f t="shared" ref="L3:L66" si="4">_xlfn.GAMMA.INV(K3/100,$C$8,$C$9)</f>
        <v>353.25168979037204</v>
      </c>
      <c r="M3">
        <f t="shared" si="0"/>
        <v>351.47161240054709</v>
      </c>
      <c r="R3" t="s">
        <v>116</v>
      </c>
      <c r="S3">
        <f>S2^0.5</f>
        <v>4.6441074871327341</v>
      </c>
    </row>
    <row r="4" spans="1:25">
      <c r="A4">
        <v>352</v>
      </c>
      <c r="B4" t="s">
        <v>108</v>
      </c>
      <c r="C4">
        <f>LARGE(A2:A86,2)</f>
        <v>358</v>
      </c>
      <c r="D4" t="s">
        <v>203</v>
      </c>
      <c r="E4">
        <v>335</v>
      </c>
      <c r="F4">
        <f t="shared" ref="F4:F27" si="5">COUNTIF($A$2:$A$86,"="&amp;E4)</f>
        <v>1</v>
      </c>
      <c r="G4">
        <f t="shared" ref="G4:G27" si="6">_xlfn.GAMMA.DIST(E4,$C$8,$C$9,1)-_xlfn.GAMMA.DIST(E4-1,$C$8,$C$9,1)</f>
        <v>1.6640055506315407E-2</v>
      </c>
      <c r="H4">
        <f t="shared" si="1"/>
        <v>1.4144047180368096</v>
      </c>
      <c r="I4">
        <f t="shared" si="2"/>
        <v>0.12141593430876718</v>
      </c>
      <c r="K4">
        <f t="shared" si="3"/>
        <v>65.294117647058826</v>
      </c>
      <c r="L4">
        <f t="shared" si="4"/>
        <v>353.25168979037204</v>
      </c>
      <c r="M4">
        <f t="shared" si="0"/>
        <v>351.47161240054709</v>
      </c>
      <c r="R4" t="s">
        <v>117</v>
      </c>
      <c r="S4">
        <f>S1^2/S2</f>
        <v>5668.8369408966337</v>
      </c>
    </row>
    <row r="5" spans="1:25">
      <c r="A5">
        <v>355</v>
      </c>
      <c r="B5" t="s">
        <v>67</v>
      </c>
      <c r="C5">
        <f>AVERAGE(A2:A86)</f>
        <v>348.74117647058824</v>
      </c>
      <c r="D5" t="s">
        <v>204</v>
      </c>
      <c r="E5">
        <v>336</v>
      </c>
      <c r="F5">
        <f t="shared" si="5"/>
        <v>0</v>
      </c>
      <c r="G5">
        <f t="shared" si="6"/>
        <v>1.8398672090730761E-2</v>
      </c>
      <c r="H5">
        <f t="shared" si="1"/>
        <v>1.5638871277121147</v>
      </c>
      <c r="I5">
        <f t="shared" si="2"/>
        <v>1.5638871277121147</v>
      </c>
      <c r="K5">
        <f t="shared" si="3"/>
        <v>86.470588235294116</v>
      </c>
      <c r="L5">
        <f t="shared" si="4"/>
        <v>361.71829720993651</v>
      </c>
      <c r="M5">
        <f t="shared" si="0"/>
        <v>354.78335531538568</v>
      </c>
      <c r="R5" t="s">
        <v>118</v>
      </c>
      <c r="S5">
        <f>S2/S1</f>
        <v>6.1681550245314326E-2</v>
      </c>
    </row>
    <row r="6" spans="1:25">
      <c r="A6">
        <v>353</v>
      </c>
      <c r="B6" t="s">
        <v>68</v>
      </c>
      <c r="C6">
        <f>_xlfn.VAR.S(A2:A86)</f>
        <v>138.19411764705876</v>
      </c>
      <c r="D6" t="s">
        <v>205</v>
      </c>
      <c r="E6">
        <v>337</v>
      </c>
      <c r="F6">
        <f t="shared" si="5"/>
        <v>0</v>
      </c>
      <c r="G6">
        <f t="shared" si="6"/>
        <v>2.0185001917567696E-2</v>
      </c>
      <c r="H6">
        <f t="shared" si="1"/>
        <v>1.7157251629932542</v>
      </c>
      <c r="I6">
        <f t="shared" si="2"/>
        <v>1.7157251629932542</v>
      </c>
      <c r="K6">
        <f t="shared" si="3"/>
        <v>75.882352941176464</v>
      </c>
      <c r="L6">
        <f t="shared" si="4"/>
        <v>356.93117050452503</v>
      </c>
      <c r="M6">
        <f t="shared" si="0"/>
        <v>352.9147268725543</v>
      </c>
    </row>
    <row r="7" spans="1:25">
      <c r="A7">
        <v>351</v>
      </c>
      <c r="B7" t="s">
        <v>8</v>
      </c>
      <c r="C7">
        <f>C6^0.5</f>
        <v>11.755599416748547</v>
      </c>
      <c r="D7" t="s">
        <v>206</v>
      </c>
      <c r="E7">
        <v>338</v>
      </c>
      <c r="F7">
        <f t="shared" si="5"/>
        <v>0</v>
      </c>
      <c r="G7">
        <f t="shared" si="6"/>
        <v>2.1973629960149371E-2</v>
      </c>
      <c r="H7">
        <f t="shared" si="1"/>
        <v>1.8677585466126965</v>
      </c>
      <c r="I7">
        <f t="shared" si="2"/>
        <v>1.8677585466126965</v>
      </c>
      <c r="K7">
        <f t="shared" si="3"/>
        <v>51.176470588235297</v>
      </c>
      <c r="L7">
        <f t="shared" si="4"/>
        <v>348.95585503195002</v>
      </c>
      <c r="M7">
        <f t="shared" si="0"/>
        <v>349.77907688732881</v>
      </c>
    </row>
    <row r="8" spans="1:25">
      <c r="A8">
        <v>353</v>
      </c>
      <c r="B8" t="s">
        <v>111</v>
      </c>
      <c r="C8">
        <f>C5^2/C6</f>
        <v>880.06935632891941</v>
      </c>
      <c r="D8" t="s">
        <v>207</v>
      </c>
      <c r="E8">
        <v>339</v>
      </c>
      <c r="F8">
        <f t="shared" si="5"/>
        <v>0</v>
      </c>
      <c r="G8">
        <f t="shared" si="6"/>
        <v>2.3736977880801063E-2</v>
      </c>
      <c r="H8">
        <f t="shared" si="1"/>
        <v>2.0176431198680902</v>
      </c>
      <c r="I8">
        <f t="shared" si="2"/>
        <v>2.0176431198680902</v>
      </c>
      <c r="K8">
        <f t="shared" si="3"/>
        <v>75.882352941176464</v>
      </c>
      <c r="L8">
        <f t="shared" si="4"/>
        <v>356.93117050452503</v>
      </c>
      <c r="M8">
        <f t="shared" si="0"/>
        <v>352.9147268725543</v>
      </c>
    </row>
    <row r="9" spans="1:25">
      <c r="A9">
        <v>350</v>
      </c>
      <c r="B9" t="s">
        <v>112</v>
      </c>
      <c r="C9">
        <f>C6/C5</f>
        <v>0.39626556016597492</v>
      </c>
      <c r="D9" t="s">
        <v>208</v>
      </c>
      <c r="E9">
        <v>340</v>
      </c>
      <c r="F9">
        <f t="shared" si="5"/>
        <v>1</v>
      </c>
      <c r="G9">
        <f t="shared" si="6"/>
        <v>2.5445991945273E-2</v>
      </c>
      <c r="H9">
        <f t="shared" si="1"/>
        <v>2.1629093153482049</v>
      </c>
      <c r="I9">
        <f t="shared" si="2"/>
        <v>0.62524954982031489</v>
      </c>
      <c r="K9">
        <f t="shared" si="3"/>
        <v>44.117647058823529</v>
      </c>
      <c r="L9">
        <f t="shared" si="4"/>
        <v>346.87269553472817</v>
      </c>
      <c r="M9">
        <f t="shared" si="0"/>
        <v>348.95529603354316</v>
      </c>
    </row>
    <row r="10" spans="1:25">
      <c r="A10">
        <v>352</v>
      </c>
      <c r="B10" t="s">
        <v>65</v>
      </c>
      <c r="C10">
        <v>27</v>
      </c>
      <c r="D10" t="s">
        <v>209</v>
      </c>
      <c r="E10">
        <v>341</v>
      </c>
      <c r="F10">
        <f t="shared" si="5"/>
        <v>1</v>
      </c>
      <c r="G10">
        <f t="shared" si="6"/>
        <v>2.7070934537759661E-2</v>
      </c>
      <c r="H10">
        <f t="shared" si="1"/>
        <v>2.3010294357095713</v>
      </c>
      <c r="I10">
        <f t="shared" si="2"/>
        <v>0.73561753114244388</v>
      </c>
      <c r="K10">
        <f t="shared" si="3"/>
        <v>65.294117647058826</v>
      </c>
      <c r="L10">
        <f t="shared" si="4"/>
        <v>353.25168979037204</v>
      </c>
      <c r="M10">
        <f t="shared" si="0"/>
        <v>351.47161240054709</v>
      </c>
    </row>
    <row r="11" spans="1:25">
      <c r="A11">
        <v>351</v>
      </c>
      <c r="D11" t="s">
        <v>210</v>
      </c>
      <c r="E11">
        <v>342</v>
      </c>
      <c r="F11">
        <f t="shared" si="5"/>
        <v>0</v>
      </c>
      <c r="G11">
        <f t="shared" si="6"/>
        <v>2.8582249397605675E-2</v>
      </c>
      <c r="H11">
        <f t="shared" si="1"/>
        <v>2.4294911987964825</v>
      </c>
      <c r="I11">
        <f t="shared" si="2"/>
        <v>2.4294911987964825</v>
      </c>
      <c r="K11">
        <f t="shared" si="3"/>
        <v>51.176470588235297</v>
      </c>
      <c r="L11">
        <f t="shared" si="4"/>
        <v>348.95585503195002</v>
      </c>
      <c r="M11">
        <f t="shared" si="0"/>
        <v>349.77907688732881</v>
      </c>
    </row>
    <row r="12" spans="1:25">
      <c r="A12">
        <v>351</v>
      </c>
      <c r="D12" t="s">
        <v>211</v>
      </c>
      <c r="E12">
        <v>343</v>
      </c>
      <c r="F12">
        <f t="shared" si="5"/>
        <v>2</v>
      </c>
      <c r="G12">
        <f t="shared" si="6"/>
        <v>2.9951465174893332E-2</v>
      </c>
      <c r="H12">
        <f t="shared" si="1"/>
        <v>2.5458745398659333</v>
      </c>
      <c r="I12">
        <f t="shared" si="2"/>
        <v>0.11704387180427832</v>
      </c>
      <c r="K12">
        <f t="shared" si="3"/>
        <v>51.176470588235297</v>
      </c>
      <c r="L12">
        <f t="shared" si="4"/>
        <v>348.95585503195002</v>
      </c>
      <c r="M12">
        <f t="shared" si="0"/>
        <v>349.77907688732881</v>
      </c>
    </row>
    <row r="13" spans="1:25">
      <c r="A13">
        <v>352</v>
      </c>
      <c r="D13" t="s">
        <v>212</v>
      </c>
      <c r="E13">
        <v>344</v>
      </c>
      <c r="F13">
        <f t="shared" si="5"/>
        <v>5</v>
      </c>
      <c r="G13">
        <f t="shared" si="6"/>
        <v>3.1152098252270721E-2</v>
      </c>
      <c r="H13">
        <f t="shared" si="1"/>
        <v>2.6479283514430114</v>
      </c>
      <c r="I13">
        <f t="shared" si="2"/>
        <v>2.0892714249351751</v>
      </c>
      <c r="K13">
        <f t="shared" si="3"/>
        <v>65.294117647058826</v>
      </c>
      <c r="L13">
        <f t="shared" si="4"/>
        <v>353.25168979037204</v>
      </c>
      <c r="M13">
        <f t="shared" si="0"/>
        <v>351.47161240054709</v>
      </c>
    </row>
    <row r="14" spans="1:25">
      <c r="A14">
        <v>350</v>
      </c>
      <c r="D14" t="s">
        <v>213</v>
      </c>
      <c r="E14">
        <v>345</v>
      </c>
      <c r="F14">
        <f t="shared" si="5"/>
        <v>4</v>
      </c>
      <c r="G14">
        <f t="shared" si="6"/>
        <v>3.2160514325505374E-2</v>
      </c>
      <c r="H14">
        <f t="shared" si="1"/>
        <v>2.7336437176679569</v>
      </c>
      <c r="I14">
        <f t="shared" si="2"/>
        <v>0.58663761610086385</v>
      </c>
      <c r="K14">
        <f t="shared" si="3"/>
        <v>44.117647058823529</v>
      </c>
      <c r="L14">
        <f t="shared" si="4"/>
        <v>346.87269553472817</v>
      </c>
      <c r="M14">
        <f t="shared" si="0"/>
        <v>348.95529603354316</v>
      </c>
    </row>
    <row r="15" spans="1:25">
      <c r="A15">
        <v>351</v>
      </c>
      <c r="D15" t="s">
        <v>214</v>
      </c>
      <c r="E15">
        <v>346</v>
      </c>
      <c r="F15">
        <f t="shared" si="5"/>
        <v>4</v>
      </c>
      <c r="G15">
        <f t="shared" si="6"/>
        <v>3.2956709143383611E-2</v>
      </c>
      <c r="H15">
        <f t="shared" si="1"/>
        <v>2.8013202771876071</v>
      </c>
      <c r="I15">
        <f t="shared" si="2"/>
        <v>0.51291281813877676</v>
      </c>
      <c r="K15">
        <f t="shared" si="3"/>
        <v>51.176470588235297</v>
      </c>
      <c r="L15">
        <f t="shared" si="4"/>
        <v>348.95585503195002</v>
      </c>
      <c r="M15">
        <f t="shared" si="0"/>
        <v>349.77907688732881</v>
      </c>
    </row>
    <row r="16" spans="1:25">
      <c r="A16">
        <v>351</v>
      </c>
      <c r="D16" t="s">
        <v>215</v>
      </c>
      <c r="E16">
        <v>347</v>
      </c>
      <c r="F16">
        <f t="shared" si="5"/>
        <v>5</v>
      </c>
      <c r="G16">
        <f t="shared" si="6"/>
        <v>3.3524972076439619E-2</v>
      </c>
      <c r="H16">
        <f t="shared" si="1"/>
        <v>2.8496226264973674</v>
      </c>
      <c r="I16">
        <f t="shared" si="2"/>
        <v>1.6227141115017929</v>
      </c>
      <c r="K16">
        <f t="shared" si="3"/>
        <v>51.176470588235297</v>
      </c>
      <c r="L16">
        <f t="shared" si="4"/>
        <v>348.95585503195002</v>
      </c>
      <c r="M16">
        <f t="shared" si="0"/>
        <v>349.77907688732881</v>
      </c>
    </row>
    <row r="17" spans="1:27">
      <c r="A17">
        <v>351</v>
      </c>
      <c r="D17" t="s">
        <v>216</v>
      </c>
      <c r="E17">
        <v>348</v>
      </c>
      <c r="F17">
        <f t="shared" si="5"/>
        <v>2</v>
      </c>
      <c r="G17">
        <f t="shared" si="6"/>
        <v>3.3854401637797182E-2</v>
      </c>
      <c r="H17">
        <f t="shared" si="1"/>
        <v>2.8776241392127604</v>
      </c>
      <c r="I17">
        <f t="shared" si="2"/>
        <v>0.26765974028131795</v>
      </c>
      <c r="K17">
        <f t="shared" si="3"/>
        <v>51.176470588235297</v>
      </c>
      <c r="L17">
        <f t="shared" si="4"/>
        <v>348.95585503195002</v>
      </c>
      <c r="M17">
        <f t="shared" si="0"/>
        <v>349.77907688732881</v>
      </c>
    </row>
    <row r="18" spans="1:27">
      <c r="A18">
        <v>369</v>
      </c>
      <c r="D18" t="s">
        <v>217</v>
      </c>
      <c r="E18">
        <v>349</v>
      </c>
      <c r="F18">
        <f t="shared" si="5"/>
        <v>10</v>
      </c>
      <c r="G18">
        <f t="shared" si="6"/>
        <v>3.3939249381170156E-2</v>
      </c>
      <c r="H18">
        <f t="shared" si="1"/>
        <v>2.8848361973994634</v>
      </c>
      <c r="I18">
        <f t="shared" si="2"/>
        <v>17.548849388215991</v>
      </c>
      <c r="K18">
        <f t="shared" si="3"/>
        <v>99.411764705882348</v>
      </c>
      <c r="L18">
        <f t="shared" si="4"/>
        <v>379.06044555365037</v>
      </c>
      <c r="M18">
        <f t="shared" si="0"/>
        <v>361.4716122264611</v>
      </c>
    </row>
    <row r="19" spans="1:27">
      <c r="A19">
        <v>357</v>
      </c>
      <c r="D19" t="s">
        <v>218</v>
      </c>
      <c r="E19">
        <v>350</v>
      </c>
      <c r="F19">
        <f t="shared" si="5"/>
        <v>6</v>
      </c>
      <c r="G19">
        <f t="shared" si="6"/>
        <v>3.3779077278776493E-2</v>
      </c>
      <c r="H19">
        <f t="shared" si="1"/>
        <v>2.8712215686960016</v>
      </c>
      <c r="I19">
        <f t="shared" si="2"/>
        <v>3.4094388879361239</v>
      </c>
      <c r="K19">
        <f t="shared" si="3"/>
        <v>93.529411764705884</v>
      </c>
      <c r="L19">
        <f t="shared" si="4"/>
        <v>366.73667029094275</v>
      </c>
      <c r="M19">
        <f t="shared" si="0"/>
        <v>356.73165111242923</v>
      </c>
    </row>
    <row r="20" spans="1:27">
      <c r="A20">
        <v>356</v>
      </c>
      <c r="D20" t="s">
        <v>219</v>
      </c>
      <c r="E20">
        <v>351</v>
      </c>
      <c r="F20">
        <f t="shared" si="5"/>
        <v>12</v>
      </c>
      <c r="G20">
        <f t="shared" si="6"/>
        <v>3.3378723166516355E-2</v>
      </c>
      <c r="H20">
        <f t="shared" si="1"/>
        <v>2.8371914691538902</v>
      </c>
      <c r="I20">
        <f t="shared" si="2"/>
        <v>29.591608844779167</v>
      </c>
      <c r="K20">
        <f t="shared" si="3"/>
        <v>88.82352941176471</v>
      </c>
      <c r="L20">
        <f t="shared" si="4"/>
        <v>363.11116917367622</v>
      </c>
      <c r="M20">
        <f t="shared" si="0"/>
        <v>355.32519099963355</v>
      </c>
    </row>
    <row r="21" spans="1:27">
      <c r="A21">
        <v>353</v>
      </c>
      <c r="D21" t="s">
        <v>220</v>
      </c>
      <c r="E21">
        <v>352</v>
      </c>
      <c r="F21">
        <f t="shared" si="5"/>
        <v>9</v>
      </c>
      <c r="G21">
        <f t="shared" si="6"/>
        <v>3.2748078514921342E-2</v>
      </c>
      <c r="H21">
        <f t="shared" si="1"/>
        <v>2.7835866737683141</v>
      </c>
      <c r="I21">
        <f t="shared" si="2"/>
        <v>13.882734461519892</v>
      </c>
      <c r="K21">
        <f t="shared" si="3"/>
        <v>75.882352941176464</v>
      </c>
      <c r="L21">
        <f t="shared" si="4"/>
        <v>356.93117050452503</v>
      </c>
      <c r="M21">
        <f t="shared" si="0"/>
        <v>352.9147268725543</v>
      </c>
    </row>
    <row r="22" spans="1:27">
      <c r="A22">
        <v>354</v>
      </c>
      <c r="D22" t="s">
        <v>221</v>
      </c>
      <c r="E22">
        <v>353</v>
      </c>
      <c r="F22">
        <f t="shared" si="5"/>
        <v>5</v>
      </c>
      <c r="G22">
        <f t="shared" si="6"/>
        <v>3.1901692019929428E-2</v>
      </c>
      <c r="H22">
        <f t="shared" si="1"/>
        <v>2.7116438216940013</v>
      </c>
      <c r="I22">
        <f t="shared" si="2"/>
        <v>1.9311437427353109</v>
      </c>
      <c r="K22">
        <f t="shared" si="3"/>
        <v>81.764705882352942</v>
      </c>
      <c r="L22">
        <f t="shared" si="4"/>
        <v>359.37122323493179</v>
      </c>
      <c r="M22">
        <f t="shared" si="0"/>
        <v>353.86843532858944</v>
      </c>
    </row>
    <row r="23" spans="1:27">
      <c r="A23">
        <v>356</v>
      </c>
      <c r="D23" t="s">
        <v>222</v>
      </c>
      <c r="E23">
        <v>354</v>
      </c>
      <c r="F23">
        <f t="shared" si="5"/>
        <v>4</v>
      </c>
      <c r="G23">
        <f t="shared" si="6"/>
        <v>3.0858220732215891E-2</v>
      </c>
      <c r="H23">
        <f t="shared" si="1"/>
        <v>2.6229487622383507</v>
      </c>
      <c r="I23">
        <f t="shared" si="2"/>
        <v>0.72295354706153958</v>
      </c>
      <c r="K23">
        <f t="shared" si="3"/>
        <v>88.82352941176471</v>
      </c>
      <c r="L23">
        <f t="shared" si="4"/>
        <v>363.11116917367622</v>
      </c>
      <c r="M23">
        <f t="shared" si="0"/>
        <v>355.32519099963355</v>
      </c>
    </row>
    <row r="24" spans="1:27">
      <c r="A24">
        <v>357</v>
      </c>
      <c r="D24" t="s">
        <v>223</v>
      </c>
      <c r="E24">
        <v>355</v>
      </c>
      <c r="F24">
        <f t="shared" si="5"/>
        <v>2</v>
      </c>
      <c r="G24">
        <f t="shared" si="6"/>
        <v>2.9639757171411985E-2</v>
      </c>
      <c r="H24">
        <f t="shared" si="1"/>
        <v>2.5193793595700189</v>
      </c>
      <c r="I24">
        <f t="shared" si="2"/>
        <v>0.10707197315191228</v>
      </c>
      <c r="K24">
        <f t="shared" si="3"/>
        <v>93.529411764705884</v>
      </c>
      <c r="L24">
        <f t="shared" si="4"/>
        <v>366.73667029094275</v>
      </c>
      <c r="M24">
        <f t="shared" si="0"/>
        <v>356.73165111242923</v>
      </c>
    </row>
    <row r="25" spans="1:27">
      <c r="A25">
        <v>357</v>
      </c>
      <c r="D25" t="s">
        <v>224</v>
      </c>
      <c r="E25">
        <v>356</v>
      </c>
      <c r="F25">
        <f t="shared" si="5"/>
        <v>4</v>
      </c>
      <c r="G25">
        <f t="shared" si="6"/>
        <v>2.8271065740160362E-2</v>
      </c>
      <c r="H25">
        <f t="shared" si="1"/>
        <v>2.4030405879136305</v>
      </c>
      <c r="I25">
        <f t="shared" si="2"/>
        <v>1.0612718639369501</v>
      </c>
      <c r="K25">
        <f t="shared" si="3"/>
        <v>93.529411764705884</v>
      </c>
      <c r="L25">
        <f t="shared" si="4"/>
        <v>366.73667029094275</v>
      </c>
      <c r="M25">
        <f t="shared" si="0"/>
        <v>356.73165111242923</v>
      </c>
    </row>
    <row r="26" spans="1:27">
      <c r="A26">
        <v>356</v>
      </c>
      <c r="D26" t="s">
        <v>225</v>
      </c>
      <c r="E26">
        <v>357</v>
      </c>
      <c r="F26">
        <f t="shared" si="5"/>
        <v>4</v>
      </c>
      <c r="G26">
        <f t="shared" si="6"/>
        <v>2.6778764545389855E-2</v>
      </c>
      <c r="H26">
        <f t="shared" si="1"/>
        <v>2.2761949863581377</v>
      </c>
      <c r="I26">
        <f t="shared" si="2"/>
        <v>1.3054697610994928</v>
      </c>
      <c r="K26">
        <f t="shared" si="3"/>
        <v>88.82352941176471</v>
      </c>
      <c r="L26">
        <f t="shared" si="4"/>
        <v>363.11116917367622</v>
      </c>
      <c r="M26">
        <f t="shared" si="0"/>
        <v>355.32519099963355</v>
      </c>
    </row>
    <row r="27" spans="1:27">
      <c r="A27">
        <v>335</v>
      </c>
      <c r="D27" t="s">
        <v>226</v>
      </c>
      <c r="E27">
        <v>358</v>
      </c>
      <c r="F27">
        <f t="shared" si="5"/>
        <v>1</v>
      </c>
      <c r="G27">
        <f t="shared" si="6"/>
        <v>2.5190489388293824E-2</v>
      </c>
      <c r="H27">
        <f t="shared" si="1"/>
        <v>2.1411915980049749</v>
      </c>
      <c r="I27">
        <f t="shared" si="2"/>
        <v>0.60822126547225619</v>
      </c>
      <c r="K27">
        <f t="shared" si="3"/>
        <v>2.9411764705882355</v>
      </c>
      <c r="L27">
        <f t="shared" si="4"/>
        <v>326.87073238623287</v>
      </c>
      <c r="M27">
        <f t="shared" si="0"/>
        <v>340.94055570947887</v>
      </c>
    </row>
    <row r="28" spans="1:27">
      <c r="A28">
        <v>351</v>
      </c>
      <c r="D28" t="s">
        <v>227</v>
      </c>
      <c r="E28" t="s">
        <v>110</v>
      </c>
      <c r="F28">
        <f>COUNTIF(A2:A86,"&gt;358")</f>
        <v>1</v>
      </c>
      <c r="G28">
        <f>1-_xlfn.GAMMA.DIST(E27,C8,C9,1)</f>
        <v>0.21419276831666678</v>
      </c>
      <c r="H28">
        <f t="shared" si="1"/>
        <v>18.206385306916676</v>
      </c>
      <c r="I28">
        <f t="shared" si="2"/>
        <v>16.261311091642327</v>
      </c>
      <c r="K28">
        <f t="shared" si="3"/>
        <v>51.176470588235297</v>
      </c>
      <c r="L28">
        <f t="shared" si="4"/>
        <v>348.95585503195002</v>
      </c>
      <c r="M28">
        <f t="shared" si="0"/>
        <v>349.77907688732881</v>
      </c>
    </row>
    <row r="29" spans="1:27">
      <c r="A29">
        <v>349</v>
      </c>
      <c r="E29" t="s">
        <v>123</v>
      </c>
      <c r="F29">
        <f>SUM(F2:F28)</f>
        <v>85</v>
      </c>
      <c r="G29">
        <f t="shared" ref="G29:I29" si="7">SUM(G2:G28)</f>
        <v>1</v>
      </c>
      <c r="H29">
        <f t="shared" si="7"/>
        <v>85</v>
      </c>
      <c r="I29">
        <f t="shared" si="7"/>
        <v>108.43706396984182</v>
      </c>
      <c r="K29">
        <f t="shared" si="3"/>
        <v>32.352941176470587</v>
      </c>
      <c r="L29">
        <f t="shared" si="4"/>
        <v>343.25561520735636</v>
      </c>
      <c r="M29">
        <f t="shared" si="0"/>
        <v>347.52015751665556</v>
      </c>
      <c r="T29" t="str" cm="1">
        <f t="array" ref="T29:W43">E1:H15</f>
        <v>thickness</v>
      </c>
      <c r="U29" t="str">
        <v>number x_i</v>
      </c>
      <c r="V29" t="str">
        <v>p_i (gamma.dist)</v>
      </c>
      <c r="W29" t="str">
        <v>np_i</v>
      </c>
      <c r="X29" t="str" cm="1">
        <f t="array" ref="X29:AA29">T29:W29</f>
        <v>thickness</v>
      </c>
      <c r="Y29" t="str">
        <v>number x_i</v>
      </c>
      <c r="Z29" t="str">
        <v>p_i (gamma.dist)</v>
      </c>
      <c r="AA29" t="str">
        <v>np_i</v>
      </c>
    </row>
    <row r="30" spans="1:27">
      <c r="A30">
        <v>354</v>
      </c>
      <c r="H30" t="s">
        <v>125</v>
      </c>
      <c r="I30">
        <f>_xlfn.CHISQ.INV.RT(0.02,26)</f>
        <v>42.855834787923598</v>
      </c>
      <c r="K30">
        <f t="shared" si="3"/>
        <v>81.764705882352942</v>
      </c>
      <c r="L30">
        <f t="shared" si="4"/>
        <v>359.37122323493179</v>
      </c>
      <c r="M30">
        <f t="shared" si="0"/>
        <v>353.86843532858944</v>
      </c>
      <c r="T30" t="str">
        <v>&lt;334</v>
      </c>
      <c r="U30">
        <v>1</v>
      </c>
      <c r="V30">
        <v>8.8756597407847318E-2</v>
      </c>
      <c r="W30">
        <v>7.5443107796670219</v>
      </c>
      <c r="X30" cm="1">
        <f t="array" ref="X30:AA42">E16:H28</f>
        <v>347</v>
      </c>
      <c r="Y30">
        <v>5</v>
      </c>
      <c r="Z30">
        <v>3.3524972076439619E-2</v>
      </c>
      <c r="AA30">
        <v>2.8496226264973674</v>
      </c>
    </row>
    <row r="31" spans="1:27">
      <c r="A31">
        <v>353</v>
      </c>
      <c r="H31" t="s">
        <v>13</v>
      </c>
      <c r="I31">
        <f>I29</f>
        <v>108.43706396984182</v>
      </c>
      <c r="K31">
        <f t="shared" si="3"/>
        <v>75.882352941176464</v>
      </c>
      <c r="L31">
        <f t="shared" si="4"/>
        <v>356.93117050452503</v>
      </c>
      <c r="M31">
        <f t="shared" si="0"/>
        <v>352.9147268725543</v>
      </c>
      <c r="T31">
        <v>334</v>
      </c>
      <c r="U31">
        <v>1</v>
      </c>
      <c r="V31">
        <v>1.4931842490207736E-2</v>
      </c>
      <c r="W31">
        <v>1.2692066116676575</v>
      </c>
      <c r="X31">
        <v>348</v>
      </c>
      <c r="Y31">
        <v>2</v>
      </c>
      <c r="Z31">
        <v>3.3854401637797182E-2</v>
      </c>
      <c r="AA31">
        <v>2.8776241392127604</v>
      </c>
    </row>
    <row r="32" spans="1:27">
      <c r="A32">
        <v>354</v>
      </c>
      <c r="H32" t="s">
        <v>78</v>
      </c>
      <c r="I32">
        <f>_xlfn.CHISQ.DIST.RT(I31,26)</f>
        <v>4.8811024156105776E-12</v>
      </c>
      <c r="K32">
        <f t="shared" si="3"/>
        <v>81.764705882352942</v>
      </c>
      <c r="L32">
        <f t="shared" si="4"/>
        <v>359.37122323493179</v>
      </c>
      <c r="M32">
        <f t="shared" si="0"/>
        <v>353.86843532858944</v>
      </c>
      <c r="T32">
        <v>335</v>
      </c>
      <c r="U32">
        <v>1</v>
      </c>
      <c r="V32">
        <v>1.6640055506315407E-2</v>
      </c>
      <c r="W32">
        <v>1.4144047180368096</v>
      </c>
      <c r="X32">
        <v>349</v>
      </c>
      <c r="Y32">
        <v>10</v>
      </c>
      <c r="Z32">
        <v>3.3939249381170156E-2</v>
      </c>
      <c r="AA32">
        <v>2.8848361973994634</v>
      </c>
    </row>
    <row r="33" spans="1:27">
      <c r="A33">
        <v>352</v>
      </c>
      <c r="K33">
        <f t="shared" si="3"/>
        <v>65.294117647058826</v>
      </c>
      <c r="L33">
        <f t="shared" si="4"/>
        <v>353.25168979037204</v>
      </c>
      <c r="M33">
        <f t="shared" si="0"/>
        <v>351.47161240054709</v>
      </c>
      <c r="T33">
        <v>336</v>
      </c>
      <c r="U33">
        <v>0</v>
      </c>
      <c r="V33">
        <v>1.8398672090730761E-2</v>
      </c>
      <c r="W33">
        <v>1.5638871277121147</v>
      </c>
      <c r="X33">
        <v>350</v>
      </c>
      <c r="Y33">
        <v>6</v>
      </c>
      <c r="Z33">
        <v>3.3779077278776493E-2</v>
      </c>
      <c r="AA33">
        <v>2.8712215686960016</v>
      </c>
    </row>
    <row r="34" spans="1:27">
      <c r="A34">
        <v>351</v>
      </c>
      <c r="K34">
        <f t="shared" si="3"/>
        <v>51.176470588235297</v>
      </c>
      <c r="L34">
        <f t="shared" si="4"/>
        <v>348.95585503195002</v>
      </c>
      <c r="M34">
        <f t="shared" ref="M34:M65" si="8">_xlfn.GAMMA.INV(K34/100,$S$4,$S$5)</f>
        <v>349.77907688732881</v>
      </c>
      <c r="T34">
        <v>337</v>
      </c>
      <c r="U34">
        <v>0</v>
      </c>
      <c r="V34">
        <v>2.0185001917567696E-2</v>
      </c>
      <c r="W34">
        <v>1.7157251629932542</v>
      </c>
      <c r="X34">
        <v>351</v>
      </c>
      <c r="Y34">
        <v>12</v>
      </c>
      <c r="Z34">
        <v>3.3378723166516355E-2</v>
      </c>
      <c r="AA34">
        <v>2.8371914691538902</v>
      </c>
    </row>
    <row r="35" spans="1:27">
      <c r="A35">
        <v>349</v>
      </c>
      <c r="K35">
        <f t="shared" si="3"/>
        <v>32.352941176470587</v>
      </c>
      <c r="L35">
        <f t="shared" si="4"/>
        <v>343.25561520735636</v>
      </c>
      <c r="M35">
        <f t="shared" si="8"/>
        <v>347.52015751665556</v>
      </c>
      <c r="T35">
        <v>338</v>
      </c>
      <c r="U35">
        <v>0</v>
      </c>
      <c r="V35">
        <v>2.1973629960149371E-2</v>
      </c>
      <c r="W35">
        <v>1.8677585466126965</v>
      </c>
      <c r="X35">
        <v>352</v>
      </c>
      <c r="Y35">
        <v>9</v>
      </c>
      <c r="Z35">
        <v>3.2748078514921342E-2</v>
      </c>
      <c r="AA35">
        <v>2.7835866737683141</v>
      </c>
    </row>
    <row r="36" spans="1:27">
      <c r="A36">
        <v>349</v>
      </c>
      <c r="K36">
        <f t="shared" si="3"/>
        <v>32.352941176470587</v>
      </c>
      <c r="L36">
        <f t="shared" si="4"/>
        <v>343.25561520735636</v>
      </c>
      <c r="M36">
        <f t="shared" si="8"/>
        <v>347.52015751665556</v>
      </c>
      <c r="T36">
        <v>339</v>
      </c>
      <c r="U36">
        <v>0</v>
      </c>
      <c r="V36">
        <v>2.3736977880801063E-2</v>
      </c>
      <c r="W36">
        <v>2.0176431198680902</v>
      </c>
      <c r="X36">
        <v>353</v>
      </c>
      <c r="Y36">
        <v>5</v>
      </c>
      <c r="Z36">
        <v>3.1901692019929428E-2</v>
      </c>
      <c r="AA36">
        <v>2.7116438216940013</v>
      </c>
    </row>
    <row r="37" spans="1:27">
      <c r="A37">
        <v>349</v>
      </c>
      <c r="K37">
        <f t="shared" si="3"/>
        <v>32.352941176470587</v>
      </c>
      <c r="L37">
        <f t="shared" si="4"/>
        <v>343.25561520735636</v>
      </c>
      <c r="M37">
        <f t="shared" si="8"/>
        <v>347.52015751665556</v>
      </c>
      <c r="T37">
        <v>340</v>
      </c>
      <c r="U37">
        <v>1</v>
      </c>
      <c r="V37">
        <v>2.5445991945273E-2</v>
      </c>
      <c r="W37">
        <v>2.1629093153482049</v>
      </c>
      <c r="X37">
        <v>354</v>
      </c>
      <c r="Y37">
        <v>4</v>
      </c>
      <c r="Z37">
        <v>3.0858220732215891E-2</v>
      </c>
      <c r="AA37">
        <v>2.6229487622383507</v>
      </c>
    </row>
    <row r="38" spans="1:27">
      <c r="A38">
        <v>344</v>
      </c>
      <c r="K38">
        <f t="shared" si="3"/>
        <v>8.8235294117647065</v>
      </c>
      <c r="L38">
        <f t="shared" si="4"/>
        <v>332.96294728542796</v>
      </c>
      <c r="M38">
        <f t="shared" si="8"/>
        <v>343.40236471817218</v>
      </c>
      <c r="T38">
        <v>341</v>
      </c>
      <c r="U38">
        <v>1</v>
      </c>
      <c r="V38">
        <v>2.7070934537759661E-2</v>
      </c>
      <c r="W38">
        <v>2.3010294357095713</v>
      </c>
      <c r="X38">
        <v>355</v>
      </c>
      <c r="Y38">
        <v>2</v>
      </c>
      <c r="Z38">
        <v>2.9639757171411985E-2</v>
      </c>
      <c r="AA38">
        <v>2.5193793595700189</v>
      </c>
    </row>
    <row r="39" spans="1:27">
      <c r="A39">
        <v>355</v>
      </c>
      <c r="K39">
        <f t="shared" si="3"/>
        <v>86.470588235294116</v>
      </c>
      <c r="L39">
        <f t="shared" si="4"/>
        <v>361.71829720993651</v>
      </c>
      <c r="M39">
        <f t="shared" si="8"/>
        <v>354.78335531538568</v>
      </c>
      <c r="T39">
        <v>342</v>
      </c>
      <c r="U39">
        <v>0</v>
      </c>
      <c r="V39">
        <v>2.8582249397605675E-2</v>
      </c>
      <c r="W39">
        <v>2.4294911987964825</v>
      </c>
      <c r="X39">
        <v>356</v>
      </c>
      <c r="Y39">
        <v>4</v>
      </c>
      <c r="Z39">
        <v>2.8271065740160362E-2</v>
      </c>
      <c r="AA39">
        <v>2.4030405879136305</v>
      </c>
    </row>
    <row r="40" spans="1:27">
      <c r="A40">
        <v>350</v>
      </c>
      <c r="K40">
        <f t="shared" si="3"/>
        <v>44.117647058823529</v>
      </c>
      <c r="L40">
        <f t="shared" si="4"/>
        <v>346.87269553472817</v>
      </c>
      <c r="M40">
        <f t="shared" si="8"/>
        <v>348.95529603354316</v>
      </c>
      <c r="T40">
        <v>343</v>
      </c>
      <c r="U40">
        <v>2</v>
      </c>
      <c r="V40">
        <v>2.9951465174893332E-2</v>
      </c>
      <c r="W40">
        <v>2.5458745398659333</v>
      </c>
      <c r="X40">
        <v>357</v>
      </c>
      <c r="Y40">
        <v>4</v>
      </c>
      <c r="Z40">
        <v>2.6778764545389855E-2</v>
      </c>
      <c r="AA40">
        <v>2.2761949863581377</v>
      </c>
    </row>
    <row r="41" spans="1:27">
      <c r="A41">
        <v>358</v>
      </c>
      <c r="K41">
        <f t="shared" si="3"/>
        <v>98.235294117647058</v>
      </c>
      <c r="L41">
        <f t="shared" si="4"/>
        <v>373.93746794309965</v>
      </c>
      <c r="M41">
        <f t="shared" si="8"/>
        <v>359.5087637744823</v>
      </c>
      <c r="T41">
        <v>344</v>
      </c>
      <c r="U41">
        <v>5</v>
      </c>
      <c r="V41">
        <v>3.1152098252270721E-2</v>
      </c>
      <c r="W41">
        <v>2.6479283514430114</v>
      </c>
      <c r="X41">
        <v>358</v>
      </c>
      <c r="Y41">
        <v>1</v>
      </c>
      <c r="Z41">
        <v>2.5190489388293824E-2</v>
      </c>
      <c r="AA41">
        <v>2.1411915980049749</v>
      </c>
    </row>
    <row r="42" spans="1:27">
      <c r="A42">
        <v>352</v>
      </c>
      <c r="K42">
        <f t="shared" si="3"/>
        <v>65.294117647058826</v>
      </c>
      <c r="L42">
        <f t="shared" si="4"/>
        <v>353.25168979037204</v>
      </c>
      <c r="M42">
        <f t="shared" si="8"/>
        <v>351.47161240054709</v>
      </c>
      <c r="T42">
        <v>345</v>
      </c>
      <c r="U42">
        <v>4</v>
      </c>
      <c r="V42">
        <v>3.2160514325505374E-2</v>
      </c>
      <c r="W42">
        <v>2.7336437176679569</v>
      </c>
      <c r="X42" t="str">
        <v>&gt;358</v>
      </c>
      <c r="Y42">
        <v>1</v>
      </c>
      <c r="Z42">
        <v>0.21419276831666678</v>
      </c>
      <c r="AA42">
        <v>18.206385306916676</v>
      </c>
    </row>
    <row r="43" spans="1:27">
      <c r="A43">
        <v>334</v>
      </c>
      <c r="K43">
        <f t="shared" si="3"/>
        <v>1.7647058823529411</v>
      </c>
      <c r="L43">
        <f t="shared" si="4"/>
        <v>324.45116492342908</v>
      </c>
      <c r="M43">
        <f t="shared" si="8"/>
        <v>339.95761715090043</v>
      </c>
      <c r="T43">
        <v>346</v>
      </c>
      <c r="U43">
        <v>4</v>
      </c>
      <c r="V43">
        <v>3.2956709143383611E-2</v>
      </c>
      <c r="W43">
        <v>2.8013202771876071</v>
      </c>
    </row>
    <row r="44" spans="1:27">
      <c r="A44">
        <v>349</v>
      </c>
      <c r="K44">
        <f t="shared" si="3"/>
        <v>32.352941176470587</v>
      </c>
      <c r="L44">
        <f t="shared" si="4"/>
        <v>343.25561520735636</v>
      </c>
      <c r="M44">
        <f t="shared" si="8"/>
        <v>347.52015751665556</v>
      </c>
    </row>
    <row r="45" spans="1:27">
      <c r="A45">
        <v>352</v>
      </c>
      <c r="K45">
        <f t="shared" si="3"/>
        <v>65.294117647058826</v>
      </c>
      <c r="L45">
        <f t="shared" si="4"/>
        <v>353.25168979037204</v>
      </c>
      <c r="M45">
        <f t="shared" si="8"/>
        <v>351.47161240054709</v>
      </c>
    </row>
    <row r="46" spans="1:27">
      <c r="A46">
        <v>351</v>
      </c>
      <c r="K46">
        <f t="shared" si="3"/>
        <v>51.176470588235297</v>
      </c>
      <c r="L46">
        <f t="shared" si="4"/>
        <v>348.95585503195002</v>
      </c>
      <c r="M46">
        <f t="shared" si="8"/>
        <v>349.77907688732881</v>
      </c>
    </row>
    <row r="47" spans="1:27">
      <c r="A47">
        <v>352</v>
      </c>
      <c r="K47">
        <f t="shared" si="3"/>
        <v>65.294117647058826</v>
      </c>
      <c r="L47">
        <f t="shared" si="4"/>
        <v>353.25168979037204</v>
      </c>
      <c r="M47">
        <f t="shared" si="8"/>
        <v>351.47161240054709</v>
      </c>
    </row>
    <row r="48" spans="1:27">
      <c r="A48">
        <v>353</v>
      </c>
      <c r="K48">
        <f t="shared" si="3"/>
        <v>75.882352941176464</v>
      </c>
      <c r="L48">
        <f t="shared" si="4"/>
        <v>356.93117050452503</v>
      </c>
      <c r="M48">
        <f t="shared" si="8"/>
        <v>352.9147268725543</v>
      </c>
    </row>
    <row r="49" spans="1:13">
      <c r="A49">
        <v>252</v>
      </c>
      <c r="K49">
        <f t="shared" si="3"/>
        <v>0.58823529411764708</v>
      </c>
      <c r="L49">
        <f t="shared" si="4"/>
        <v>319.83402873144468</v>
      </c>
      <c r="M49">
        <f t="shared" si="8"/>
        <v>338.07351752499596</v>
      </c>
    </row>
    <row r="50" spans="1:13">
      <c r="A50">
        <v>356</v>
      </c>
      <c r="K50">
        <f t="shared" si="3"/>
        <v>88.82352941176471</v>
      </c>
      <c r="L50">
        <f t="shared" si="4"/>
        <v>363.11116917367622</v>
      </c>
      <c r="M50">
        <f t="shared" si="8"/>
        <v>355.32519099963355</v>
      </c>
    </row>
    <row r="51" spans="1:13">
      <c r="A51">
        <v>351</v>
      </c>
      <c r="K51">
        <f t="shared" si="3"/>
        <v>51.176470588235297</v>
      </c>
      <c r="L51">
        <f t="shared" si="4"/>
        <v>348.95585503195002</v>
      </c>
      <c r="M51">
        <f t="shared" si="8"/>
        <v>349.77907688732881</v>
      </c>
    </row>
    <row r="52" spans="1:13">
      <c r="A52">
        <v>351</v>
      </c>
      <c r="K52">
        <f t="shared" si="3"/>
        <v>51.176470588235297</v>
      </c>
      <c r="L52">
        <f t="shared" si="4"/>
        <v>348.95585503195002</v>
      </c>
      <c r="M52">
        <f t="shared" si="8"/>
        <v>349.77907688732881</v>
      </c>
    </row>
    <row r="53" spans="1:13">
      <c r="A53">
        <v>354</v>
      </c>
      <c r="K53">
        <f t="shared" si="3"/>
        <v>81.764705882352942</v>
      </c>
      <c r="L53">
        <f t="shared" si="4"/>
        <v>359.37122323493179</v>
      </c>
      <c r="M53">
        <f t="shared" si="8"/>
        <v>353.86843532858944</v>
      </c>
    </row>
    <row r="54" spans="1:13">
      <c r="A54">
        <v>348</v>
      </c>
      <c r="K54">
        <f t="shared" si="3"/>
        <v>30</v>
      </c>
      <c r="L54">
        <f t="shared" si="4"/>
        <v>342.4820856874357</v>
      </c>
      <c r="M54">
        <f t="shared" si="8"/>
        <v>347.21245223587272</v>
      </c>
    </row>
    <row r="55" spans="1:13">
      <c r="A55">
        <v>350</v>
      </c>
      <c r="K55">
        <f t="shared" si="3"/>
        <v>44.117647058823529</v>
      </c>
      <c r="L55">
        <f t="shared" si="4"/>
        <v>346.87269553472817</v>
      </c>
      <c r="M55">
        <f t="shared" si="8"/>
        <v>348.95529603354316</v>
      </c>
    </row>
    <row r="56" spans="1:13">
      <c r="A56">
        <v>349</v>
      </c>
      <c r="K56">
        <f t="shared" si="3"/>
        <v>32.352941176470587</v>
      </c>
      <c r="L56">
        <f t="shared" si="4"/>
        <v>343.25561520735636</v>
      </c>
      <c r="M56">
        <f t="shared" si="8"/>
        <v>347.52015751665556</v>
      </c>
    </row>
    <row r="57" spans="1:13">
      <c r="A57">
        <v>349</v>
      </c>
      <c r="K57">
        <f t="shared" si="3"/>
        <v>32.352941176470587</v>
      </c>
      <c r="L57">
        <f t="shared" si="4"/>
        <v>343.25561520735636</v>
      </c>
      <c r="M57">
        <f t="shared" si="8"/>
        <v>347.52015751665556</v>
      </c>
    </row>
    <row r="58" spans="1:13">
      <c r="A58">
        <v>350</v>
      </c>
      <c r="K58">
        <f t="shared" si="3"/>
        <v>44.117647058823529</v>
      </c>
      <c r="L58">
        <f t="shared" si="4"/>
        <v>346.87269553472817</v>
      </c>
      <c r="M58">
        <f t="shared" si="8"/>
        <v>348.95529603354316</v>
      </c>
    </row>
    <row r="59" spans="1:13">
      <c r="A59">
        <v>346</v>
      </c>
      <c r="K59">
        <f t="shared" si="3"/>
        <v>19.411764705882351</v>
      </c>
      <c r="L59">
        <f t="shared" si="4"/>
        <v>338.56643985285092</v>
      </c>
      <c r="M59">
        <f t="shared" si="8"/>
        <v>345.65048104913586</v>
      </c>
    </row>
    <row r="60" spans="1:13">
      <c r="A60">
        <v>346</v>
      </c>
      <c r="K60">
        <f t="shared" si="3"/>
        <v>19.411764705882351</v>
      </c>
      <c r="L60">
        <f t="shared" si="4"/>
        <v>338.56643985285092</v>
      </c>
      <c r="M60">
        <f t="shared" si="8"/>
        <v>345.65048104913586</v>
      </c>
    </row>
    <row r="61" spans="1:13">
      <c r="A61">
        <v>349</v>
      </c>
      <c r="K61">
        <f t="shared" si="3"/>
        <v>32.352941176470587</v>
      </c>
      <c r="L61">
        <f t="shared" si="4"/>
        <v>343.25561520735636</v>
      </c>
      <c r="M61">
        <f t="shared" si="8"/>
        <v>347.52015751665556</v>
      </c>
    </row>
    <row r="62" spans="1:13">
      <c r="A62">
        <v>350</v>
      </c>
      <c r="K62">
        <f t="shared" si="3"/>
        <v>44.117647058823529</v>
      </c>
      <c r="L62">
        <f t="shared" si="4"/>
        <v>346.87269553472817</v>
      </c>
      <c r="M62">
        <f t="shared" si="8"/>
        <v>348.95529603354316</v>
      </c>
    </row>
    <row r="63" spans="1:13">
      <c r="A63">
        <v>351</v>
      </c>
      <c r="K63">
        <f t="shared" si="3"/>
        <v>51.176470588235297</v>
      </c>
      <c r="L63">
        <f t="shared" si="4"/>
        <v>348.95585503195002</v>
      </c>
      <c r="M63">
        <f t="shared" si="8"/>
        <v>349.77907688732881</v>
      </c>
    </row>
    <row r="64" spans="1:13">
      <c r="A64">
        <v>344</v>
      </c>
      <c r="K64">
        <f t="shared" si="3"/>
        <v>8.8235294117647065</v>
      </c>
      <c r="L64">
        <f t="shared" si="4"/>
        <v>332.96294728542796</v>
      </c>
      <c r="M64">
        <f t="shared" si="8"/>
        <v>343.40236471817218</v>
      </c>
    </row>
    <row r="65" spans="1:13">
      <c r="A65">
        <v>348</v>
      </c>
      <c r="K65">
        <f t="shared" si="3"/>
        <v>30</v>
      </c>
      <c r="L65">
        <f t="shared" si="4"/>
        <v>342.4820856874357</v>
      </c>
      <c r="M65">
        <f t="shared" si="8"/>
        <v>347.21245223587272</v>
      </c>
    </row>
    <row r="66" spans="1:13">
      <c r="A66">
        <v>349</v>
      </c>
      <c r="K66">
        <f t="shared" si="3"/>
        <v>32.352941176470587</v>
      </c>
      <c r="L66">
        <f t="shared" si="4"/>
        <v>343.25561520735636</v>
      </c>
      <c r="M66">
        <f t="shared" ref="M66:M86" si="9">_xlfn.GAMMA.INV(K66/100,$S$4,$S$5)</f>
        <v>347.52015751665556</v>
      </c>
    </row>
    <row r="67" spans="1:13">
      <c r="A67">
        <v>341</v>
      </c>
      <c r="K67">
        <f t="shared" ref="K67:K86" si="10">100*(_xlfn.RANK.EQ(A67,$A$2:$A$86,1)-0.5)/85</f>
        <v>5.2941176470588234</v>
      </c>
      <c r="L67">
        <f t="shared" ref="L67:L86" si="11">_xlfn.GAMMA.INV(K67/100,$C$8,$C$9)</f>
        <v>329.94848601695355</v>
      </c>
      <c r="M67">
        <f t="shared" si="9"/>
        <v>342.1865750483845</v>
      </c>
    </row>
    <row r="68" spans="1:13">
      <c r="A68">
        <v>346</v>
      </c>
      <c r="K68">
        <f t="shared" si="10"/>
        <v>19.411764705882351</v>
      </c>
      <c r="L68">
        <f t="shared" si="11"/>
        <v>338.56643985285092</v>
      </c>
      <c r="M68">
        <f t="shared" si="9"/>
        <v>345.65048104913586</v>
      </c>
    </row>
    <row r="69" spans="1:13">
      <c r="A69">
        <v>347</v>
      </c>
      <c r="K69">
        <f t="shared" si="10"/>
        <v>24.117647058823529</v>
      </c>
      <c r="L69">
        <f t="shared" si="11"/>
        <v>340.41740016646418</v>
      </c>
      <c r="M69">
        <f t="shared" si="9"/>
        <v>346.38974844340123</v>
      </c>
    </row>
    <row r="70" spans="1:13">
      <c r="A70">
        <v>345</v>
      </c>
      <c r="K70">
        <f t="shared" si="10"/>
        <v>14.705882352941176</v>
      </c>
      <c r="L70">
        <f t="shared" si="11"/>
        <v>336.42360535677733</v>
      </c>
      <c r="M70">
        <f t="shared" si="9"/>
        <v>344.7925824939191</v>
      </c>
    </row>
    <row r="71" spans="1:13">
      <c r="A71">
        <v>345</v>
      </c>
      <c r="K71">
        <f t="shared" si="10"/>
        <v>14.705882352941176</v>
      </c>
      <c r="L71">
        <f t="shared" si="11"/>
        <v>336.42360535677733</v>
      </c>
      <c r="M71">
        <f t="shared" si="9"/>
        <v>344.7925824939191</v>
      </c>
    </row>
    <row r="72" spans="1:13">
      <c r="A72">
        <v>347</v>
      </c>
      <c r="K72">
        <f t="shared" si="10"/>
        <v>24.117647058823529</v>
      </c>
      <c r="L72">
        <f t="shared" si="11"/>
        <v>340.41740016646418</v>
      </c>
      <c r="M72">
        <f t="shared" si="9"/>
        <v>346.38974844340123</v>
      </c>
    </row>
    <row r="73" spans="1:13">
      <c r="A73">
        <v>340</v>
      </c>
      <c r="K73">
        <f t="shared" si="10"/>
        <v>4.117647058823529</v>
      </c>
      <c r="L73">
        <f t="shared" si="11"/>
        <v>328.58850254444394</v>
      </c>
      <c r="M73">
        <f t="shared" si="9"/>
        <v>341.636580016479</v>
      </c>
    </row>
    <row r="74" spans="1:13">
      <c r="A74">
        <v>345</v>
      </c>
      <c r="K74">
        <f t="shared" si="10"/>
        <v>14.705882352941176</v>
      </c>
      <c r="L74">
        <f t="shared" si="11"/>
        <v>336.42360535677733</v>
      </c>
      <c r="M74">
        <f t="shared" si="9"/>
        <v>344.7925824939191</v>
      </c>
    </row>
    <row r="75" spans="1:13">
      <c r="A75">
        <v>344</v>
      </c>
      <c r="K75">
        <f t="shared" si="10"/>
        <v>8.8235294117647065</v>
      </c>
      <c r="L75">
        <f t="shared" si="11"/>
        <v>332.96294728542796</v>
      </c>
      <c r="M75">
        <f t="shared" si="9"/>
        <v>343.40236471817218</v>
      </c>
    </row>
    <row r="76" spans="1:13">
      <c r="A76">
        <v>343</v>
      </c>
      <c r="K76">
        <f t="shared" si="10"/>
        <v>6.4705882352941178</v>
      </c>
      <c r="L76">
        <f t="shared" si="11"/>
        <v>331.08897528765721</v>
      </c>
      <c r="M76">
        <f t="shared" si="9"/>
        <v>342.64708836540768</v>
      </c>
    </row>
    <row r="77" spans="1:13">
      <c r="A77">
        <v>357</v>
      </c>
      <c r="K77">
        <f t="shared" si="10"/>
        <v>93.529411764705884</v>
      </c>
      <c r="L77">
        <f t="shared" si="11"/>
        <v>366.73667029094275</v>
      </c>
      <c r="M77">
        <f t="shared" si="9"/>
        <v>356.73165111242923</v>
      </c>
    </row>
    <row r="78" spans="1:13">
      <c r="A78">
        <v>343</v>
      </c>
      <c r="K78">
        <f t="shared" si="10"/>
        <v>6.4705882352941178</v>
      </c>
      <c r="L78">
        <f t="shared" si="11"/>
        <v>331.08897528765721</v>
      </c>
      <c r="M78">
        <f t="shared" si="9"/>
        <v>342.64708836540768</v>
      </c>
    </row>
    <row r="79" spans="1:13">
      <c r="A79">
        <v>345</v>
      </c>
      <c r="K79">
        <f t="shared" si="10"/>
        <v>14.705882352941176</v>
      </c>
      <c r="L79">
        <f t="shared" si="11"/>
        <v>336.42360535677733</v>
      </c>
      <c r="M79">
        <f t="shared" si="9"/>
        <v>344.7925824939191</v>
      </c>
    </row>
    <row r="80" spans="1:13">
      <c r="A80">
        <v>347</v>
      </c>
      <c r="K80">
        <f t="shared" si="10"/>
        <v>24.117647058823529</v>
      </c>
      <c r="L80">
        <f t="shared" si="11"/>
        <v>340.41740016646418</v>
      </c>
      <c r="M80">
        <f t="shared" si="9"/>
        <v>346.38974844340123</v>
      </c>
    </row>
    <row r="81" spans="1:13">
      <c r="A81">
        <v>346</v>
      </c>
      <c r="K81">
        <f t="shared" si="10"/>
        <v>19.411764705882351</v>
      </c>
      <c r="L81">
        <f t="shared" si="11"/>
        <v>338.56643985285092</v>
      </c>
      <c r="M81">
        <f t="shared" si="9"/>
        <v>345.65048104913586</v>
      </c>
    </row>
    <row r="82" spans="1:13">
      <c r="A82">
        <v>347</v>
      </c>
      <c r="K82">
        <f t="shared" si="10"/>
        <v>24.117647058823529</v>
      </c>
      <c r="L82">
        <f t="shared" si="11"/>
        <v>340.41740016646418</v>
      </c>
      <c r="M82">
        <f t="shared" si="9"/>
        <v>346.38974844340123</v>
      </c>
    </row>
    <row r="83" spans="1:13">
      <c r="A83">
        <v>347</v>
      </c>
      <c r="K83">
        <f t="shared" si="10"/>
        <v>24.117647058823529</v>
      </c>
      <c r="L83">
        <f t="shared" si="11"/>
        <v>340.41740016646418</v>
      </c>
      <c r="M83">
        <f t="shared" si="9"/>
        <v>346.38974844340123</v>
      </c>
    </row>
    <row r="84" spans="1:13">
      <c r="A84">
        <v>344</v>
      </c>
      <c r="K84">
        <f t="shared" si="10"/>
        <v>8.8235294117647065</v>
      </c>
      <c r="L84">
        <f t="shared" si="11"/>
        <v>332.96294728542796</v>
      </c>
      <c r="M84">
        <f t="shared" si="9"/>
        <v>343.40236471817218</v>
      </c>
    </row>
    <row r="85" spans="1:13">
      <c r="A85">
        <v>349</v>
      </c>
      <c r="K85">
        <f t="shared" si="10"/>
        <v>32.352941176470587</v>
      </c>
      <c r="L85">
        <f t="shared" si="11"/>
        <v>343.25561520735636</v>
      </c>
      <c r="M85">
        <f t="shared" si="9"/>
        <v>347.52015751665556</v>
      </c>
    </row>
    <row r="86" spans="1:13">
      <c r="A86">
        <v>344</v>
      </c>
      <c r="K86">
        <f t="shared" si="10"/>
        <v>8.8235294117647065</v>
      </c>
      <c r="L86">
        <f t="shared" si="11"/>
        <v>332.96294728542796</v>
      </c>
      <c r="M86">
        <f t="shared" si="9"/>
        <v>343.40236471817218</v>
      </c>
    </row>
  </sheetData>
  <phoneticPr fontId="1" type="noConversion"/>
  <conditionalFormatting sqref="A2:A86">
    <cfRule type="cellIs" dxfId="13" priority="1" operator="lessThan">
      <formula>$C$3</formula>
    </cfRule>
    <cfRule type="cellIs" dxfId="12" priority="2" operator="greaterThan">
      <formula>$C$4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E0A3-FEF0-40F8-92C7-5A935E83103B}">
  <dimension ref="A1:AT47"/>
  <sheetViews>
    <sheetView topLeftCell="G1" zoomScale="55" zoomScaleNormal="55" workbookViewId="0">
      <selection activeCell="X21" sqref="X21"/>
    </sheetView>
  </sheetViews>
  <sheetFormatPr defaultRowHeight="16.5"/>
  <cols>
    <col min="1" max="1" width="11.375" customWidth="1"/>
    <col min="2" max="6" width="0" hidden="1" customWidth="1"/>
    <col min="7" max="7" width="12.25" customWidth="1"/>
    <col min="9" max="14" width="9" customWidth="1"/>
    <col min="23" max="23" width="15" customWidth="1"/>
    <col min="25" max="25" width="13.25" customWidth="1"/>
    <col min="27" max="27" width="11.875" customWidth="1"/>
    <col min="33" max="33" width="12.625" customWidth="1"/>
  </cols>
  <sheetData>
    <row r="1" spans="1:46">
      <c r="A1" s="41" t="s">
        <v>90</v>
      </c>
      <c r="B1" s="41"/>
      <c r="C1" s="41"/>
      <c r="D1" s="41"/>
      <c r="E1" s="41"/>
      <c r="F1" s="41"/>
      <c r="G1" s="41"/>
      <c r="H1" s="41"/>
      <c r="I1" s="41" t="s">
        <v>130</v>
      </c>
      <c r="J1" s="41"/>
      <c r="K1" s="41"/>
      <c r="L1" s="41" t="s">
        <v>132</v>
      </c>
      <c r="M1" s="41"/>
      <c r="N1" s="41"/>
      <c r="O1" s="45" t="s">
        <v>134</v>
      </c>
      <c r="P1" s="45"/>
      <c r="Q1" s="45"/>
      <c r="R1" s="45"/>
      <c r="S1" s="45"/>
      <c r="T1" s="45"/>
      <c r="U1" s="45"/>
      <c r="V1" s="45"/>
      <c r="W1" s="41" t="s">
        <v>133</v>
      </c>
      <c r="X1" s="41"/>
      <c r="Y1" s="41"/>
      <c r="Z1" s="41"/>
      <c r="AO1" t="str" cm="1">
        <f t="array" ref="AO1:AT4">TRANSPOSE(W2:Z7)</f>
        <v>X_bar_bar</v>
      </c>
      <c r="AP1" t="str">
        <v>sample variance</v>
      </c>
      <c r="AQ1" t="str">
        <v>standard error σ</v>
      </c>
      <c r="AR1" t="str">
        <v>CL</v>
      </c>
      <c r="AS1" t="str">
        <v>UCL</v>
      </c>
      <c r="AT1" t="str">
        <v>LCL</v>
      </c>
    </row>
    <row r="2" spans="1:46">
      <c r="A2" t="s">
        <v>127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128</v>
      </c>
      <c r="H2" t="s">
        <v>129</v>
      </c>
      <c r="I2" t="s">
        <v>21</v>
      </c>
      <c r="J2" t="s">
        <v>19</v>
      </c>
      <c r="K2" t="s">
        <v>20</v>
      </c>
      <c r="L2" t="s">
        <v>21</v>
      </c>
      <c r="M2" t="s">
        <v>19</v>
      </c>
      <c r="N2" t="s">
        <v>20</v>
      </c>
      <c r="O2" s="34" t="s">
        <v>130</v>
      </c>
      <c r="P2" t="s">
        <v>21</v>
      </c>
      <c r="Q2" t="s">
        <v>19</v>
      </c>
      <c r="R2" t="s">
        <v>20</v>
      </c>
      <c r="S2" s="34" t="s">
        <v>129</v>
      </c>
      <c r="T2" t="s">
        <v>21</v>
      </c>
      <c r="U2" t="s">
        <v>19</v>
      </c>
      <c r="V2" t="s">
        <v>20</v>
      </c>
      <c r="W2" t="s">
        <v>130</v>
      </c>
      <c r="X2">
        <f>AVERAGE(G3:G47)</f>
        <v>354.39111111111112</v>
      </c>
      <c r="Y2" t="s">
        <v>132</v>
      </c>
      <c r="Z2">
        <f>AVERAGE(H3:H47)</f>
        <v>9.8222222222222229</v>
      </c>
      <c r="AA2" t="s">
        <v>127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128</v>
      </c>
      <c r="AH2" t="s">
        <v>21</v>
      </c>
      <c r="AI2" t="s">
        <v>19</v>
      </c>
      <c r="AJ2" t="s">
        <v>20</v>
      </c>
      <c r="AK2" t="s">
        <v>129</v>
      </c>
      <c r="AL2" t="s">
        <v>21</v>
      </c>
      <c r="AM2" t="s">
        <v>19</v>
      </c>
      <c r="AN2" t="s">
        <v>20</v>
      </c>
      <c r="AO2">
        <v>354.39111111111112</v>
      </c>
      <c r="AP2">
        <v>26.341737373737384</v>
      </c>
      <c r="AQ2">
        <v>5.1324202257548421</v>
      </c>
      <c r="AR2">
        <v>354.39111111111112</v>
      </c>
      <c r="AS2">
        <v>369.78837178837563</v>
      </c>
      <c r="AT2">
        <v>338.9938504338466</v>
      </c>
    </row>
    <row r="3" spans="1:46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MAX(B3:F3)-MIN(B3:F3)</f>
        <v>8</v>
      </c>
      <c r="I3">
        <f>$X$5</f>
        <v>354.39111111111112</v>
      </c>
      <c r="J3">
        <f>$X$6</f>
        <v>369.78837178837563</v>
      </c>
      <c r="K3">
        <f>$X$7</f>
        <v>338.9938504338466</v>
      </c>
      <c r="L3">
        <f>$Z$5</f>
        <v>9.8222222222222229</v>
      </c>
      <c r="M3">
        <f>$Z$6</f>
        <v>17.610908655995015</v>
      </c>
      <c r="N3">
        <f>$Z$7</f>
        <v>2.0335357884494316</v>
      </c>
      <c r="O3" cm="1">
        <f t="array" ref="O3:O18">G3:G18</f>
        <v>354.6</v>
      </c>
      <c r="P3">
        <f>$X$12</f>
        <v>354.97073170731704</v>
      </c>
      <c r="Q3">
        <f>$X$13</f>
        <v>362.65513783667899</v>
      </c>
      <c r="R3">
        <f>$X$14</f>
        <v>347.2863255779551</v>
      </c>
      <c r="S3" cm="1">
        <f t="array" ref="S3:S18">H3:H18</f>
        <v>8</v>
      </c>
      <c r="T3">
        <f>$Z$12</f>
        <v>9.9024390243902438</v>
      </c>
      <c r="U3">
        <f>$Z$13</f>
        <v>16.802598089364849</v>
      </c>
      <c r="V3">
        <f>$Z$14</f>
        <v>3.00227995941564</v>
      </c>
      <c r="W3" t="s">
        <v>68</v>
      </c>
      <c r="X3">
        <f>_xlfn.VAR.S(G3:G47)</f>
        <v>26.341737373737384</v>
      </c>
      <c r="Y3" t="s">
        <v>68</v>
      </c>
      <c r="Z3">
        <f>_xlfn.VAR.S(H3:H47)</f>
        <v>6.7404040404040355</v>
      </c>
      <c r="AA3">
        <v>46</v>
      </c>
      <c r="AB3">
        <v>351</v>
      </c>
      <c r="AC3">
        <v>352</v>
      </c>
      <c r="AD3">
        <v>361</v>
      </c>
      <c r="AE3">
        <v>352</v>
      </c>
      <c r="AF3">
        <v>360</v>
      </c>
      <c r="AG3">
        <f t="shared" ref="AG3:AG22" si="0">AVERAGE(AB3:AF3)</f>
        <v>355.2</v>
      </c>
      <c r="AH3">
        <f>$X$12</f>
        <v>354.97073170731704</v>
      </c>
      <c r="AI3">
        <f>$X$13</f>
        <v>362.65513783667899</v>
      </c>
      <c r="AJ3">
        <f>$X$14</f>
        <v>347.2863255779551</v>
      </c>
      <c r="AK3">
        <f>MAX(AB3:AF3)-MIN(AB3:AF3)</f>
        <v>10</v>
      </c>
      <c r="AL3">
        <f>$Z$12</f>
        <v>9.9024390243902438</v>
      </c>
      <c r="AM3">
        <f>$Z$13</f>
        <v>16.802598089364849</v>
      </c>
      <c r="AN3">
        <f>$Z$14</f>
        <v>3.00227995941564</v>
      </c>
      <c r="AO3" t="str">
        <v>R_bar</v>
      </c>
      <c r="AP3" t="str">
        <v>sample variance</v>
      </c>
      <c r="AQ3" t="str">
        <v>standard error σ</v>
      </c>
      <c r="AR3" t="str">
        <v>CL</v>
      </c>
      <c r="AS3" t="str">
        <v>UCL</v>
      </c>
      <c r="AT3" t="str">
        <v>LCL</v>
      </c>
    </row>
    <row r="4" spans="1:46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MAX(B4:F4)-MIN(B4:F4)</f>
        <v>8</v>
      </c>
      <c r="I4">
        <f t="shared" ref="I4:I47" si="3">$X$5</f>
        <v>354.39111111111112</v>
      </c>
      <c r="J4">
        <f t="shared" ref="J4:J47" si="4">$X$6</f>
        <v>369.78837178837563</v>
      </c>
      <c r="K4">
        <f t="shared" ref="K4:K47" si="5">$X$7</f>
        <v>338.9938504338466</v>
      </c>
      <c r="L4">
        <f t="shared" ref="L4:L47" si="6">$Z$5</f>
        <v>9.8222222222222229</v>
      </c>
      <c r="M4">
        <f t="shared" ref="M4:M47" si="7">$Z$6</f>
        <v>17.610908655995015</v>
      </c>
      <c r="N4">
        <f t="shared" ref="N4:N47" si="8">$Z$7</f>
        <v>2.0335357884494316</v>
      </c>
      <c r="O4">
        <v>353.8</v>
      </c>
      <c r="P4">
        <f t="shared" ref="P4:P43" si="9">$X$12</f>
        <v>354.97073170731704</v>
      </c>
      <c r="Q4">
        <f t="shared" ref="Q4:Q43" si="10">$X$13</f>
        <v>362.65513783667899</v>
      </c>
      <c r="R4">
        <f t="shared" ref="R4:R43" si="11">$X$14</f>
        <v>347.2863255779551</v>
      </c>
      <c r="S4">
        <v>8</v>
      </c>
      <c r="T4">
        <f t="shared" ref="T4:T43" si="12">$Z$12</f>
        <v>9.9024390243902438</v>
      </c>
      <c r="U4">
        <f t="shared" ref="U4:U43" si="13">$Z$13</f>
        <v>16.802598089364849</v>
      </c>
      <c r="V4">
        <f t="shared" ref="V4:V43" si="14">$Z$14</f>
        <v>3.00227995941564</v>
      </c>
      <c r="W4" t="s">
        <v>131</v>
      </c>
      <c r="X4">
        <f>X3^0.5</f>
        <v>5.1324202257548421</v>
      </c>
      <c r="Y4" t="s">
        <v>131</v>
      </c>
      <c r="Z4">
        <f>Z3^0.5</f>
        <v>2.5962288112575971</v>
      </c>
      <c r="AA4">
        <v>47</v>
      </c>
      <c r="AB4">
        <v>351</v>
      </c>
      <c r="AC4">
        <v>353</v>
      </c>
      <c r="AD4">
        <v>360</v>
      </c>
      <c r="AE4">
        <v>353</v>
      </c>
      <c r="AF4">
        <v>361</v>
      </c>
      <c r="AG4">
        <f t="shared" si="0"/>
        <v>355.6</v>
      </c>
      <c r="AH4">
        <f t="shared" ref="AH4:AH42" si="15">$X$12</f>
        <v>354.97073170731704</v>
      </c>
      <c r="AI4">
        <f t="shared" ref="AI4:AI42" si="16">$X$13</f>
        <v>362.65513783667899</v>
      </c>
      <c r="AJ4">
        <f t="shared" ref="AJ4:AJ42" si="17">$X$14</f>
        <v>347.2863255779551</v>
      </c>
      <c r="AK4">
        <f t="shared" ref="AK4:AK42" si="18">MAX(AB4:AF4)-MIN(AB4:AF4)</f>
        <v>10</v>
      </c>
      <c r="AL4">
        <f t="shared" ref="AL4:AL42" si="19">$Z$12</f>
        <v>9.9024390243902438</v>
      </c>
      <c r="AM4">
        <f t="shared" ref="AM4:AM42" si="20">$Z$13</f>
        <v>16.802598089364849</v>
      </c>
      <c r="AN4">
        <f t="shared" ref="AN4:AN42" si="21">$Z$14</f>
        <v>3.00227995941564</v>
      </c>
      <c r="AO4">
        <v>9.8222222222222229</v>
      </c>
      <c r="AP4">
        <v>6.7404040404040355</v>
      </c>
      <c r="AQ4">
        <v>2.5962288112575971</v>
      </c>
      <c r="AR4">
        <v>9.8222222222222229</v>
      </c>
      <c r="AS4">
        <v>17.610908655995015</v>
      </c>
      <c r="AT4">
        <v>2.0335357884494316</v>
      </c>
    </row>
    <row r="5" spans="1:46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6</v>
      </c>
      <c r="I5">
        <f t="shared" si="3"/>
        <v>354.39111111111112</v>
      </c>
      <c r="J5">
        <f t="shared" si="4"/>
        <v>369.78837178837563</v>
      </c>
      <c r="K5">
        <f t="shared" si="5"/>
        <v>338.9938504338466</v>
      </c>
      <c r="L5">
        <f t="shared" si="6"/>
        <v>9.8222222222222229</v>
      </c>
      <c r="M5">
        <f t="shared" si="7"/>
        <v>17.610908655995015</v>
      </c>
      <c r="N5">
        <f t="shared" si="8"/>
        <v>2.0335357884494316</v>
      </c>
      <c r="O5">
        <v>353.6</v>
      </c>
      <c r="P5">
        <f t="shared" si="9"/>
        <v>354.97073170731704</v>
      </c>
      <c r="Q5">
        <f t="shared" si="10"/>
        <v>362.65513783667899</v>
      </c>
      <c r="R5">
        <f t="shared" si="11"/>
        <v>347.2863255779551</v>
      </c>
      <c r="S5">
        <v>6</v>
      </c>
      <c r="T5">
        <f t="shared" si="12"/>
        <v>9.9024390243902438</v>
      </c>
      <c r="U5">
        <f t="shared" si="13"/>
        <v>16.802598089364849</v>
      </c>
      <c r="V5">
        <f t="shared" si="14"/>
        <v>3.00227995941564</v>
      </c>
      <c r="W5" t="s">
        <v>21</v>
      </c>
      <c r="X5">
        <f>X2</f>
        <v>354.39111111111112</v>
      </c>
      <c r="Y5" t="s">
        <v>21</v>
      </c>
      <c r="Z5">
        <f>Z2</f>
        <v>9.8222222222222229</v>
      </c>
      <c r="AA5">
        <v>48</v>
      </c>
      <c r="AB5">
        <v>355</v>
      </c>
      <c r="AC5">
        <v>355</v>
      </c>
      <c r="AD5">
        <v>262</v>
      </c>
      <c r="AE5">
        <v>252</v>
      </c>
      <c r="AF5">
        <v>364</v>
      </c>
      <c r="AG5">
        <f t="shared" si="0"/>
        <v>317.60000000000002</v>
      </c>
      <c r="AH5">
        <f t="shared" si="15"/>
        <v>354.97073170731704</v>
      </c>
      <c r="AI5">
        <f t="shared" si="16"/>
        <v>362.65513783667899</v>
      </c>
      <c r="AJ5">
        <f t="shared" si="17"/>
        <v>347.2863255779551</v>
      </c>
      <c r="AK5">
        <f t="shared" si="18"/>
        <v>112</v>
      </c>
      <c r="AL5">
        <f t="shared" si="19"/>
        <v>9.9024390243902438</v>
      </c>
      <c r="AM5">
        <f t="shared" si="20"/>
        <v>16.802598089364849</v>
      </c>
      <c r="AN5">
        <f t="shared" si="21"/>
        <v>3.00227995941564</v>
      </c>
    </row>
    <row r="6" spans="1:46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9</v>
      </c>
      <c r="I6">
        <f t="shared" si="3"/>
        <v>354.39111111111112</v>
      </c>
      <c r="J6">
        <f t="shared" si="4"/>
        <v>369.78837178837563</v>
      </c>
      <c r="K6">
        <f t="shared" si="5"/>
        <v>338.9938504338466</v>
      </c>
      <c r="L6">
        <f t="shared" si="6"/>
        <v>9.8222222222222229</v>
      </c>
      <c r="M6">
        <f t="shared" si="7"/>
        <v>17.610908655995015</v>
      </c>
      <c r="N6">
        <f t="shared" si="8"/>
        <v>2.0335357884494316</v>
      </c>
      <c r="O6">
        <v>357.6</v>
      </c>
      <c r="P6">
        <f t="shared" si="9"/>
        <v>354.97073170731704</v>
      </c>
      <c r="Q6">
        <f t="shared" si="10"/>
        <v>362.65513783667899</v>
      </c>
      <c r="R6">
        <f t="shared" si="11"/>
        <v>347.2863255779551</v>
      </c>
      <c r="S6">
        <v>9</v>
      </c>
      <c r="T6">
        <f t="shared" si="12"/>
        <v>9.9024390243902438</v>
      </c>
      <c r="U6">
        <f t="shared" si="13"/>
        <v>16.802598089364849</v>
      </c>
      <c r="V6">
        <f t="shared" si="14"/>
        <v>3.00227995941564</v>
      </c>
      <c r="W6" t="s">
        <v>19</v>
      </c>
      <c r="X6">
        <f>X5+3*X4</f>
        <v>369.78837178837563</v>
      </c>
      <c r="Y6" t="s">
        <v>19</v>
      </c>
      <c r="Z6">
        <f>Z5+3*Z4</f>
        <v>17.610908655995015</v>
      </c>
      <c r="AA6">
        <v>49</v>
      </c>
      <c r="AB6">
        <v>356</v>
      </c>
      <c r="AC6">
        <v>355</v>
      </c>
      <c r="AD6">
        <v>364</v>
      </c>
      <c r="AE6">
        <v>356</v>
      </c>
      <c r="AF6">
        <v>364</v>
      </c>
      <c r="AG6">
        <f t="shared" si="0"/>
        <v>359</v>
      </c>
      <c r="AH6">
        <f t="shared" si="15"/>
        <v>354.97073170731704</v>
      </c>
      <c r="AI6">
        <f t="shared" si="16"/>
        <v>362.65513783667899</v>
      </c>
      <c r="AJ6">
        <f t="shared" si="17"/>
        <v>347.2863255779551</v>
      </c>
      <c r="AK6">
        <f t="shared" si="18"/>
        <v>9</v>
      </c>
      <c r="AL6">
        <f t="shared" si="19"/>
        <v>9.9024390243902438</v>
      </c>
      <c r="AM6">
        <f t="shared" si="20"/>
        <v>16.802598089364849</v>
      </c>
      <c r="AN6">
        <f t="shared" si="21"/>
        <v>3.00227995941564</v>
      </c>
      <c r="AO6" t="str" cm="1">
        <f t="array" ref="AO6:AT9">TRANSPOSE(W9:Z14)</f>
        <v>X_bar_bar</v>
      </c>
      <c r="AP6" t="str">
        <v>sample variance</v>
      </c>
      <c r="AQ6" t="str">
        <v>standard error σ</v>
      </c>
      <c r="AR6" t="str">
        <v>CL</v>
      </c>
      <c r="AS6" t="str">
        <v>UCL</v>
      </c>
      <c r="AT6" t="str">
        <v>LCL</v>
      </c>
    </row>
    <row r="7" spans="1:46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</v>
      </c>
      <c r="I7">
        <f t="shared" si="3"/>
        <v>354.39111111111112</v>
      </c>
      <c r="J7">
        <f t="shared" si="4"/>
        <v>369.78837178837563</v>
      </c>
      <c r="K7">
        <f t="shared" si="5"/>
        <v>338.9938504338466</v>
      </c>
      <c r="L7">
        <f t="shared" si="6"/>
        <v>9.8222222222222229</v>
      </c>
      <c r="M7">
        <f t="shared" si="7"/>
        <v>17.610908655995015</v>
      </c>
      <c r="N7">
        <f t="shared" si="8"/>
        <v>2.0335357884494316</v>
      </c>
      <c r="O7">
        <v>353.8</v>
      </c>
      <c r="P7">
        <f t="shared" si="9"/>
        <v>354.97073170731704</v>
      </c>
      <c r="Q7">
        <f t="shared" si="10"/>
        <v>362.65513783667899</v>
      </c>
      <c r="R7">
        <f t="shared" si="11"/>
        <v>347.2863255779551</v>
      </c>
      <c r="S7">
        <v>7</v>
      </c>
      <c r="T7">
        <f t="shared" si="12"/>
        <v>9.9024390243902438</v>
      </c>
      <c r="U7">
        <f t="shared" si="13"/>
        <v>16.802598089364849</v>
      </c>
      <c r="V7">
        <f t="shared" si="14"/>
        <v>3.00227995941564</v>
      </c>
      <c r="W7" t="s">
        <v>20</v>
      </c>
      <c r="X7">
        <f>X5-3*X4</f>
        <v>338.9938504338466</v>
      </c>
      <c r="Y7" t="s">
        <v>20</v>
      </c>
      <c r="Z7">
        <f>Z5-3*Z4</f>
        <v>2.0335357884494316</v>
      </c>
      <c r="AA7">
        <v>50</v>
      </c>
      <c r="AB7">
        <v>351</v>
      </c>
      <c r="AC7">
        <v>350</v>
      </c>
      <c r="AD7">
        <v>359</v>
      </c>
      <c r="AE7">
        <v>351</v>
      </c>
      <c r="AF7">
        <v>359</v>
      </c>
      <c r="AG7">
        <f t="shared" si="0"/>
        <v>354</v>
      </c>
      <c r="AH7">
        <f t="shared" si="15"/>
        <v>354.97073170731704</v>
      </c>
      <c r="AI7">
        <f t="shared" si="16"/>
        <v>362.65513783667899</v>
      </c>
      <c r="AJ7">
        <f t="shared" si="17"/>
        <v>347.2863255779551</v>
      </c>
      <c r="AK7">
        <f t="shared" si="18"/>
        <v>9</v>
      </c>
      <c r="AL7">
        <f t="shared" si="19"/>
        <v>9.9024390243902438</v>
      </c>
      <c r="AM7">
        <f t="shared" si="20"/>
        <v>16.802598089364849</v>
      </c>
      <c r="AN7">
        <f t="shared" si="21"/>
        <v>3.00227995941564</v>
      </c>
      <c r="AO7">
        <v>354.97073170731704</v>
      </c>
      <c r="AP7">
        <v>6.5611219512195289</v>
      </c>
      <c r="AQ7">
        <v>2.5614687097873223</v>
      </c>
      <c r="AR7">
        <v>354.97073170731704</v>
      </c>
      <c r="AS7">
        <v>362.65513783667899</v>
      </c>
      <c r="AT7">
        <v>347.2863255779551</v>
      </c>
    </row>
    <row r="8" spans="1:46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5</v>
      </c>
      <c r="I8">
        <f t="shared" si="3"/>
        <v>354.39111111111112</v>
      </c>
      <c r="J8">
        <f t="shared" si="4"/>
        <v>369.78837178837563</v>
      </c>
      <c r="K8">
        <f t="shared" si="5"/>
        <v>338.9938504338466</v>
      </c>
      <c r="L8">
        <f t="shared" si="6"/>
        <v>9.8222222222222229</v>
      </c>
      <c r="M8">
        <f t="shared" si="7"/>
        <v>17.610908655995015</v>
      </c>
      <c r="N8">
        <f t="shared" si="8"/>
        <v>2.0335357884494316</v>
      </c>
      <c r="O8">
        <v>352.4</v>
      </c>
      <c r="P8">
        <f t="shared" si="9"/>
        <v>354.97073170731704</v>
      </c>
      <c r="Q8">
        <f t="shared" si="10"/>
        <v>362.65513783667899</v>
      </c>
      <c r="R8">
        <f t="shared" si="11"/>
        <v>347.2863255779551</v>
      </c>
      <c r="S8">
        <v>5</v>
      </c>
      <c r="T8">
        <f t="shared" si="12"/>
        <v>9.9024390243902438</v>
      </c>
      <c r="U8">
        <f t="shared" si="13"/>
        <v>16.802598089364849</v>
      </c>
      <c r="V8">
        <f t="shared" si="14"/>
        <v>3.00227995941564</v>
      </c>
      <c r="W8" s="45" t="s">
        <v>134</v>
      </c>
      <c r="X8" s="45"/>
      <c r="Y8" s="45"/>
      <c r="Z8" s="45"/>
      <c r="AA8">
        <v>51</v>
      </c>
      <c r="AB8">
        <v>352</v>
      </c>
      <c r="AC8">
        <v>351</v>
      </c>
      <c r="AD8">
        <v>360</v>
      </c>
      <c r="AE8">
        <v>351</v>
      </c>
      <c r="AF8">
        <v>360</v>
      </c>
      <c r="AG8">
        <f t="shared" si="0"/>
        <v>354.8</v>
      </c>
      <c r="AH8">
        <f t="shared" si="15"/>
        <v>354.97073170731704</v>
      </c>
      <c r="AI8">
        <f t="shared" si="16"/>
        <v>362.65513783667899</v>
      </c>
      <c r="AJ8">
        <f t="shared" si="17"/>
        <v>347.2863255779551</v>
      </c>
      <c r="AK8">
        <f t="shared" si="18"/>
        <v>9</v>
      </c>
      <c r="AL8">
        <f t="shared" si="19"/>
        <v>9.9024390243902438</v>
      </c>
      <c r="AM8">
        <f t="shared" si="20"/>
        <v>16.802598089364849</v>
      </c>
      <c r="AN8">
        <f t="shared" si="21"/>
        <v>3.00227995941564</v>
      </c>
      <c r="AO8" t="str">
        <v>R_bar</v>
      </c>
      <c r="AP8" t="str">
        <v>sample variance</v>
      </c>
      <c r="AQ8" t="str">
        <v>standard error σ</v>
      </c>
      <c r="AR8" t="str">
        <v>CL</v>
      </c>
      <c r="AS8" t="str">
        <v>UCL</v>
      </c>
      <c r="AT8" t="str">
        <v>LCL</v>
      </c>
    </row>
    <row r="9" spans="1:46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11</v>
      </c>
      <c r="I9">
        <f t="shared" si="3"/>
        <v>354.39111111111112</v>
      </c>
      <c r="J9">
        <f t="shared" si="4"/>
        <v>369.78837178837563</v>
      </c>
      <c r="K9">
        <f t="shared" si="5"/>
        <v>338.9938504338466</v>
      </c>
      <c r="L9">
        <f t="shared" si="6"/>
        <v>9.8222222222222229</v>
      </c>
      <c r="M9">
        <f t="shared" si="7"/>
        <v>17.610908655995015</v>
      </c>
      <c r="N9">
        <f t="shared" si="8"/>
        <v>2.0335357884494316</v>
      </c>
      <c r="O9">
        <v>355.6</v>
      </c>
      <c r="P9">
        <f t="shared" si="9"/>
        <v>354.97073170731704</v>
      </c>
      <c r="Q9">
        <f t="shared" si="10"/>
        <v>362.65513783667899</v>
      </c>
      <c r="R9">
        <f t="shared" si="11"/>
        <v>347.2863255779551</v>
      </c>
      <c r="S9">
        <v>11</v>
      </c>
      <c r="T9">
        <f t="shared" si="12"/>
        <v>9.9024390243902438</v>
      </c>
      <c r="U9">
        <f t="shared" si="13"/>
        <v>16.802598089364849</v>
      </c>
      <c r="V9">
        <f t="shared" si="14"/>
        <v>3.00227995941564</v>
      </c>
      <c r="W9" t="s">
        <v>130</v>
      </c>
      <c r="X9">
        <f>AVERAGE(O3:O43)</f>
        <v>354.97073170731704</v>
      </c>
      <c r="Y9" t="s">
        <v>132</v>
      </c>
      <c r="Z9">
        <f>AVERAGE(S3:S43)</f>
        <v>9.9024390243902438</v>
      </c>
      <c r="AA9">
        <v>52</v>
      </c>
      <c r="AB9">
        <v>355</v>
      </c>
      <c r="AC9">
        <v>352</v>
      </c>
      <c r="AD9">
        <v>362</v>
      </c>
      <c r="AE9">
        <v>354</v>
      </c>
      <c r="AF9">
        <v>362</v>
      </c>
      <c r="AG9">
        <f t="shared" si="0"/>
        <v>357</v>
      </c>
      <c r="AH9">
        <f t="shared" si="15"/>
        <v>354.97073170731704</v>
      </c>
      <c r="AI9">
        <f t="shared" si="16"/>
        <v>362.65513783667899</v>
      </c>
      <c r="AJ9">
        <f t="shared" si="17"/>
        <v>347.2863255779551</v>
      </c>
      <c r="AK9">
        <f t="shared" si="18"/>
        <v>10</v>
      </c>
      <c r="AL9">
        <f t="shared" si="19"/>
        <v>9.9024390243902438</v>
      </c>
      <c r="AM9">
        <f t="shared" si="20"/>
        <v>16.802598089364849</v>
      </c>
      <c r="AN9">
        <f t="shared" si="21"/>
        <v>3.00227995941564</v>
      </c>
      <c r="AO9">
        <v>9.9024390243902438</v>
      </c>
      <c r="AP9">
        <v>5.2902439024390215</v>
      </c>
      <c r="AQ9">
        <v>2.3000530216582011</v>
      </c>
      <c r="AR9">
        <v>9.9024390243902438</v>
      </c>
      <c r="AS9">
        <v>16.802598089364849</v>
      </c>
      <c r="AT9">
        <v>3.00227995941564</v>
      </c>
    </row>
    <row r="10" spans="1:46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</v>
      </c>
      <c r="I10">
        <f t="shared" si="3"/>
        <v>354.39111111111112</v>
      </c>
      <c r="J10">
        <f t="shared" si="4"/>
        <v>369.78837178837563</v>
      </c>
      <c r="K10">
        <f t="shared" si="5"/>
        <v>338.9938504338466</v>
      </c>
      <c r="L10">
        <f t="shared" si="6"/>
        <v>9.8222222222222229</v>
      </c>
      <c r="M10">
        <f t="shared" si="7"/>
        <v>17.610908655995015</v>
      </c>
      <c r="N10">
        <f t="shared" si="8"/>
        <v>2.0335357884494316</v>
      </c>
      <c r="O10">
        <v>353.2</v>
      </c>
      <c r="P10">
        <f t="shared" si="9"/>
        <v>354.97073170731704</v>
      </c>
      <c r="Q10">
        <f t="shared" si="10"/>
        <v>362.65513783667899</v>
      </c>
      <c r="R10">
        <f t="shared" si="11"/>
        <v>347.2863255779551</v>
      </c>
      <c r="S10">
        <v>7</v>
      </c>
      <c r="T10">
        <f t="shared" si="12"/>
        <v>9.9024390243902438</v>
      </c>
      <c r="U10">
        <f t="shared" si="13"/>
        <v>16.802598089364849</v>
      </c>
      <c r="V10">
        <f t="shared" si="14"/>
        <v>3.00227995941564</v>
      </c>
      <c r="W10" t="s">
        <v>68</v>
      </c>
      <c r="X10">
        <f>_xlfn.VAR.S(O3:O43)</f>
        <v>6.5611219512195289</v>
      </c>
      <c r="Y10" t="s">
        <v>68</v>
      </c>
      <c r="Z10">
        <f>_xlfn.VAR.S(S3:S43)</f>
        <v>5.2902439024390215</v>
      </c>
      <c r="AA10">
        <v>53</v>
      </c>
      <c r="AB10">
        <v>349</v>
      </c>
      <c r="AC10">
        <v>347</v>
      </c>
      <c r="AD10">
        <v>357</v>
      </c>
      <c r="AE10">
        <v>348</v>
      </c>
      <c r="AF10">
        <v>358</v>
      </c>
      <c r="AG10">
        <f t="shared" si="0"/>
        <v>351.8</v>
      </c>
      <c r="AH10">
        <f t="shared" si="15"/>
        <v>354.97073170731704</v>
      </c>
      <c r="AI10">
        <f t="shared" si="16"/>
        <v>362.65513783667899</v>
      </c>
      <c r="AJ10">
        <f t="shared" si="17"/>
        <v>347.2863255779551</v>
      </c>
      <c r="AK10">
        <f t="shared" si="18"/>
        <v>11</v>
      </c>
      <c r="AL10">
        <f t="shared" si="19"/>
        <v>9.9024390243902438</v>
      </c>
      <c r="AM10">
        <f t="shared" si="20"/>
        <v>16.802598089364849</v>
      </c>
      <c r="AN10">
        <f t="shared" si="21"/>
        <v>3.00227995941564</v>
      </c>
    </row>
    <row r="11" spans="1:46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7</v>
      </c>
      <c r="I11">
        <f t="shared" si="3"/>
        <v>354.39111111111112</v>
      </c>
      <c r="J11">
        <f t="shared" si="4"/>
        <v>369.78837178837563</v>
      </c>
      <c r="K11">
        <f t="shared" si="5"/>
        <v>338.9938504338466</v>
      </c>
      <c r="L11">
        <f t="shared" si="6"/>
        <v>9.8222222222222229</v>
      </c>
      <c r="M11">
        <f t="shared" si="7"/>
        <v>17.610908655995015</v>
      </c>
      <c r="N11">
        <f t="shared" si="8"/>
        <v>2.0335357884494316</v>
      </c>
      <c r="O11">
        <v>355</v>
      </c>
      <c r="P11">
        <f t="shared" si="9"/>
        <v>354.97073170731704</v>
      </c>
      <c r="Q11">
        <f t="shared" si="10"/>
        <v>362.65513783667899</v>
      </c>
      <c r="R11">
        <f t="shared" si="11"/>
        <v>347.2863255779551</v>
      </c>
      <c r="S11">
        <v>7</v>
      </c>
      <c r="T11">
        <f t="shared" si="12"/>
        <v>9.9024390243902438</v>
      </c>
      <c r="U11">
        <f t="shared" si="13"/>
        <v>16.802598089364849</v>
      </c>
      <c r="V11">
        <f t="shared" si="14"/>
        <v>3.00227995941564</v>
      </c>
      <c r="W11" t="s">
        <v>135</v>
      </c>
      <c r="X11">
        <f>X10^0.5</f>
        <v>2.5614687097873223</v>
      </c>
      <c r="Y11" t="s">
        <v>135</v>
      </c>
      <c r="Z11">
        <f>Z10^0.5</f>
        <v>2.3000530216582011</v>
      </c>
      <c r="AA11">
        <v>54</v>
      </c>
      <c r="AB11">
        <v>350</v>
      </c>
      <c r="AC11">
        <v>349</v>
      </c>
      <c r="AD11">
        <v>359</v>
      </c>
      <c r="AE11">
        <v>350</v>
      </c>
      <c r="AF11">
        <v>359</v>
      </c>
      <c r="AG11">
        <f t="shared" si="0"/>
        <v>353.4</v>
      </c>
      <c r="AH11">
        <f t="shared" si="15"/>
        <v>354.97073170731704</v>
      </c>
      <c r="AI11">
        <f t="shared" si="16"/>
        <v>362.65513783667899</v>
      </c>
      <c r="AJ11">
        <f t="shared" si="17"/>
        <v>347.2863255779551</v>
      </c>
      <c r="AK11">
        <f t="shared" si="18"/>
        <v>10</v>
      </c>
      <c r="AL11">
        <f t="shared" si="19"/>
        <v>9.9024390243902438</v>
      </c>
      <c r="AM11">
        <f t="shared" si="20"/>
        <v>16.802598089364849</v>
      </c>
      <c r="AN11">
        <f t="shared" si="21"/>
        <v>3.00227995941564</v>
      </c>
    </row>
    <row r="12" spans="1:46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9</v>
      </c>
      <c r="I12">
        <f t="shared" si="3"/>
        <v>354.39111111111112</v>
      </c>
      <c r="J12">
        <f t="shared" si="4"/>
        <v>369.78837178837563</v>
      </c>
      <c r="K12">
        <f t="shared" si="5"/>
        <v>338.9938504338466</v>
      </c>
      <c r="L12">
        <f t="shared" si="6"/>
        <v>9.8222222222222229</v>
      </c>
      <c r="M12">
        <f t="shared" si="7"/>
        <v>17.610908655995015</v>
      </c>
      <c r="N12">
        <f t="shared" si="8"/>
        <v>2.0335357884494316</v>
      </c>
      <c r="O12">
        <v>354.4</v>
      </c>
      <c r="P12">
        <f t="shared" si="9"/>
        <v>354.97073170731704</v>
      </c>
      <c r="Q12">
        <f t="shared" si="10"/>
        <v>362.65513783667899</v>
      </c>
      <c r="R12">
        <f t="shared" si="11"/>
        <v>347.2863255779551</v>
      </c>
      <c r="S12">
        <v>9</v>
      </c>
      <c r="T12">
        <f t="shared" si="12"/>
        <v>9.9024390243902438</v>
      </c>
      <c r="U12">
        <f t="shared" si="13"/>
        <v>16.802598089364849</v>
      </c>
      <c r="V12">
        <f t="shared" si="14"/>
        <v>3.00227995941564</v>
      </c>
      <c r="W12" t="s">
        <v>21</v>
      </c>
      <c r="X12">
        <f>X9</f>
        <v>354.97073170731704</v>
      </c>
      <c r="Y12" t="s">
        <v>21</v>
      </c>
      <c r="Z12">
        <f>Z9</f>
        <v>9.9024390243902438</v>
      </c>
      <c r="AA12">
        <v>55</v>
      </c>
      <c r="AB12">
        <v>349</v>
      </c>
      <c r="AC12">
        <v>348</v>
      </c>
      <c r="AD12">
        <v>357</v>
      </c>
      <c r="AE12">
        <v>349</v>
      </c>
      <c r="AF12">
        <v>358</v>
      </c>
      <c r="AG12">
        <f t="shared" si="0"/>
        <v>352.2</v>
      </c>
      <c r="AH12">
        <f t="shared" si="15"/>
        <v>354.97073170731704</v>
      </c>
      <c r="AI12">
        <f t="shared" si="16"/>
        <v>362.65513783667899</v>
      </c>
      <c r="AJ12">
        <f t="shared" si="17"/>
        <v>347.2863255779551</v>
      </c>
      <c r="AK12">
        <f t="shared" si="18"/>
        <v>10</v>
      </c>
      <c r="AL12">
        <f t="shared" si="19"/>
        <v>9.9024390243902438</v>
      </c>
      <c r="AM12">
        <f t="shared" si="20"/>
        <v>16.802598089364849</v>
      </c>
      <c r="AN12">
        <f t="shared" si="21"/>
        <v>3.00227995941564</v>
      </c>
    </row>
    <row r="13" spans="1:46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</v>
      </c>
      <c r="I13">
        <f t="shared" si="3"/>
        <v>354.39111111111112</v>
      </c>
      <c r="J13">
        <f t="shared" si="4"/>
        <v>369.78837178837563</v>
      </c>
      <c r="K13">
        <f t="shared" si="5"/>
        <v>338.9938504338466</v>
      </c>
      <c r="L13">
        <f t="shared" si="6"/>
        <v>9.8222222222222229</v>
      </c>
      <c r="M13">
        <f t="shared" si="7"/>
        <v>17.610908655995015</v>
      </c>
      <c r="N13">
        <f t="shared" si="8"/>
        <v>2.0335357884494316</v>
      </c>
      <c r="O13">
        <v>354</v>
      </c>
      <c r="P13">
        <f t="shared" si="9"/>
        <v>354.97073170731704</v>
      </c>
      <c r="Q13">
        <f t="shared" si="10"/>
        <v>362.65513783667899</v>
      </c>
      <c r="R13">
        <f t="shared" si="11"/>
        <v>347.2863255779551</v>
      </c>
      <c r="S13">
        <v>8</v>
      </c>
      <c r="T13">
        <f t="shared" si="12"/>
        <v>9.9024390243902438</v>
      </c>
      <c r="U13">
        <f t="shared" si="13"/>
        <v>16.802598089364849</v>
      </c>
      <c r="V13">
        <f t="shared" si="14"/>
        <v>3.00227995941564</v>
      </c>
      <c r="W13" t="s">
        <v>19</v>
      </c>
      <c r="X13">
        <f>X12+3*X11</f>
        <v>362.65513783667899</v>
      </c>
      <c r="Y13" t="s">
        <v>19</v>
      </c>
      <c r="Z13">
        <f>Z12+3*Z11</f>
        <v>16.802598089364849</v>
      </c>
      <c r="AA13">
        <v>56</v>
      </c>
      <c r="AB13">
        <v>348</v>
      </c>
      <c r="AC13">
        <v>347</v>
      </c>
      <c r="AD13">
        <v>348</v>
      </c>
      <c r="AE13">
        <v>349</v>
      </c>
      <c r="AF13">
        <v>351</v>
      </c>
      <c r="AG13">
        <f t="shared" si="0"/>
        <v>348.6</v>
      </c>
      <c r="AH13">
        <f t="shared" si="15"/>
        <v>354.97073170731704</v>
      </c>
      <c r="AI13">
        <f t="shared" si="16"/>
        <v>362.65513783667899</v>
      </c>
      <c r="AJ13">
        <f t="shared" si="17"/>
        <v>347.2863255779551</v>
      </c>
      <c r="AK13">
        <f t="shared" si="18"/>
        <v>4</v>
      </c>
      <c r="AL13">
        <f t="shared" si="19"/>
        <v>9.9024390243902438</v>
      </c>
      <c r="AM13">
        <f t="shared" si="20"/>
        <v>16.802598089364849</v>
      </c>
      <c r="AN13">
        <f t="shared" si="21"/>
        <v>3.00227995941564</v>
      </c>
    </row>
    <row r="14" spans="1:46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10</v>
      </c>
      <c r="I14">
        <f t="shared" si="3"/>
        <v>354.39111111111112</v>
      </c>
      <c r="J14">
        <f t="shared" si="4"/>
        <v>369.78837178837563</v>
      </c>
      <c r="K14">
        <f t="shared" si="5"/>
        <v>338.9938504338466</v>
      </c>
      <c r="L14">
        <f t="shared" si="6"/>
        <v>9.8222222222222229</v>
      </c>
      <c r="M14">
        <f t="shared" si="7"/>
        <v>17.610908655995015</v>
      </c>
      <c r="N14">
        <f t="shared" si="8"/>
        <v>2.0335357884494316</v>
      </c>
      <c r="O14">
        <v>353.2</v>
      </c>
      <c r="P14">
        <f t="shared" si="9"/>
        <v>354.97073170731704</v>
      </c>
      <c r="Q14">
        <f t="shared" si="10"/>
        <v>362.65513783667899</v>
      </c>
      <c r="R14">
        <f t="shared" si="11"/>
        <v>347.2863255779551</v>
      </c>
      <c r="S14">
        <v>10</v>
      </c>
      <c r="T14">
        <f t="shared" si="12"/>
        <v>9.9024390243902438</v>
      </c>
      <c r="U14">
        <f t="shared" si="13"/>
        <v>16.802598089364849</v>
      </c>
      <c r="V14">
        <f t="shared" si="14"/>
        <v>3.00227995941564</v>
      </c>
      <c r="W14" t="s">
        <v>20</v>
      </c>
      <c r="X14">
        <f>X12-3*X11</f>
        <v>347.2863255779551</v>
      </c>
      <c r="Y14" t="s">
        <v>20</v>
      </c>
      <c r="Z14">
        <f>Z12-3*Z11</f>
        <v>3.00227995941564</v>
      </c>
      <c r="AA14">
        <v>57</v>
      </c>
      <c r="AB14">
        <v>348</v>
      </c>
      <c r="AC14">
        <v>347</v>
      </c>
      <c r="AD14">
        <v>349</v>
      </c>
      <c r="AE14">
        <v>350</v>
      </c>
      <c r="AF14">
        <v>351</v>
      </c>
      <c r="AG14">
        <f t="shared" si="0"/>
        <v>349</v>
      </c>
      <c r="AH14">
        <f t="shared" si="15"/>
        <v>354.97073170731704</v>
      </c>
      <c r="AI14">
        <f t="shared" si="16"/>
        <v>362.65513783667899</v>
      </c>
      <c r="AJ14">
        <f t="shared" si="17"/>
        <v>347.2863255779551</v>
      </c>
      <c r="AK14">
        <f t="shared" si="18"/>
        <v>4</v>
      </c>
      <c r="AL14">
        <f t="shared" si="19"/>
        <v>9.9024390243902438</v>
      </c>
      <c r="AM14">
        <f t="shared" si="20"/>
        <v>16.802598089364849</v>
      </c>
      <c r="AN14">
        <f t="shared" si="21"/>
        <v>3.00227995941564</v>
      </c>
    </row>
    <row r="15" spans="1:46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11</v>
      </c>
      <c r="I15">
        <f t="shared" si="3"/>
        <v>354.39111111111112</v>
      </c>
      <c r="J15">
        <f t="shared" si="4"/>
        <v>369.78837178837563</v>
      </c>
      <c r="K15">
        <f t="shared" si="5"/>
        <v>338.9938504338466</v>
      </c>
      <c r="L15">
        <f t="shared" si="6"/>
        <v>9.8222222222222229</v>
      </c>
      <c r="M15">
        <f t="shared" si="7"/>
        <v>17.610908655995015</v>
      </c>
      <c r="N15">
        <f t="shared" si="8"/>
        <v>2.0335357884494316</v>
      </c>
      <c r="O15">
        <v>354.2</v>
      </c>
      <c r="P15">
        <f t="shared" si="9"/>
        <v>354.97073170731704</v>
      </c>
      <c r="Q15">
        <f t="shared" si="10"/>
        <v>362.65513783667899</v>
      </c>
      <c r="R15">
        <f t="shared" si="11"/>
        <v>347.2863255779551</v>
      </c>
      <c r="S15">
        <v>11</v>
      </c>
      <c r="T15">
        <f t="shared" si="12"/>
        <v>9.9024390243902438</v>
      </c>
      <c r="U15">
        <f t="shared" si="13"/>
        <v>16.802598089364849</v>
      </c>
      <c r="V15">
        <f t="shared" si="14"/>
        <v>3.00227995941564</v>
      </c>
      <c r="AA15">
        <v>58</v>
      </c>
      <c r="AB15">
        <v>345</v>
      </c>
      <c r="AC15">
        <v>346</v>
      </c>
      <c r="AD15">
        <v>355</v>
      </c>
      <c r="AE15">
        <v>346</v>
      </c>
      <c r="AF15">
        <v>355</v>
      </c>
      <c r="AG15">
        <f t="shared" si="0"/>
        <v>349.4</v>
      </c>
      <c r="AH15">
        <f t="shared" si="15"/>
        <v>354.97073170731704</v>
      </c>
      <c r="AI15">
        <f t="shared" si="16"/>
        <v>362.65513783667899</v>
      </c>
      <c r="AJ15">
        <f t="shared" si="17"/>
        <v>347.2863255779551</v>
      </c>
      <c r="AK15">
        <f t="shared" si="18"/>
        <v>10</v>
      </c>
      <c r="AL15">
        <f t="shared" si="19"/>
        <v>9.9024390243902438</v>
      </c>
      <c r="AM15">
        <f t="shared" si="20"/>
        <v>16.802598089364849</v>
      </c>
      <c r="AN15">
        <f t="shared" si="21"/>
        <v>3.00227995941564</v>
      </c>
    </row>
    <row r="16" spans="1:46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11</v>
      </c>
      <c r="I16">
        <f t="shared" si="3"/>
        <v>354.39111111111112</v>
      </c>
      <c r="J16">
        <f t="shared" si="4"/>
        <v>369.78837178837563</v>
      </c>
      <c r="K16">
        <f t="shared" si="5"/>
        <v>338.9938504338466</v>
      </c>
      <c r="L16">
        <f t="shared" si="6"/>
        <v>9.8222222222222229</v>
      </c>
      <c r="M16">
        <f t="shared" si="7"/>
        <v>17.610908655995015</v>
      </c>
      <c r="N16">
        <f t="shared" si="8"/>
        <v>2.0335357884494316</v>
      </c>
      <c r="O16">
        <v>353.8</v>
      </c>
      <c r="P16">
        <f t="shared" si="9"/>
        <v>354.97073170731704</v>
      </c>
      <c r="Q16">
        <f t="shared" si="10"/>
        <v>362.65513783667899</v>
      </c>
      <c r="R16">
        <f t="shared" si="11"/>
        <v>347.2863255779551</v>
      </c>
      <c r="S16">
        <v>11</v>
      </c>
      <c r="T16">
        <f t="shared" si="12"/>
        <v>9.9024390243902438</v>
      </c>
      <c r="U16">
        <f t="shared" si="13"/>
        <v>16.802598089364849</v>
      </c>
      <c r="V16">
        <f t="shared" si="14"/>
        <v>3.00227995941564</v>
      </c>
      <c r="AA16">
        <v>59</v>
      </c>
      <c r="AB16">
        <v>343</v>
      </c>
      <c r="AC16">
        <v>346</v>
      </c>
      <c r="AD16">
        <v>356</v>
      </c>
      <c r="AE16">
        <v>346</v>
      </c>
      <c r="AF16">
        <v>356</v>
      </c>
      <c r="AG16">
        <f t="shared" si="0"/>
        <v>349.4</v>
      </c>
      <c r="AH16">
        <f t="shared" si="15"/>
        <v>354.97073170731704</v>
      </c>
      <c r="AI16">
        <f t="shared" si="16"/>
        <v>362.65513783667899</v>
      </c>
      <c r="AJ16">
        <f t="shared" si="17"/>
        <v>347.2863255779551</v>
      </c>
      <c r="AK16">
        <f t="shared" si="18"/>
        <v>13</v>
      </c>
      <c r="AL16">
        <f t="shared" si="19"/>
        <v>9.9024390243902438</v>
      </c>
      <c r="AM16">
        <f t="shared" si="20"/>
        <v>16.802598089364849</v>
      </c>
      <c r="AN16">
        <f t="shared" si="21"/>
        <v>3.00227995941564</v>
      </c>
    </row>
    <row r="17" spans="1:40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9</v>
      </c>
      <c r="I17">
        <f t="shared" si="3"/>
        <v>354.39111111111112</v>
      </c>
      <c r="J17">
        <f t="shared" si="4"/>
        <v>369.78837178837563</v>
      </c>
      <c r="K17">
        <f t="shared" si="5"/>
        <v>338.9938504338466</v>
      </c>
      <c r="L17">
        <f t="shared" si="6"/>
        <v>9.8222222222222229</v>
      </c>
      <c r="M17">
        <f t="shared" si="7"/>
        <v>17.610908655995015</v>
      </c>
      <c r="N17">
        <f t="shared" si="8"/>
        <v>2.0335357884494316</v>
      </c>
      <c r="O17">
        <v>354.6</v>
      </c>
      <c r="P17">
        <f t="shared" si="9"/>
        <v>354.97073170731704</v>
      </c>
      <c r="Q17">
        <f t="shared" si="10"/>
        <v>362.65513783667899</v>
      </c>
      <c r="R17">
        <f t="shared" si="11"/>
        <v>347.2863255779551</v>
      </c>
      <c r="S17">
        <v>9</v>
      </c>
      <c r="T17">
        <f t="shared" si="12"/>
        <v>9.9024390243902438</v>
      </c>
      <c r="U17">
        <f t="shared" si="13"/>
        <v>16.802598089364849</v>
      </c>
      <c r="V17">
        <f t="shared" si="14"/>
        <v>3.00227995941564</v>
      </c>
      <c r="AA17">
        <v>60</v>
      </c>
      <c r="AB17">
        <v>348</v>
      </c>
      <c r="AC17">
        <v>350</v>
      </c>
      <c r="AD17">
        <v>359</v>
      </c>
      <c r="AE17">
        <v>349</v>
      </c>
      <c r="AF17">
        <v>357</v>
      </c>
      <c r="AG17">
        <f t="shared" si="0"/>
        <v>352.6</v>
      </c>
      <c r="AH17">
        <f t="shared" si="15"/>
        <v>354.97073170731704</v>
      </c>
      <c r="AI17">
        <f t="shared" si="16"/>
        <v>362.65513783667899</v>
      </c>
      <c r="AJ17">
        <f t="shared" si="17"/>
        <v>347.2863255779551</v>
      </c>
      <c r="AK17">
        <f t="shared" si="18"/>
        <v>11</v>
      </c>
      <c r="AL17">
        <f t="shared" si="19"/>
        <v>9.9024390243902438</v>
      </c>
      <c r="AM17">
        <f t="shared" si="20"/>
        <v>16.802598089364849</v>
      </c>
      <c r="AN17">
        <f t="shared" si="21"/>
        <v>3.00227995941564</v>
      </c>
    </row>
    <row r="18" spans="1:40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10</v>
      </c>
      <c r="I18">
        <f t="shared" si="3"/>
        <v>354.39111111111112</v>
      </c>
      <c r="J18">
        <f t="shared" si="4"/>
        <v>369.78837178837563</v>
      </c>
      <c r="K18">
        <f t="shared" si="5"/>
        <v>338.9938504338466</v>
      </c>
      <c r="L18">
        <f t="shared" si="6"/>
        <v>9.8222222222222229</v>
      </c>
      <c r="M18">
        <f t="shared" si="7"/>
        <v>17.610908655995015</v>
      </c>
      <c r="N18">
        <f t="shared" si="8"/>
        <v>2.0335357884494316</v>
      </c>
      <c r="O18">
        <v>353.2</v>
      </c>
      <c r="P18">
        <f t="shared" si="9"/>
        <v>354.97073170731704</v>
      </c>
      <c r="Q18">
        <f t="shared" si="10"/>
        <v>362.65513783667899</v>
      </c>
      <c r="R18">
        <f t="shared" si="11"/>
        <v>347.2863255779551</v>
      </c>
      <c r="S18">
        <v>10</v>
      </c>
      <c r="T18">
        <f t="shared" si="12"/>
        <v>9.9024390243902438</v>
      </c>
      <c r="U18">
        <f t="shared" si="13"/>
        <v>16.802598089364849</v>
      </c>
      <c r="V18">
        <f t="shared" si="14"/>
        <v>3.00227995941564</v>
      </c>
      <c r="AA18">
        <v>61</v>
      </c>
      <c r="AB18">
        <v>350</v>
      </c>
      <c r="AC18">
        <v>351</v>
      </c>
      <c r="AD18">
        <v>360</v>
      </c>
      <c r="AE18">
        <v>350</v>
      </c>
      <c r="AF18">
        <v>355</v>
      </c>
      <c r="AG18">
        <f t="shared" si="0"/>
        <v>353.2</v>
      </c>
      <c r="AH18">
        <f t="shared" si="15"/>
        <v>354.97073170731704</v>
      </c>
      <c r="AI18">
        <f t="shared" si="16"/>
        <v>362.65513783667899</v>
      </c>
      <c r="AJ18">
        <f t="shared" si="17"/>
        <v>347.2863255779551</v>
      </c>
      <c r="AK18">
        <f t="shared" si="18"/>
        <v>10</v>
      </c>
      <c r="AL18">
        <f t="shared" si="19"/>
        <v>9.9024390243902438</v>
      </c>
      <c r="AM18">
        <f t="shared" si="20"/>
        <v>16.802598089364849</v>
      </c>
      <c r="AN18">
        <f t="shared" si="21"/>
        <v>3.00227995941564</v>
      </c>
    </row>
    <row r="19" spans="1:40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8</v>
      </c>
      <c r="I19">
        <f t="shared" si="3"/>
        <v>354.39111111111112</v>
      </c>
      <c r="J19">
        <f t="shared" si="4"/>
        <v>369.78837178837563</v>
      </c>
      <c r="K19">
        <f t="shared" si="5"/>
        <v>338.9938504338466</v>
      </c>
      <c r="L19">
        <f t="shared" si="6"/>
        <v>9.8222222222222229</v>
      </c>
      <c r="M19">
        <f t="shared" si="7"/>
        <v>17.610908655995015</v>
      </c>
      <c r="N19">
        <f t="shared" si="8"/>
        <v>2.0335357884494316</v>
      </c>
      <c r="O19" cm="1">
        <f t="array" ref="O19:O26">G20:G27</f>
        <v>357.2</v>
      </c>
      <c r="P19">
        <f t="shared" si="9"/>
        <v>354.97073170731704</v>
      </c>
      <c r="Q19">
        <f t="shared" si="10"/>
        <v>362.65513783667899</v>
      </c>
      <c r="R19">
        <f t="shared" si="11"/>
        <v>347.2863255779551</v>
      </c>
      <c r="S19" cm="1">
        <f t="array" ref="S19:S26">H20:H27</f>
        <v>10</v>
      </c>
      <c r="T19">
        <f t="shared" si="12"/>
        <v>9.9024390243902438</v>
      </c>
      <c r="U19">
        <f t="shared" si="13"/>
        <v>16.802598089364849</v>
      </c>
      <c r="V19">
        <f t="shared" si="14"/>
        <v>3.00227995941564</v>
      </c>
      <c r="AA19">
        <v>62</v>
      </c>
      <c r="AB19">
        <v>350</v>
      </c>
      <c r="AC19">
        <v>351</v>
      </c>
      <c r="AD19">
        <v>359</v>
      </c>
      <c r="AE19">
        <v>351</v>
      </c>
      <c r="AF19">
        <v>354</v>
      </c>
      <c r="AG19">
        <f t="shared" si="0"/>
        <v>353</v>
      </c>
      <c r="AH19">
        <f t="shared" si="15"/>
        <v>354.97073170731704</v>
      </c>
      <c r="AI19">
        <f t="shared" si="16"/>
        <v>362.65513783667899</v>
      </c>
      <c r="AJ19">
        <f t="shared" si="17"/>
        <v>347.2863255779551</v>
      </c>
      <c r="AK19">
        <f t="shared" si="18"/>
        <v>9</v>
      </c>
      <c r="AL19">
        <f t="shared" si="19"/>
        <v>9.9024390243902438</v>
      </c>
      <c r="AM19">
        <f t="shared" si="20"/>
        <v>16.802598089364849</v>
      </c>
      <c r="AN19">
        <f t="shared" si="21"/>
        <v>3.00227995941564</v>
      </c>
    </row>
    <row r="20" spans="1:40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10</v>
      </c>
      <c r="I20">
        <f t="shared" si="3"/>
        <v>354.39111111111112</v>
      </c>
      <c r="J20">
        <f t="shared" si="4"/>
        <v>369.78837178837563</v>
      </c>
      <c r="K20">
        <f t="shared" si="5"/>
        <v>338.9938504338466</v>
      </c>
      <c r="L20">
        <f t="shared" si="6"/>
        <v>9.8222222222222229</v>
      </c>
      <c r="M20">
        <f t="shared" si="7"/>
        <v>17.610908655995015</v>
      </c>
      <c r="N20">
        <f t="shared" si="8"/>
        <v>2.0335357884494316</v>
      </c>
      <c r="O20">
        <v>359.4</v>
      </c>
      <c r="P20">
        <f t="shared" si="9"/>
        <v>354.97073170731704</v>
      </c>
      <c r="Q20">
        <f t="shared" si="10"/>
        <v>362.65513783667899</v>
      </c>
      <c r="R20">
        <f t="shared" si="11"/>
        <v>347.2863255779551</v>
      </c>
      <c r="S20">
        <v>12</v>
      </c>
      <c r="T20">
        <f t="shared" si="12"/>
        <v>9.9024390243902438</v>
      </c>
      <c r="U20">
        <f t="shared" si="13"/>
        <v>16.802598089364849</v>
      </c>
      <c r="V20">
        <f t="shared" si="14"/>
        <v>3.00227995941564</v>
      </c>
      <c r="AA20">
        <v>63</v>
      </c>
      <c r="AB20">
        <v>348</v>
      </c>
      <c r="AC20">
        <v>347</v>
      </c>
      <c r="AD20">
        <v>356</v>
      </c>
      <c r="AE20">
        <v>344</v>
      </c>
      <c r="AF20">
        <v>355</v>
      </c>
      <c r="AG20">
        <f t="shared" si="0"/>
        <v>350</v>
      </c>
      <c r="AH20">
        <f t="shared" si="15"/>
        <v>354.97073170731704</v>
      </c>
      <c r="AI20">
        <f t="shared" si="16"/>
        <v>362.65513783667899</v>
      </c>
      <c r="AJ20">
        <f t="shared" si="17"/>
        <v>347.2863255779551</v>
      </c>
      <c r="AK20">
        <f t="shared" si="18"/>
        <v>12</v>
      </c>
      <c r="AL20">
        <f t="shared" si="19"/>
        <v>9.9024390243902438</v>
      </c>
      <c r="AM20">
        <f t="shared" si="20"/>
        <v>16.802598089364849</v>
      </c>
      <c r="AN20">
        <f t="shared" si="21"/>
        <v>3.00227995941564</v>
      </c>
    </row>
    <row r="21" spans="1:40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12</v>
      </c>
      <c r="I21">
        <f t="shared" si="3"/>
        <v>354.39111111111112</v>
      </c>
      <c r="J21">
        <f t="shared" si="4"/>
        <v>369.78837178837563</v>
      </c>
      <c r="K21">
        <f t="shared" si="5"/>
        <v>338.9938504338466</v>
      </c>
      <c r="L21">
        <f t="shared" si="6"/>
        <v>9.8222222222222229</v>
      </c>
      <c r="M21">
        <f t="shared" si="7"/>
        <v>17.610908655995015</v>
      </c>
      <c r="N21">
        <f t="shared" si="8"/>
        <v>2.0335357884494316</v>
      </c>
      <c r="O21">
        <v>356.6</v>
      </c>
      <c r="P21">
        <f t="shared" si="9"/>
        <v>354.97073170731704</v>
      </c>
      <c r="Q21">
        <f t="shared" si="10"/>
        <v>362.65513783667899</v>
      </c>
      <c r="R21">
        <f t="shared" si="11"/>
        <v>347.2863255779551</v>
      </c>
      <c r="S21">
        <v>11</v>
      </c>
      <c r="T21">
        <f t="shared" si="12"/>
        <v>9.9024390243902438</v>
      </c>
      <c r="U21">
        <f t="shared" si="13"/>
        <v>16.802598089364849</v>
      </c>
      <c r="V21">
        <f t="shared" si="14"/>
        <v>3.00227995941564</v>
      </c>
      <c r="Y21" s="33"/>
      <c r="AA21">
        <v>64</v>
      </c>
      <c r="AB21">
        <v>347</v>
      </c>
      <c r="AC21">
        <v>349</v>
      </c>
      <c r="AD21">
        <v>358</v>
      </c>
      <c r="AE21">
        <v>348</v>
      </c>
      <c r="AF21">
        <v>357</v>
      </c>
      <c r="AG21">
        <f t="shared" si="0"/>
        <v>351.8</v>
      </c>
      <c r="AH21">
        <f t="shared" si="15"/>
        <v>354.97073170731704</v>
      </c>
      <c r="AI21">
        <f t="shared" si="16"/>
        <v>362.65513783667899</v>
      </c>
      <c r="AJ21">
        <f t="shared" si="17"/>
        <v>347.2863255779551</v>
      </c>
      <c r="AK21">
        <f t="shared" si="18"/>
        <v>11</v>
      </c>
      <c r="AL21">
        <f t="shared" si="19"/>
        <v>9.9024390243902438</v>
      </c>
      <c r="AM21">
        <f t="shared" si="20"/>
        <v>16.802598089364849</v>
      </c>
      <c r="AN21">
        <f t="shared" si="21"/>
        <v>3.00227995941564</v>
      </c>
    </row>
    <row r="22" spans="1:40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11</v>
      </c>
      <c r="I22">
        <f t="shared" si="3"/>
        <v>354.39111111111112</v>
      </c>
      <c r="J22">
        <f t="shared" si="4"/>
        <v>369.78837178837563</v>
      </c>
      <c r="K22">
        <f t="shared" si="5"/>
        <v>338.9938504338466</v>
      </c>
      <c r="L22">
        <f t="shared" si="6"/>
        <v>9.8222222222222229</v>
      </c>
      <c r="M22">
        <f t="shared" si="7"/>
        <v>17.610908655995015</v>
      </c>
      <c r="N22">
        <f t="shared" si="8"/>
        <v>2.0335357884494316</v>
      </c>
      <c r="O22">
        <v>357.8</v>
      </c>
      <c r="P22">
        <f t="shared" si="9"/>
        <v>354.97073170731704</v>
      </c>
      <c r="Q22">
        <f t="shared" si="10"/>
        <v>362.65513783667899</v>
      </c>
      <c r="R22">
        <f t="shared" si="11"/>
        <v>347.2863255779551</v>
      </c>
      <c r="S22">
        <v>11</v>
      </c>
      <c r="T22">
        <f t="shared" si="12"/>
        <v>9.9024390243902438</v>
      </c>
      <c r="U22">
        <f t="shared" si="13"/>
        <v>16.802598089364849</v>
      </c>
      <c r="V22">
        <f t="shared" si="14"/>
        <v>3.00227995941564</v>
      </c>
      <c r="AA22">
        <v>65</v>
      </c>
      <c r="AB22">
        <v>349</v>
      </c>
      <c r="AC22">
        <v>348</v>
      </c>
      <c r="AD22">
        <v>359</v>
      </c>
      <c r="AE22">
        <v>349</v>
      </c>
      <c r="AF22">
        <v>357</v>
      </c>
      <c r="AG22">
        <f t="shared" si="0"/>
        <v>352.4</v>
      </c>
      <c r="AH22">
        <f t="shared" si="15"/>
        <v>354.97073170731704</v>
      </c>
      <c r="AI22">
        <f t="shared" si="16"/>
        <v>362.65513783667899</v>
      </c>
      <c r="AJ22">
        <f t="shared" si="17"/>
        <v>347.2863255779551</v>
      </c>
      <c r="AK22">
        <f t="shared" si="18"/>
        <v>11</v>
      </c>
      <c r="AL22">
        <f t="shared" si="19"/>
        <v>9.9024390243902438</v>
      </c>
      <c r="AM22">
        <f t="shared" si="20"/>
        <v>16.802598089364849</v>
      </c>
      <c r="AN22">
        <f t="shared" si="21"/>
        <v>3.00227995941564</v>
      </c>
    </row>
    <row r="23" spans="1:40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</v>
      </c>
      <c r="I23">
        <f t="shared" si="3"/>
        <v>354.39111111111112</v>
      </c>
      <c r="J23">
        <f t="shared" si="4"/>
        <v>369.78837178837563</v>
      </c>
      <c r="K23">
        <f t="shared" si="5"/>
        <v>338.9938504338466</v>
      </c>
      <c r="L23">
        <f t="shared" si="6"/>
        <v>9.8222222222222229</v>
      </c>
      <c r="M23">
        <f t="shared" si="7"/>
        <v>17.610908655995015</v>
      </c>
      <c r="N23">
        <f t="shared" si="8"/>
        <v>2.0335357884494316</v>
      </c>
      <c r="O23">
        <v>356.8</v>
      </c>
      <c r="P23">
        <f t="shared" si="9"/>
        <v>354.97073170731704</v>
      </c>
      <c r="Q23">
        <f t="shared" si="10"/>
        <v>362.65513783667899</v>
      </c>
      <c r="R23">
        <f t="shared" si="11"/>
        <v>347.2863255779551</v>
      </c>
      <c r="S23">
        <v>6</v>
      </c>
      <c r="T23">
        <f t="shared" si="12"/>
        <v>9.9024390243902438</v>
      </c>
      <c r="U23">
        <f t="shared" si="13"/>
        <v>16.802598089364849</v>
      </c>
      <c r="V23">
        <f t="shared" si="14"/>
        <v>3.00227995941564</v>
      </c>
      <c r="AA23">
        <v>66</v>
      </c>
      <c r="AB23">
        <v>347</v>
      </c>
      <c r="AC23">
        <v>347</v>
      </c>
      <c r="AD23">
        <v>343</v>
      </c>
      <c r="AE23">
        <v>341</v>
      </c>
      <c r="AF23">
        <v>343</v>
      </c>
      <c r="AG23">
        <f t="shared" ref="AG23:AG42" si="22">AVERAGE(AB23:AF23)</f>
        <v>344.2</v>
      </c>
      <c r="AH23">
        <f t="shared" si="15"/>
        <v>354.97073170731704</v>
      </c>
      <c r="AI23">
        <f t="shared" si="16"/>
        <v>362.65513783667899</v>
      </c>
      <c r="AJ23">
        <f t="shared" si="17"/>
        <v>347.2863255779551</v>
      </c>
      <c r="AK23">
        <f t="shared" si="18"/>
        <v>6</v>
      </c>
      <c r="AL23">
        <f t="shared" si="19"/>
        <v>9.9024390243902438</v>
      </c>
      <c r="AM23">
        <f t="shared" si="20"/>
        <v>16.802598089364849</v>
      </c>
      <c r="AN23">
        <f t="shared" si="21"/>
        <v>3.00227995941564</v>
      </c>
    </row>
    <row r="24" spans="1:40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6</v>
      </c>
      <c r="I24">
        <f t="shared" si="3"/>
        <v>354.39111111111112</v>
      </c>
      <c r="J24">
        <f t="shared" si="4"/>
        <v>369.78837178837563</v>
      </c>
      <c r="K24">
        <f t="shared" si="5"/>
        <v>338.9938504338466</v>
      </c>
      <c r="L24">
        <f t="shared" si="6"/>
        <v>9.8222222222222229</v>
      </c>
      <c r="M24">
        <f t="shared" si="7"/>
        <v>17.610908655995015</v>
      </c>
      <c r="N24">
        <f t="shared" si="8"/>
        <v>2.0335357884494316</v>
      </c>
      <c r="O24">
        <v>360.6</v>
      </c>
      <c r="P24">
        <f t="shared" si="9"/>
        <v>354.97073170731704</v>
      </c>
      <c r="Q24">
        <f t="shared" si="10"/>
        <v>362.65513783667899</v>
      </c>
      <c r="R24">
        <f t="shared" si="11"/>
        <v>347.2863255779551</v>
      </c>
      <c r="S24">
        <v>10</v>
      </c>
      <c r="T24">
        <f t="shared" si="12"/>
        <v>9.9024390243902438</v>
      </c>
      <c r="U24">
        <f t="shared" si="13"/>
        <v>16.802598089364849</v>
      </c>
      <c r="V24">
        <f t="shared" si="14"/>
        <v>3.00227995941564</v>
      </c>
      <c r="AA24">
        <v>67</v>
      </c>
      <c r="AB24">
        <v>348</v>
      </c>
      <c r="AC24">
        <v>347</v>
      </c>
      <c r="AD24">
        <v>356</v>
      </c>
      <c r="AE24">
        <v>346</v>
      </c>
      <c r="AF24">
        <v>355</v>
      </c>
      <c r="AG24">
        <f t="shared" si="22"/>
        <v>350.4</v>
      </c>
      <c r="AH24">
        <f t="shared" si="15"/>
        <v>354.97073170731704</v>
      </c>
      <c r="AI24">
        <f t="shared" si="16"/>
        <v>362.65513783667899</v>
      </c>
      <c r="AJ24">
        <f t="shared" si="17"/>
        <v>347.2863255779551</v>
      </c>
      <c r="AK24">
        <f t="shared" si="18"/>
        <v>10</v>
      </c>
      <c r="AL24">
        <f t="shared" si="19"/>
        <v>9.9024390243902438</v>
      </c>
      <c r="AM24">
        <f t="shared" si="20"/>
        <v>16.802598089364849</v>
      </c>
      <c r="AN24">
        <f t="shared" si="21"/>
        <v>3.00227995941564</v>
      </c>
    </row>
    <row r="25" spans="1:40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10</v>
      </c>
      <c r="I25">
        <f t="shared" si="3"/>
        <v>354.39111111111112</v>
      </c>
      <c r="J25">
        <f t="shared" si="4"/>
        <v>369.78837178837563</v>
      </c>
      <c r="K25">
        <f t="shared" si="5"/>
        <v>338.9938504338466</v>
      </c>
      <c r="L25">
        <f t="shared" si="6"/>
        <v>9.8222222222222229</v>
      </c>
      <c r="M25">
        <f t="shared" si="7"/>
        <v>17.610908655995015</v>
      </c>
      <c r="N25">
        <f t="shared" si="8"/>
        <v>2.0335357884494316</v>
      </c>
      <c r="O25">
        <v>360.2</v>
      </c>
      <c r="P25">
        <f t="shared" si="9"/>
        <v>354.97073170731704</v>
      </c>
      <c r="Q25">
        <f t="shared" si="10"/>
        <v>362.65513783667899</v>
      </c>
      <c r="R25">
        <f t="shared" si="11"/>
        <v>347.2863255779551</v>
      </c>
      <c r="S25">
        <v>11</v>
      </c>
      <c r="T25">
        <f t="shared" si="12"/>
        <v>9.9024390243902438</v>
      </c>
      <c r="U25">
        <f t="shared" si="13"/>
        <v>16.802598089364849</v>
      </c>
      <c r="V25">
        <f t="shared" si="14"/>
        <v>3.00227995941564</v>
      </c>
      <c r="AA25">
        <v>68</v>
      </c>
      <c r="AB25">
        <v>345</v>
      </c>
      <c r="AC25">
        <v>346</v>
      </c>
      <c r="AD25">
        <v>355</v>
      </c>
      <c r="AE25">
        <v>347</v>
      </c>
      <c r="AF25">
        <v>353</v>
      </c>
      <c r="AG25">
        <f t="shared" si="22"/>
        <v>349.2</v>
      </c>
      <c r="AH25">
        <f t="shared" si="15"/>
        <v>354.97073170731704</v>
      </c>
      <c r="AI25">
        <f t="shared" si="16"/>
        <v>362.65513783667899</v>
      </c>
      <c r="AJ25">
        <f t="shared" si="17"/>
        <v>347.2863255779551</v>
      </c>
      <c r="AK25">
        <f t="shared" si="18"/>
        <v>10</v>
      </c>
      <c r="AL25">
        <f t="shared" si="19"/>
        <v>9.9024390243902438</v>
      </c>
      <c r="AM25">
        <f t="shared" si="20"/>
        <v>16.802598089364849</v>
      </c>
      <c r="AN25">
        <f t="shared" si="21"/>
        <v>3.00227995941564</v>
      </c>
    </row>
    <row r="26" spans="1:40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11</v>
      </c>
      <c r="I26">
        <f t="shared" si="3"/>
        <v>354.39111111111112</v>
      </c>
      <c r="J26">
        <f t="shared" si="4"/>
        <v>369.78837178837563</v>
      </c>
      <c r="K26">
        <f t="shared" si="5"/>
        <v>338.9938504338466</v>
      </c>
      <c r="L26">
        <f t="shared" si="6"/>
        <v>9.8222222222222229</v>
      </c>
      <c r="M26">
        <f t="shared" si="7"/>
        <v>17.610908655995015</v>
      </c>
      <c r="N26">
        <f t="shared" si="8"/>
        <v>2.0335357884494316</v>
      </c>
      <c r="O26">
        <v>358.8</v>
      </c>
      <c r="P26">
        <f t="shared" si="9"/>
        <v>354.97073170731704</v>
      </c>
      <c r="Q26">
        <f t="shared" si="10"/>
        <v>362.65513783667899</v>
      </c>
      <c r="R26">
        <f t="shared" si="11"/>
        <v>347.2863255779551</v>
      </c>
      <c r="S26">
        <v>12</v>
      </c>
      <c r="T26">
        <f t="shared" si="12"/>
        <v>9.9024390243902438</v>
      </c>
      <c r="U26">
        <f t="shared" si="13"/>
        <v>16.802598089364849</v>
      </c>
      <c r="V26">
        <f t="shared" si="14"/>
        <v>3.00227995941564</v>
      </c>
      <c r="AA26">
        <v>69</v>
      </c>
      <c r="AB26">
        <v>345</v>
      </c>
      <c r="AC26">
        <v>345</v>
      </c>
      <c r="AD26">
        <v>353</v>
      </c>
      <c r="AE26">
        <v>345</v>
      </c>
      <c r="AF26">
        <v>353</v>
      </c>
      <c r="AG26">
        <f t="shared" si="22"/>
        <v>348.2</v>
      </c>
      <c r="AH26">
        <f t="shared" si="15"/>
        <v>354.97073170731704</v>
      </c>
      <c r="AI26">
        <f t="shared" si="16"/>
        <v>362.65513783667899</v>
      </c>
      <c r="AJ26">
        <f t="shared" si="17"/>
        <v>347.2863255779551</v>
      </c>
      <c r="AK26">
        <f t="shared" si="18"/>
        <v>8</v>
      </c>
      <c r="AL26">
        <f t="shared" si="19"/>
        <v>9.9024390243902438</v>
      </c>
      <c r="AM26">
        <f t="shared" si="20"/>
        <v>16.802598089364849</v>
      </c>
      <c r="AN26">
        <f t="shared" si="21"/>
        <v>3.00227995941564</v>
      </c>
    </row>
    <row r="27" spans="1:40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</v>
      </c>
      <c r="I27">
        <f t="shared" si="3"/>
        <v>354.39111111111112</v>
      </c>
      <c r="J27">
        <f t="shared" si="4"/>
        <v>369.78837178837563</v>
      </c>
      <c r="K27">
        <f t="shared" si="5"/>
        <v>338.9938504338466</v>
      </c>
      <c r="L27">
        <f t="shared" si="6"/>
        <v>9.8222222222222229</v>
      </c>
      <c r="M27">
        <f t="shared" si="7"/>
        <v>17.610908655995015</v>
      </c>
      <c r="N27">
        <f t="shared" si="8"/>
        <v>2.0335357884494316</v>
      </c>
      <c r="O27">
        <f>G29</f>
        <v>354.6</v>
      </c>
      <c r="P27">
        <f t="shared" si="9"/>
        <v>354.97073170731704</v>
      </c>
      <c r="Q27">
        <f t="shared" si="10"/>
        <v>362.65513783667899</v>
      </c>
      <c r="R27">
        <f t="shared" si="11"/>
        <v>347.2863255779551</v>
      </c>
      <c r="S27">
        <f>H29</f>
        <v>12</v>
      </c>
      <c r="T27">
        <f t="shared" si="12"/>
        <v>9.9024390243902438</v>
      </c>
      <c r="U27">
        <f t="shared" si="13"/>
        <v>16.802598089364849</v>
      </c>
      <c r="V27">
        <f t="shared" si="14"/>
        <v>3.00227995941564</v>
      </c>
      <c r="AA27">
        <v>70</v>
      </c>
      <c r="AB27">
        <v>347</v>
      </c>
      <c r="AC27">
        <v>345</v>
      </c>
      <c r="AD27">
        <v>353</v>
      </c>
      <c r="AE27">
        <v>345</v>
      </c>
      <c r="AF27">
        <v>353</v>
      </c>
      <c r="AG27">
        <f t="shared" si="22"/>
        <v>348.6</v>
      </c>
      <c r="AH27">
        <f t="shared" si="15"/>
        <v>354.97073170731704</v>
      </c>
      <c r="AI27">
        <f t="shared" si="16"/>
        <v>362.65513783667899</v>
      </c>
      <c r="AJ27">
        <f t="shared" si="17"/>
        <v>347.2863255779551</v>
      </c>
      <c r="AK27">
        <f t="shared" si="18"/>
        <v>8</v>
      </c>
      <c r="AL27">
        <f t="shared" si="19"/>
        <v>9.9024390243902438</v>
      </c>
      <c r="AM27">
        <f t="shared" si="20"/>
        <v>16.802598089364849</v>
      </c>
      <c r="AN27">
        <f t="shared" si="21"/>
        <v>3.00227995941564</v>
      </c>
    </row>
    <row r="28" spans="1:40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13</v>
      </c>
      <c r="I28">
        <f t="shared" si="3"/>
        <v>354.39111111111112</v>
      </c>
      <c r="J28">
        <f t="shared" si="4"/>
        <v>369.78837178837563</v>
      </c>
      <c r="K28">
        <f t="shared" si="5"/>
        <v>338.9938504338466</v>
      </c>
      <c r="L28">
        <f t="shared" si="6"/>
        <v>9.8222222222222229</v>
      </c>
      <c r="M28">
        <f t="shared" si="7"/>
        <v>17.610908655995015</v>
      </c>
      <c r="N28">
        <f t="shared" si="8"/>
        <v>2.0335357884494316</v>
      </c>
      <c r="O28" cm="1">
        <f t="array" ref="O28:O40">G31:G43</f>
        <v>356.6</v>
      </c>
      <c r="P28">
        <f t="shared" si="9"/>
        <v>354.97073170731704</v>
      </c>
      <c r="Q28">
        <f t="shared" si="10"/>
        <v>362.65513783667899</v>
      </c>
      <c r="R28">
        <f t="shared" si="11"/>
        <v>347.2863255779551</v>
      </c>
      <c r="S28" cm="1">
        <f t="array" ref="S28:S40">H31:H43</f>
        <v>12</v>
      </c>
      <c r="T28">
        <f t="shared" si="12"/>
        <v>9.9024390243902438</v>
      </c>
      <c r="U28">
        <f t="shared" si="13"/>
        <v>16.802598089364849</v>
      </c>
      <c r="V28">
        <f t="shared" si="14"/>
        <v>3.00227995941564</v>
      </c>
      <c r="AA28">
        <v>71</v>
      </c>
      <c r="AB28">
        <v>349</v>
      </c>
      <c r="AC28">
        <v>346</v>
      </c>
      <c r="AD28">
        <v>356</v>
      </c>
      <c r="AE28">
        <v>347</v>
      </c>
      <c r="AF28">
        <v>356</v>
      </c>
      <c r="AG28">
        <f t="shared" si="22"/>
        <v>350.8</v>
      </c>
      <c r="AH28">
        <f t="shared" si="15"/>
        <v>354.97073170731704</v>
      </c>
      <c r="AI28">
        <f t="shared" si="16"/>
        <v>362.65513783667899</v>
      </c>
      <c r="AJ28">
        <f t="shared" si="17"/>
        <v>347.2863255779551</v>
      </c>
      <c r="AK28">
        <f t="shared" si="18"/>
        <v>10</v>
      </c>
      <c r="AL28">
        <f t="shared" si="19"/>
        <v>9.9024390243902438</v>
      </c>
      <c r="AM28">
        <f t="shared" si="20"/>
        <v>16.802598089364849</v>
      </c>
      <c r="AN28">
        <f t="shared" si="21"/>
        <v>3.00227995941564</v>
      </c>
    </row>
    <row r="29" spans="1:40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12</v>
      </c>
      <c r="I29">
        <f t="shared" si="3"/>
        <v>354.39111111111112</v>
      </c>
      <c r="J29">
        <f t="shared" si="4"/>
        <v>369.78837178837563</v>
      </c>
      <c r="K29">
        <f t="shared" si="5"/>
        <v>338.9938504338466</v>
      </c>
      <c r="L29">
        <f t="shared" si="6"/>
        <v>9.8222222222222229</v>
      </c>
      <c r="M29">
        <f t="shared" si="7"/>
        <v>17.610908655995015</v>
      </c>
      <c r="N29">
        <f t="shared" si="8"/>
        <v>2.0335357884494316</v>
      </c>
      <c r="O29">
        <v>357</v>
      </c>
      <c r="P29">
        <f t="shared" si="9"/>
        <v>354.97073170731704</v>
      </c>
      <c r="Q29">
        <f t="shared" si="10"/>
        <v>362.65513783667899</v>
      </c>
      <c r="R29">
        <f t="shared" si="11"/>
        <v>347.2863255779551</v>
      </c>
      <c r="S29">
        <v>12</v>
      </c>
      <c r="T29">
        <f t="shared" si="12"/>
        <v>9.9024390243902438</v>
      </c>
      <c r="U29">
        <f t="shared" si="13"/>
        <v>16.802598089364849</v>
      </c>
      <c r="V29">
        <f t="shared" si="14"/>
        <v>3.00227995941564</v>
      </c>
      <c r="AA29">
        <v>72</v>
      </c>
      <c r="AB29">
        <v>342</v>
      </c>
      <c r="AC29">
        <v>342</v>
      </c>
      <c r="AD29">
        <v>347</v>
      </c>
      <c r="AE29">
        <v>340</v>
      </c>
      <c r="AF29">
        <v>348</v>
      </c>
      <c r="AG29">
        <f t="shared" si="22"/>
        <v>343.8</v>
      </c>
      <c r="AH29">
        <f t="shared" si="15"/>
        <v>354.97073170731704</v>
      </c>
      <c r="AI29">
        <f t="shared" si="16"/>
        <v>362.65513783667899</v>
      </c>
      <c r="AJ29">
        <f t="shared" si="17"/>
        <v>347.2863255779551</v>
      </c>
      <c r="AK29">
        <f t="shared" si="18"/>
        <v>8</v>
      </c>
      <c r="AL29">
        <f t="shared" si="19"/>
        <v>9.9024390243902438</v>
      </c>
      <c r="AM29">
        <f t="shared" si="20"/>
        <v>16.802598089364849</v>
      </c>
      <c r="AN29">
        <f t="shared" si="21"/>
        <v>3.00227995941564</v>
      </c>
    </row>
    <row r="30" spans="1:40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2</v>
      </c>
      <c r="I30">
        <f t="shared" si="3"/>
        <v>354.39111111111112</v>
      </c>
      <c r="J30">
        <f t="shared" si="4"/>
        <v>369.78837178837563</v>
      </c>
      <c r="K30">
        <f t="shared" si="5"/>
        <v>338.9938504338466</v>
      </c>
      <c r="L30">
        <f t="shared" si="6"/>
        <v>9.8222222222222229</v>
      </c>
      <c r="M30">
        <f t="shared" si="7"/>
        <v>17.610908655995015</v>
      </c>
      <c r="N30">
        <f t="shared" si="8"/>
        <v>2.0335357884494316</v>
      </c>
      <c r="O30">
        <v>356.8</v>
      </c>
      <c r="P30">
        <f t="shared" si="9"/>
        <v>354.97073170731704</v>
      </c>
      <c r="Q30">
        <f t="shared" si="10"/>
        <v>362.65513783667899</v>
      </c>
      <c r="R30">
        <f t="shared" si="11"/>
        <v>347.2863255779551</v>
      </c>
      <c r="S30">
        <v>12</v>
      </c>
      <c r="T30">
        <f t="shared" si="12"/>
        <v>9.9024390243902438</v>
      </c>
      <c r="U30">
        <f t="shared" si="13"/>
        <v>16.802598089364849</v>
      </c>
      <c r="V30">
        <f t="shared" si="14"/>
        <v>3.00227995941564</v>
      </c>
      <c r="AA30">
        <v>73</v>
      </c>
      <c r="AB30">
        <v>347</v>
      </c>
      <c r="AC30">
        <v>345</v>
      </c>
      <c r="AD30">
        <v>355</v>
      </c>
      <c r="AE30">
        <v>345</v>
      </c>
      <c r="AF30">
        <v>355</v>
      </c>
      <c r="AG30">
        <f t="shared" si="22"/>
        <v>349.4</v>
      </c>
      <c r="AH30">
        <f t="shared" si="15"/>
        <v>354.97073170731704</v>
      </c>
      <c r="AI30">
        <f t="shared" si="16"/>
        <v>362.65513783667899</v>
      </c>
      <c r="AJ30">
        <f t="shared" si="17"/>
        <v>347.2863255779551</v>
      </c>
      <c r="AK30">
        <f t="shared" si="18"/>
        <v>10</v>
      </c>
      <c r="AL30">
        <f t="shared" si="19"/>
        <v>9.9024390243902438</v>
      </c>
      <c r="AM30">
        <f t="shared" si="20"/>
        <v>16.802598089364849</v>
      </c>
      <c r="AN30">
        <f t="shared" si="21"/>
        <v>3.00227995941564</v>
      </c>
    </row>
    <row r="31" spans="1:40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12</v>
      </c>
      <c r="I31">
        <f t="shared" si="3"/>
        <v>354.39111111111112</v>
      </c>
      <c r="J31">
        <f t="shared" si="4"/>
        <v>369.78837178837563</v>
      </c>
      <c r="K31">
        <f t="shared" si="5"/>
        <v>338.9938504338466</v>
      </c>
      <c r="L31">
        <f t="shared" si="6"/>
        <v>9.8222222222222229</v>
      </c>
      <c r="M31">
        <f t="shared" si="7"/>
        <v>17.610908655995015</v>
      </c>
      <c r="N31">
        <f t="shared" si="8"/>
        <v>2.0335357884494316</v>
      </c>
      <c r="O31">
        <v>355.4</v>
      </c>
      <c r="P31">
        <f t="shared" si="9"/>
        <v>354.97073170731704</v>
      </c>
      <c r="Q31">
        <f t="shared" si="10"/>
        <v>362.65513783667899</v>
      </c>
      <c r="R31">
        <f t="shared" si="11"/>
        <v>347.2863255779551</v>
      </c>
      <c r="S31">
        <v>14</v>
      </c>
      <c r="T31">
        <f t="shared" si="12"/>
        <v>9.9024390243902438</v>
      </c>
      <c r="U31">
        <f t="shared" si="13"/>
        <v>16.802598089364849</v>
      </c>
      <c r="V31">
        <f t="shared" si="14"/>
        <v>3.00227995941564</v>
      </c>
      <c r="AA31">
        <v>74</v>
      </c>
      <c r="AB31">
        <v>346</v>
      </c>
      <c r="AC31">
        <v>344</v>
      </c>
      <c r="AD31">
        <v>354</v>
      </c>
      <c r="AE31">
        <v>344</v>
      </c>
      <c r="AF31">
        <v>353</v>
      </c>
      <c r="AG31">
        <f t="shared" si="22"/>
        <v>348.2</v>
      </c>
      <c r="AH31">
        <f t="shared" si="15"/>
        <v>354.97073170731704</v>
      </c>
      <c r="AI31">
        <f t="shared" si="16"/>
        <v>362.65513783667899</v>
      </c>
      <c r="AJ31">
        <f t="shared" si="17"/>
        <v>347.2863255779551</v>
      </c>
      <c r="AK31">
        <f t="shared" si="18"/>
        <v>10</v>
      </c>
      <c r="AL31">
        <f t="shared" si="19"/>
        <v>9.9024390243902438</v>
      </c>
      <c r="AM31">
        <f t="shared" si="20"/>
        <v>16.802598089364849</v>
      </c>
      <c r="AN31">
        <f t="shared" si="21"/>
        <v>3.00227995941564</v>
      </c>
    </row>
    <row r="32" spans="1:40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12</v>
      </c>
      <c r="I32">
        <f t="shared" si="3"/>
        <v>354.39111111111112</v>
      </c>
      <c r="J32">
        <f t="shared" si="4"/>
        <v>369.78837178837563</v>
      </c>
      <c r="K32">
        <f t="shared" si="5"/>
        <v>338.9938504338466</v>
      </c>
      <c r="L32">
        <f t="shared" si="6"/>
        <v>9.8222222222222229</v>
      </c>
      <c r="M32">
        <f t="shared" si="7"/>
        <v>17.610908655995015</v>
      </c>
      <c r="N32">
        <f t="shared" si="8"/>
        <v>2.0335357884494316</v>
      </c>
      <c r="O32">
        <v>354.8</v>
      </c>
      <c r="P32">
        <f t="shared" si="9"/>
        <v>354.97073170731704</v>
      </c>
      <c r="Q32">
        <f t="shared" si="10"/>
        <v>362.65513783667899</v>
      </c>
      <c r="R32">
        <f t="shared" si="11"/>
        <v>347.2863255779551</v>
      </c>
      <c r="S32">
        <v>13</v>
      </c>
      <c r="T32">
        <f t="shared" si="12"/>
        <v>9.9024390243902438</v>
      </c>
      <c r="U32">
        <f t="shared" si="13"/>
        <v>16.802598089364849</v>
      </c>
      <c r="V32">
        <f t="shared" si="14"/>
        <v>3.00227995941564</v>
      </c>
      <c r="AA32">
        <v>75</v>
      </c>
      <c r="AB32">
        <v>344</v>
      </c>
      <c r="AC32">
        <v>342</v>
      </c>
      <c r="AD32">
        <v>353</v>
      </c>
      <c r="AE32">
        <v>343</v>
      </c>
      <c r="AF32">
        <v>352</v>
      </c>
      <c r="AG32">
        <f t="shared" si="22"/>
        <v>346.8</v>
      </c>
      <c r="AH32">
        <f t="shared" si="15"/>
        <v>354.97073170731704</v>
      </c>
      <c r="AI32">
        <f t="shared" si="16"/>
        <v>362.65513783667899</v>
      </c>
      <c r="AJ32">
        <f t="shared" si="17"/>
        <v>347.2863255779551</v>
      </c>
      <c r="AK32">
        <f t="shared" si="18"/>
        <v>11</v>
      </c>
      <c r="AL32">
        <f t="shared" si="19"/>
        <v>9.9024390243902438</v>
      </c>
      <c r="AM32">
        <f t="shared" si="20"/>
        <v>16.802598089364849</v>
      </c>
      <c r="AN32">
        <f t="shared" si="21"/>
        <v>3.00227995941564</v>
      </c>
    </row>
    <row r="33" spans="1:40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12</v>
      </c>
      <c r="I33">
        <f t="shared" si="3"/>
        <v>354.39111111111112</v>
      </c>
      <c r="J33">
        <f t="shared" si="4"/>
        <v>369.78837178837563</v>
      </c>
      <c r="K33">
        <f t="shared" si="5"/>
        <v>338.9938504338466</v>
      </c>
      <c r="L33">
        <f t="shared" si="6"/>
        <v>9.8222222222222229</v>
      </c>
      <c r="M33">
        <f t="shared" si="7"/>
        <v>17.610908655995015</v>
      </c>
      <c r="N33">
        <f t="shared" si="8"/>
        <v>2.0335357884494316</v>
      </c>
      <c r="O33">
        <v>352.6</v>
      </c>
      <c r="P33">
        <f t="shared" si="9"/>
        <v>354.97073170731704</v>
      </c>
      <c r="Q33">
        <f t="shared" si="10"/>
        <v>362.65513783667899</v>
      </c>
      <c r="R33">
        <f t="shared" si="11"/>
        <v>347.2863255779551</v>
      </c>
      <c r="S33">
        <v>14</v>
      </c>
      <c r="T33">
        <f t="shared" si="12"/>
        <v>9.9024390243902438</v>
      </c>
      <c r="U33">
        <f t="shared" si="13"/>
        <v>16.802598089364849</v>
      </c>
      <c r="V33">
        <f t="shared" si="14"/>
        <v>3.00227995941564</v>
      </c>
      <c r="AA33">
        <v>76</v>
      </c>
      <c r="AB33">
        <v>347</v>
      </c>
      <c r="AC33">
        <v>347</v>
      </c>
      <c r="AD33">
        <v>347</v>
      </c>
      <c r="AE33">
        <v>357</v>
      </c>
      <c r="AF33">
        <v>357</v>
      </c>
      <c r="AG33">
        <f t="shared" si="22"/>
        <v>351</v>
      </c>
      <c r="AH33">
        <f t="shared" si="15"/>
        <v>354.97073170731704</v>
      </c>
      <c r="AI33">
        <f t="shared" si="16"/>
        <v>362.65513783667899</v>
      </c>
      <c r="AJ33">
        <f t="shared" si="17"/>
        <v>347.2863255779551</v>
      </c>
      <c r="AK33">
        <f t="shared" si="18"/>
        <v>10</v>
      </c>
      <c r="AL33">
        <f t="shared" si="19"/>
        <v>9.9024390243902438</v>
      </c>
      <c r="AM33">
        <f t="shared" si="20"/>
        <v>16.802598089364849</v>
      </c>
      <c r="AN33">
        <f t="shared" si="21"/>
        <v>3.00227995941564</v>
      </c>
    </row>
    <row r="34" spans="1:40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14</v>
      </c>
      <c r="I34">
        <f t="shared" si="3"/>
        <v>354.39111111111112</v>
      </c>
      <c r="J34">
        <f t="shared" si="4"/>
        <v>369.78837178837563</v>
      </c>
      <c r="K34">
        <f t="shared" si="5"/>
        <v>338.9938504338466</v>
      </c>
      <c r="L34">
        <f t="shared" si="6"/>
        <v>9.8222222222222229</v>
      </c>
      <c r="M34">
        <f t="shared" si="7"/>
        <v>17.610908655995015</v>
      </c>
      <c r="N34">
        <f t="shared" si="8"/>
        <v>2.0335357884494316</v>
      </c>
      <c r="O34">
        <v>351</v>
      </c>
      <c r="P34">
        <f t="shared" si="9"/>
        <v>354.97073170731704</v>
      </c>
      <c r="Q34">
        <f t="shared" si="10"/>
        <v>362.65513783667899</v>
      </c>
      <c r="R34">
        <f t="shared" si="11"/>
        <v>347.2863255779551</v>
      </c>
      <c r="S34">
        <v>13</v>
      </c>
      <c r="T34">
        <f t="shared" si="12"/>
        <v>9.9024390243902438</v>
      </c>
      <c r="U34">
        <f t="shared" si="13"/>
        <v>16.802598089364849</v>
      </c>
      <c r="V34">
        <f t="shared" si="14"/>
        <v>3.00227995941564</v>
      </c>
      <c r="AA34">
        <v>77</v>
      </c>
      <c r="AB34">
        <v>345</v>
      </c>
      <c r="AC34">
        <v>343</v>
      </c>
      <c r="AD34">
        <v>352</v>
      </c>
      <c r="AE34">
        <v>343</v>
      </c>
      <c r="AF34">
        <v>351</v>
      </c>
      <c r="AG34">
        <f t="shared" si="22"/>
        <v>346.8</v>
      </c>
      <c r="AH34">
        <f t="shared" si="15"/>
        <v>354.97073170731704</v>
      </c>
      <c r="AI34">
        <f t="shared" si="16"/>
        <v>362.65513783667899</v>
      </c>
      <c r="AJ34">
        <f t="shared" si="17"/>
        <v>347.2863255779551</v>
      </c>
      <c r="AK34">
        <f t="shared" si="18"/>
        <v>9</v>
      </c>
      <c r="AL34">
        <f t="shared" si="19"/>
        <v>9.9024390243902438</v>
      </c>
      <c r="AM34">
        <f t="shared" si="20"/>
        <v>16.802598089364849</v>
      </c>
      <c r="AN34">
        <f t="shared" si="21"/>
        <v>3.00227995941564</v>
      </c>
    </row>
    <row r="35" spans="1:40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13</v>
      </c>
      <c r="I35">
        <f t="shared" si="3"/>
        <v>354.39111111111112</v>
      </c>
      <c r="J35">
        <f t="shared" si="4"/>
        <v>369.78837178837563</v>
      </c>
      <c r="K35">
        <f t="shared" si="5"/>
        <v>338.9938504338466</v>
      </c>
      <c r="L35">
        <f t="shared" si="6"/>
        <v>9.8222222222222229</v>
      </c>
      <c r="M35">
        <f t="shared" si="7"/>
        <v>17.610908655995015</v>
      </c>
      <c r="N35">
        <f t="shared" si="8"/>
        <v>2.0335357884494316</v>
      </c>
      <c r="O35">
        <v>351.2</v>
      </c>
      <c r="P35">
        <f t="shared" si="9"/>
        <v>354.97073170731704</v>
      </c>
      <c r="Q35">
        <f t="shared" si="10"/>
        <v>362.65513783667899</v>
      </c>
      <c r="R35">
        <f t="shared" si="11"/>
        <v>347.2863255779551</v>
      </c>
      <c r="S35">
        <v>5</v>
      </c>
      <c r="T35">
        <f t="shared" si="12"/>
        <v>9.9024390243902438</v>
      </c>
      <c r="U35">
        <f t="shared" si="13"/>
        <v>16.802598089364849</v>
      </c>
      <c r="V35">
        <f t="shared" si="14"/>
        <v>3.00227995941564</v>
      </c>
      <c r="AA35">
        <v>78</v>
      </c>
      <c r="AB35">
        <v>347</v>
      </c>
      <c r="AC35">
        <v>345</v>
      </c>
      <c r="AD35">
        <v>356</v>
      </c>
      <c r="AE35">
        <v>345</v>
      </c>
      <c r="AF35">
        <v>355</v>
      </c>
      <c r="AG35">
        <f t="shared" si="22"/>
        <v>349.6</v>
      </c>
      <c r="AH35">
        <f t="shared" si="15"/>
        <v>354.97073170731704</v>
      </c>
      <c r="AI35">
        <f t="shared" si="16"/>
        <v>362.65513783667899</v>
      </c>
      <c r="AJ35">
        <f t="shared" si="17"/>
        <v>347.2863255779551</v>
      </c>
      <c r="AK35">
        <f t="shared" si="18"/>
        <v>11</v>
      </c>
      <c r="AL35">
        <f t="shared" si="19"/>
        <v>9.9024390243902438</v>
      </c>
      <c r="AM35">
        <f t="shared" si="20"/>
        <v>16.802598089364849</v>
      </c>
      <c r="AN35">
        <f t="shared" si="21"/>
        <v>3.00227995941564</v>
      </c>
    </row>
    <row r="36" spans="1:40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14</v>
      </c>
      <c r="I36">
        <f t="shared" si="3"/>
        <v>354.39111111111112</v>
      </c>
      <c r="J36">
        <f t="shared" si="4"/>
        <v>369.78837178837563</v>
      </c>
      <c r="K36">
        <f t="shared" si="5"/>
        <v>338.9938504338466</v>
      </c>
      <c r="L36">
        <f t="shared" si="6"/>
        <v>9.8222222222222229</v>
      </c>
      <c r="M36">
        <f t="shared" si="7"/>
        <v>17.610908655995015</v>
      </c>
      <c r="N36">
        <f t="shared" si="8"/>
        <v>2.0335357884494316</v>
      </c>
      <c r="O36">
        <v>348</v>
      </c>
      <c r="P36">
        <f t="shared" si="9"/>
        <v>354.97073170731704</v>
      </c>
      <c r="Q36">
        <f t="shared" si="10"/>
        <v>362.65513783667899</v>
      </c>
      <c r="R36">
        <f t="shared" si="11"/>
        <v>347.2863255779551</v>
      </c>
      <c r="S36">
        <v>10</v>
      </c>
      <c r="T36">
        <f t="shared" si="12"/>
        <v>9.9024390243902438</v>
      </c>
      <c r="U36">
        <f t="shared" si="13"/>
        <v>16.802598089364849</v>
      </c>
      <c r="V36">
        <f t="shared" si="14"/>
        <v>3.00227995941564</v>
      </c>
      <c r="AA36">
        <v>79</v>
      </c>
      <c r="AB36">
        <v>347</v>
      </c>
      <c r="AC36">
        <v>346</v>
      </c>
      <c r="AD36">
        <v>357</v>
      </c>
      <c r="AE36">
        <v>347</v>
      </c>
      <c r="AF36">
        <v>356</v>
      </c>
      <c r="AG36">
        <f t="shared" si="22"/>
        <v>350.6</v>
      </c>
      <c r="AH36">
        <f t="shared" si="15"/>
        <v>354.97073170731704</v>
      </c>
      <c r="AI36">
        <f t="shared" si="16"/>
        <v>362.65513783667899</v>
      </c>
      <c r="AJ36">
        <f t="shared" si="17"/>
        <v>347.2863255779551</v>
      </c>
      <c r="AK36">
        <f t="shared" si="18"/>
        <v>11</v>
      </c>
      <c r="AL36">
        <f t="shared" si="19"/>
        <v>9.9024390243902438</v>
      </c>
      <c r="AM36">
        <f t="shared" si="20"/>
        <v>16.802598089364849</v>
      </c>
      <c r="AN36">
        <f t="shared" si="21"/>
        <v>3.00227995941564</v>
      </c>
    </row>
    <row r="37" spans="1:40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13</v>
      </c>
      <c r="I37">
        <f t="shared" si="3"/>
        <v>354.39111111111112</v>
      </c>
      <c r="J37">
        <f t="shared" si="4"/>
        <v>369.78837178837563</v>
      </c>
      <c r="K37">
        <f t="shared" si="5"/>
        <v>338.9938504338466</v>
      </c>
      <c r="L37">
        <f t="shared" si="6"/>
        <v>9.8222222222222229</v>
      </c>
      <c r="M37">
        <f t="shared" si="7"/>
        <v>17.610908655995015</v>
      </c>
      <c r="N37">
        <f t="shared" si="8"/>
        <v>2.0335357884494316</v>
      </c>
      <c r="O37">
        <v>357.8</v>
      </c>
      <c r="P37">
        <f t="shared" si="9"/>
        <v>354.97073170731704</v>
      </c>
      <c r="Q37">
        <f t="shared" si="10"/>
        <v>362.65513783667899</v>
      </c>
      <c r="R37">
        <f t="shared" si="11"/>
        <v>347.2863255779551</v>
      </c>
      <c r="S37">
        <v>10</v>
      </c>
      <c r="T37">
        <f t="shared" si="12"/>
        <v>9.9024390243902438</v>
      </c>
      <c r="U37">
        <f t="shared" si="13"/>
        <v>16.802598089364849</v>
      </c>
      <c r="V37">
        <f t="shared" si="14"/>
        <v>3.00227995941564</v>
      </c>
      <c r="AA37">
        <v>80</v>
      </c>
      <c r="AB37">
        <v>349</v>
      </c>
      <c r="AC37">
        <v>346</v>
      </c>
      <c r="AD37">
        <v>357</v>
      </c>
      <c r="AE37">
        <v>346</v>
      </c>
      <c r="AF37">
        <v>357</v>
      </c>
      <c r="AG37">
        <f t="shared" si="22"/>
        <v>351</v>
      </c>
      <c r="AH37">
        <f t="shared" si="15"/>
        <v>354.97073170731704</v>
      </c>
      <c r="AI37">
        <f t="shared" si="16"/>
        <v>362.65513783667899</v>
      </c>
      <c r="AJ37">
        <f t="shared" si="17"/>
        <v>347.2863255779551</v>
      </c>
      <c r="AK37">
        <f t="shared" si="18"/>
        <v>11</v>
      </c>
      <c r="AL37">
        <f t="shared" si="19"/>
        <v>9.9024390243902438</v>
      </c>
      <c r="AM37">
        <f t="shared" si="20"/>
        <v>16.802598089364849</v>
      </c>
      <c r="AN37">
        <f t="shared" si="21"/>
        <v>3.00227995941564</v>
      </c>
    </row>
    <row r="38" spans="1:40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</v>
      </c>
      <c r="I38">
        <f t="shared" si="3"/>
        <v>354.39111111111112</v>
      </c>
      <c r="J38">
        <f t="shared" si="4"/>
        <v>369.78837178837563</v>
      </c>
      <c r="K38">
        <f t="shared" si="5"/>
        <v>338.9938504338466</v>
      </c>
      <c r="L38">
        <f t="shared" si="6"/>
        <v>9.8222222222222229</v>
      </c>
      <c r="M38">
        <f t="shared" si="7"/>
        <v>17.610908655995015</v>
      </c>
      <c r="N38">
        <f t="shared" si="8"/>
        <v>2.0335357884494316</v>
      </c>
      <c r="O38">
        <v>354.6</v>
      </c>
      <c r="P38">
        <f t="shared" si="9"/>
        <v>354.97073170731704</v>
      </c>
      <c r="Q38">
        <f t="shared" si="10"/>
        <v>362.65513783667899</v>
      </c>
      <c r="R38">
        <f t="shared" si="11"/>
        <v>347.2863255779551</v>
      </c>
      <c r="S38">
        <v>11</v>
      </c>
      <c r="T38">
        <f t="shared" si="12"/>
        <v>9.9024390243902438</v>
      </c>
      <c r="U38">
        <f t="shared" si="13"/>
        <v>16.802598089364849</v>
      </c>
      <c r="V38">
        <f t="shared" si="14"/>
        <v>3.00227995941564</v>
      </c>
      <c r="AA38">
        <v>81</v>
      </c>
      <c r="AB38">
        <v>343</v>
      </c>
      <c r="AC38">
        <v>347</v>
      </c>
      <c r="AD38">
        <v>355</v>
      </c>
      <c r="AE38">
        <v>347</v>
      </c>
      <c r="AF38">
        <v>355</v>
      </c>
      <c r="AG38">
        <f t="shared" si="22"/>
        <v>349.4</v>
      </c>
      <c r="AH38">
        <f t="shared" si="15"/>
        <v>354.97073170731704</v>
      </c>
      <c r="AI38">
        <f t="shared" si="16"/>
        <v>362.65513783667899</v>
      </c>
      <c r="AJ38">
        <f t="shared" si="17"/>
        <v>347.2863255779551</v>
      </c>
      <c r="AK38">
        <f t="shared" si="18"/>
        <v>12</v>
      </c>
      <c r="AL38">
        <f t="shared" si="19"/>
        <v>9.9024390243902438</v>
      </c>
      <c r="AM38">
        <f t="shared" si="20"/>
        <v>16.802598089364849</v>
      </c>
      <c r="AN38">
        <f t="shared" si="21"/>
        <v>3.00227995941564</v>
      </c>
    </row>
    <row r="39" spans="1:40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10</v>
      </c>
      <c r="I39">
        <f t="shared" si="3"/>
        <v>354.39111111111112</v>
      </c>
      <c r="J39">
        <f t="shared" si="4"/>
        <v>369.78837178837563</v>
      </c>
      <c r="K39">
        <f t="shared" si="5"/>
        <v>338.9938504338466</v>
      </c>
      <c r="L39">
        <f t="shared" si="6"/>
        <v>9.8222222222222229</v>
      </c>
      <c r="M39">
        <f t="shared" si="7"/>
        <v>17.610908655995015</v>
      </c>
      <c r="N39">
        <f t="shared" si="8"/>
        <v>2.0335357884494316</v>
      </c>
      <c r="O39">
        <v>352.4</v>
      </c>
      <c r="P39">
        <f t="shared" si="9"/>
        <v>354.97073170731704</v>
      </c>
      <c r="Q39">
        <f t="shared" si="10"/>
        <v>362.65513783667899</v>
      </c>
      <c r="R39">
        <f t="shared" si="11"/>
        <v>347.2863255779551</v>
      </c>
      <c r="S39">
        <v>8</v>
      </c>
      <c r="T39">
        <f t="shared" si="12"/>
        <v>9.9024390243902438</v>
      </c>
      <c r="U39">
        <f t="shared" si="13"/>
        <v>16.802598089364849</v>
      </c>
      <c r="V39">
        <f t="shared" si="14"/>
        <v>3.00227995941564</v>
      </c>
      <c r="AA39">
        <v>82</v>
      </c>
      <c r="AB39">
        <v>347</v>
      </c>
      <c r="AC39">
        <v>348</v>
      </c>
      <c r="AD39">
        <v>358</v>
      </c>
      <c r="AE39">
        <v>347</v>
      </c>
      <c r="AF39">
        <v>357</v>
      </c>
      <c r="AG39">
        <f t="shared" si="22"/>
        <v>351.4</v>
      </c>
      <c r="AH39">
        <f t="shared" si="15"/>
        <v>354.97073170731704</v>
      </c>
      <c r="AI39">
        <f t="shared" si="16"/>
        <v>362.65513783667899</v>
      </c>
      <c r="AJ39">
        <f t="shared" si="17"/>
        <v>347.2863255779551</v>
      </c>
      <c r="AK39">
        <f t="shared" si="18"/>
        <v>11</v>
      </c>
      <c r="AL39">
        <f t="shared" si="19"/>
        <v>9.9024390243902438</v>
      </c>
      <c r="AM39">
        <f t="shared" si="20"/>
        <v>16.802598089364849</v>
      </c>
      <c r="AN39">
        <f t="shared" si="21"/>
        <v>3.00227995941564</v>
      </c>
    </row>
    <row r="40" spans="1:40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10</v>
      </c>
      <c r="I40">
        <f t="shared" si="3"/>
        <v>354.39111111111112</v>
      </c>
      <c r="J40">
        <f t="shared" si="4"/>
        <v>369.78837178837563</v>
      </c>
      <c r="K40">
        <f t="shared" si="5"/>
        <v>338.9938504338466</v>
      </c>
      <c r="L40">
        <f t="shared" si="6"/>
        <v>9.8222222222222229</v>
      </c>
      <c r="M40">
        <f t="shared" si="7"/>
        <v>17.610908655995015</v>
      </c>
      <c r="N40">
        <f t="shared" si="8"/>
        <v>2.0335357884494316</v>
      </c>
      <c r="O40">
        <v>354.6</v>
      </c>
      <c r="P40">
        <f t="shared" si="9"/>
        <v>354.97073170731704</v>
      </c>
      <c r="Q40">
        <f t="shared" si="10"/>
        <v>362.65513783667899</v>
      </c>
      <c r="R40">
        <f t="shared" si="11"/>
        <v>347.2863255779551</v>
      </c>
      <c r="S40">
        <v>10</v>
      </c>
      <c r="T40">
        <f t="shared" si="12"/>
        <v>9.9024390243902438</v>
      </c>
      <c r="U40">
        <f t="shared" si="13"/>
        <v>16.802598089364849</v>
      </c>
      <c r="V40">
        <f t="shared" si="14"/>
        <v>3.00227995941564</v>
      </c>
      <c r="AA40">
        <v>83</v>
      </c>
      <c r="AB40">
        <v>344</v>
      </c>
      <c r="AC40">
        <v>344</v>
      </c>
      <c r="AD40">
        <v>346</v>
      </c>
      <c r="AE40">
        <v>344</v>
      </c>
      <c r="AF40">
        <v>348</v>
      </c>
      <c r="AG40">
        <f t="shared" si="22"/>
        <v>345.2</v>
      </c>
      <c r="AH40">
        <f t="shared" si="15"/>
        <v>354.97073170731704</v>
      </c>
      <c r="AI40">
        <f t="shared" si="16"/>
        <v>362.65513783667899</v>
      </c>
      <c r="AJ40">
        <f t="shared" si="17"/>
        <v>347.2863255779551</v>
      </c>
      <c r="AK40">
        <f t="shared" si="18"/>
        <v>4</v>
      </c>
      <c r="AL40">
        <f t="shared" si="19"/>
        <v>9.9024390243902438</v>
      </c>
      <c r="AM40">
        <f t="shared" si="20"/>
        <v>16.802598089364849</v>
      </c>
      <c r="AN40">
        <f t="shared" si="21"/>
        <v>3.00227995941564</v>
      </c>
    </row>
    <row r="41" spans="1:40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11</v>
      </c>
      <c r="I41">
        <f t="shared" si="3"/>
        <v>354.39111111111112</v>
      </c>
      <c r="J41">
        <f t="shared" si="4"/>
        <v>369.78837178837563</v>
      </c>
      <c r="K41">
        <f t="shared" si="5"/>
        <v>338.9938504338466</v>
      </c>
      <c r="L41">
        <f t="shared" si="6"/>
        <v>9.8222222222222229</v>
      </c>
      <c r="M41">
        <f t="shared" si="7"/>
        <v>17.610908655995015</v>
      </c>
      <c r="N41">
        <f t="shared" si="8"/>
        <v>2.0335357884494316</v>
      </c>
      <c r="O41" cm="1">
        <f t="array" ref="O41:O43">G45:G47</f>
        <v>352.6</v>
      </c>
      <c r="P41">
        <f t="shared" si="9"/>
        <v>354.97073170731704</v>
      </c>
      <c r="Q41">
        <f t="shared" si="10"/>
        <v>362.65513783667899</v>
      </c>
      <c r="R41">
        <f t="shared" si="11"/>
        <v>347.2863255779551</v>
      </c>
      <c r="S41" cm="1">
        <f t="array" ref="S41:S43">H45:H47</f>
        <v>11</v>
      </c>
      <c r="T41">
        <f t="shared" si="12"/>
        <v>9.9024390243902438</v>
      </c>
      <c r="U41">
        <f t="shared" si="13"/>
        <v>16.802598089364849</v>
      </c>
      <c r="V41">
        <f t="shared" si="14"/>
        <v>3.00227995941564</v>
      </c>
      <c r="AA41">
        <v>84</v>
      </c>
      <c r="AB41">
        <v>351</v>
      </c>
      <c r="AC41">
        <v>350</v>
      </c>
      <c r="AD41">
        <v>359</v>
      </c>
      <c r="AE41">
        <v>349</v>
      </c>
      <c r="AF41">
        <v>358</v>
      </c>
      <c r="AG41">
        <f t="shared" si="22"/>
        <v>353.4</v>
      </c>
      <c r="AH41">
        <f t="shared" si="15"/>
        <v>354.97073170731704</v>
      </c>
      <c r="AI41">
        <f t="shared" si="16"/>
        <v>362.65513783667899</v>
      </c>
      <c r="AJ41">
        <f t="shared" si="17"/>
        <v>347.2863255779551</v>
      </c>
      <c r="AK41">
        <f t="shared" si="18"/>
        <v>10</v>
      </c>
      <c r="AL41">
        <f t="shared" si="19"/>
        <v>9.9024390243902438</v>
      </c>
      <c r="AM41">
        <f t="shared" si="20"/>
        <v>16.802598089364849</v>
      </c>
      <c r="AN41">
        <f t="shared" si="21"/>
        <v>3.00227995941564</v>
      </c>
    </row>
    <row r="42" spans="1:40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8</v>
      </c>
      <c r="I42">
        <f t="shared" si="3"/>
        <v>354.39111111111112</v>
      </c>
      <c r="J42">
        <f t="shared" si="4"/>
        <v>369.78837178837563</v>
      </c>
      <c r="K42">
        <f t="shared" si="5"/>
        <v>338.9938504338466</v>
      </c>
      <c r="L42">
        <f t="shared" si="6"/>
        <v>9.8222222222222229</v>
      </c>
      <c r="M42">
        <f t="shared" si="7"/>
        <v>17.610908655995015</v>
      </c>
      <c r="N42">
        <f t="shared" si="8"/>
        <v>2.0335357884494316</v>
      </c>
      <c r="O42">
        <v>356</v>
      </c>
      <c r="P42">
        <f t="shared" si="9"/>
        <v>354.97073170731704</v>
      </c>
      <c r="Q42">
        <f t="shared" si="10"/>
        <v>362.65513783667899</v>
      </c>
      <c r="R42">
        <f t="shared" si="11"/>
        <v>347.2863255779551</v>
      </c>
      <c r="S42">
        <v>11</v>
      </c>
      <c r="T42">
        <f t="shared" si="12"/>
        <v>9.9024390243902438</v>
      </c>
      <c r="U42">
        <f t="shared" si="13"/>
        <v>16.802598089364849</v>
      </c>
      <c r="V42">
        <f t="shared" si="14"/>
        <v>3.00227995941564</v>
      </c>
      <c r="AA42">
        <v>85</v>
      </c>
      <c r="AB42">
        <v>345</v>
      </c>
      <c r="AC42">
        <v>345</v>
      </c>
      <c r="AD42">
        <v>353</v>
      </c>
      <c r="AE42">
        <v>344</v>
      </c>
      <c r="AF42">
        <v>353</v>
      </c>
      <c r="AG42">
        <f t="shared" si="22"/>
        <v>348</v>
      </c>
      <c r="AH42">
        <f t="shared" si="15"/>
        <v>354.97073170731704</v>
      </c>
      <c r="AI42">
        <f t="shared" si="16"/>
        <v>362.65513783667899</v>
      </c>
      <c r="AJ42">
        <f t="shared" si="17"/>
        <v>347.2863255779551</v>
      </c>
      <c r="AK42">
        <f t="shared" si="18"/>
        <v>9</v>
      </c>
      <c r="AL42">
        <f t="shared" si="19"/>
        <v>9.9024390243902438</v>
      </c>
      <c r="AM42">
        <f t="shared" si="20"/>
        <v>16.802598089364849</v>
      </c>
      <c r="AN42">
        <f t="shared" si="21"/>
        <v>3.00227995941564</v>
      </c>
    </row>
    <row r="43" spans="1:40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10</v>
      </c>
      <c r="I43">
        <f t="shared" si="3"/>
        <v>354.39111111111112</v>
      </c>
      <c r="J43">
        <f t="shared" si="4"/>
        <v>369.78837178837563</v>
      </c>
      <c r="K43">
        <f t="shared" si="5"/>
        <v>338.9938504338466</v>
      </c>
      <c r="L43">
        <f t="shared" si="6"/>
        <v>9.8222222222222229</v>
      </c>
      <c r="M43">
        <f t="shared" si="7"/>
        <v>17.610908655995015</v>
      </c>
      <c r="N43">
        <f t="shared" si="8"/>
        <v>2.0335357884494316</v>
      </c>
      <c r="O43">
        <v>353.4</v>
      </c>
      <c r="P43">
        <f t="shared" si="9"/>
        <v>354.97073170731704</v>
      </c>
      <c r="Q43">
        <f t="shared" si="10"/>
        <v>362.65513783667899</v>
      </c>
      <c r="R43">
        <f t="shared" si="11"/>
        <v>347.2863255779551</v>
      </c>
      <c r="S43">
        <v>9</v>
      </c>
      <c r="T43">
        <f t="shared" si="12"/>
        <v>9.9024390243902438</v>
      </c>
      <c r="U43">
        <f t="shared" si="13"/>
        <v>16.802598089364849</v>
      </c>
      <c r="V43">
        <f t="shared" si="14"/>
        <v>3.00227995941564</v>
      </c>
    </row>
    <row r="44" spans="1:40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13</v>
      </c>
      <c r="I44">
        <f t="shared" si="3"/>
        <v>354.39111111111112</v>
      </c>
      <c r="J44">
        <f t="shared" si="4"/>
        <v>369.78837178837563</v>
      </c>
      <c r="K44">
        <f t="shared" si="5"/>
        <v>338.9938504338466</v>
      </c>
      <c r="L44">
        <f t="shared" si="6"/>
        <v>9.8222222222222229</v>
      </c>
      <c r="M44">
        <f t="shared" si="7"/>
        <v>17.610908655995015</v>
      </c>
      <c r="N44">
        <f t="shared" si="8"/>
        <v>2.0335357884494316</v>
      </c>
    </row>
    <row r="45" spans="1:40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11</v>
      </c>
      <c r="I45">
        <f t="shared" si="3"/>
        <v>354.39111111111112</v>
      </c>
      <c r="J45">
        <f t="shared" si="4"/>
        <v>369.78837178837563</v>
      </c>
      <c r="K45">
        <f t="shared" si="5"/>
        <v>338.9938504338466</v>
      </c>
      <c r="L45">
        <f t="shared" si="6"/>
        <v>9.8222222222222229</v>
      </c>
      <c r="M45">
        <f t="shared" si="7"/>
        <v>17.610908655995015</v>
      </c>
      <c r="N45">
        <f t="shared" si="8"/>
        <v>2.0335357884494316</v>
      </c>
    </row>
    <row r="46" spans="1:40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11</v>
      </c>
      <c r="I46">
        <f t="shared" si="3"/>
        <v>354.39111111111112</v>
      </c>
      <c r="J46">
        <f t="shared" si="4"/>
        <v>369.78837178837563</v>
      </c>
      <c r="K46">
        <f t="shared" si="5"/>
        <v>338.9938504338466</v>
      </c>
      <c r="L46">
        <f t="shared" si="6"/>
        <v>9.8222222222222229</v>
      </c>
      <c r="M46">
        <f t="shared" si="7"/>
        <v>17.610908655995015</v>
      </c>
      <c r="N46">
        <f t="shared" si="8"/>
        <v>2.0335357884494316</v>
      </c>
    </row>
    <row r="47" spans="1:40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9</v>
      </c>
      <c r="I47">
        <f t="shared" si="3"/>
        <v>354.39111111111112</v>
      </c>
      <c r="J47">
        <f t="shared" si="4"/>
        <v>369.78837178837563</v>
      </c>
      <c r="K47">
        <f t="shared" si="5"/>
        <v>338.9938504338466</v>
      </c>
      <c r="L47">
        <f t="shared" si="6"/>
        <v>9.8222222222222229</v>
      </c>
      <c r="M47">
        <f t="shared" si="7"/>
        <v>17.610908655995015</v>
      </c>
      <c r="N47">
        <f t="shared" si="8"/>
        <v>2.0335357884494316</v>
      </c>
    </row>
  </sheetData>
  <mergeCells count="6">
    <mergeCell ref="W1:Z1"/>
    <mergeCell ref="A1:H1"/>
    <mergeCell ref="I1:K1"/>
    <mergeCell ref="L1:N1"/>
    <mergeCell ref="W8:Z8"/>
    <mergeCell ref="O1:V1"/>
  </mergeCells>
  <phoneticPr fontId="1" type="noConversion"/>
  <conditionalFormatting sqref="G3:G47">
    <cfRule type="cellIs" dxfId="11" priority="3" operator="lessThan">
      <formula>$X$7</formula>
    </cfRule>
    <cfRule type="cellIs" dxfId="10" priority="4" operator="greaterThan">
      <formula>$X$6</formula>
    </cfRule>
  </conditionalFormatting>
  <conditionalFormatting sqref="H3:H47">
    <cfRule type="cellIs" dxfId="9" priority="1" operator="lessThan">
      <formula>$Z$7</formula>
    </cfRule>
    <cfRule type="cellIs" dxfId="8" priority="2" operator="greaterThan">
      <formula>$Z$6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3C0D-542E-4A6E-86BD-ABD10B135541}">
  <dimension ref="A1:AV47"/>
  <sheetViews>
    <sheetView topLeftCell="J1" zoomScale="70" zoomScaleNormal="70" workbookViewId="0">
      <selection activeCell="AC47" sqref="AC47"/>
    </sheetView>
  </sheetViews>
  <sheetFormatPr defaultRowHeight="16.5"/>
  <cols>
    <col min="1" max="1" width="12.375" customWidth="1"/>
    <col min="2" max="6" width="0" hidden="1" customWidth="1"/>
    <col min="7" max="7" width="12.625" customWidth="1"/>
    <col min="8" max="8" width="16.75" customWidth="1"/>
    <col min="9" max="9" width="10.25" customWidth="1"/>
    <col min="10" max="10" width="18.875" customWidth="1"/>
    <col min="12" max="12" width="12.375" customWidth="1"/>
    <col min="13" max="17" width="0" hidden="1" customWidth="1"/>
    <col min="18" max="18" width="13" customWidth="1"/>
    <col min="19" max="19" width="17.375" customWidth="1"/>
    <col min="21" max="22" width="10.5" customWidth="1"/>
    <col min="23" max="25" width="12.5" customWidth="1"/>
    <col min="26" max="26" width="11.875" customWidth="1"/>
    <col min="27" max="30" width="10.5" customWidth="1"/>
    <col min="31" max="31" width="12.125" customWidth="1"/>
    <col min="32" max="33" width="10.5" customWidth="1"/>
    <col min="34" max="34" width="11.875" customWidth="1"/>
    <col min="35" max="38" width="10.5" customWidth="1"/>
  </cols>
  <sheetData>
    <row r="1" spans="1:48">
      <c r="B1" s="41" t="s">
        <v>90</v>
      </c>
      <c r="C1" s="41"/>
      <c r="D1" s="41"/>
      <c r="E1" s="41"/>
      <c r="F1" s="41"/>
      <c r="S1" s="41" t="s">
        <v>149</v>
      </c>
      <c r="T1" s="41"/>
      <c r="U1" s="41"/>
      <c r="V1" s="41"/>
      <c r="W1" s="41" t="s">
        <v>156</v>
      </c>
      <c r="X1" s="41"/>
      <c r="Y1" s="41"/>
      <c r="Z1" s="41"/>
      <c r="AA1" s="41"/>
      <c r="AB1" s="41"/>
      <c r="AC1" s="41"/>
      <c r="AD1" s="41"/>
      <c r="AE1" s="41" t="s">
        <v>157</v>
      </c>
      <c r="AF1" s="41"/>
      <c r="AG1" s="41"/>
      <c r="AH1" s="41"/>
      <c r="AI1" s="41"/>
      <c r="AJ1" s="41"/>
      <c r="AK1" s="41"/>
      <c r="AL1" s="41"/>
    </row>
    <row r="2" spans="1:48">
      <c r="A2" t="s">
        <v>136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128</v>
      </c>
      <c r="H2" t="s">
        <v>143</v>
      </c>
      <c r="I2" t="s">
        <v>142</v>
      </c>
      <c r="J2" t="s">
        <v>67</v>
      </c>
      <c r="K2">
        <f>AVERAGE(G3:G47)</f>
        <v>354.39111111111112</v>
      </c>
      <c r="L2" t="s">
        <v>136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128</v>
      </c>
      <c r="S2" t="s">
        <v>143</v>
      </c>
      <c r="T2" t="s">
        <v>142</v>
      </c>
      <c r="U2" s="6" t="s">
        <v>145</v>
      </c>
      <c r="V2" s="6" t="s">
        <v>144</v>
      </c>
      <c r="W2" s="6" t="s">
        <v>150</v>
      </c>
      <c r="X2" s="6" t="s">
        <v>152</v>
      </c>
      <c r="Y2" s="6" t="s">
        <v>154</v>
      </c>
      <c r="Z2" s="6" t="s">
        <v>151</v>
      </c>
      <c r="AA2" s="6" t="s">
        <v>153</v>
      </c>
      <c r="AB2" s="6" t="s">
        <v>155</v>
      </c>
      <c r="AC2" s="6" t="s">
        <v>19</v>
      </c>
      <c r="AD2" s="6" t="s">
        <v>20</v>
      </c>
      <c r="AE2" s="6" t="s">
        <v>150</v>
      </c>
      <c r="AF2" s="6" t="s">
        <v>152</v>
      </c>
      <c r="AG2" s="6" t="s">
        <v>154</v>
      </c>
      <c r="AH2" s="6" t="s">
        <v>151</v>
      </c>
      <c r="AI2" s="6" t="s">
        <v>153</v>
      </c>
      <c r="AJ2" s="6" t="s">
        <v>155</v>
      </c>
      <c r="AK2" s="6" t="s">
        <v>19</v>
      </c>
      <c r="AL2" s="6" t="s">
        <v>20</v>
      </c>
      <c r="AM2" t="str" cm="1">
        <f t="array" ref="AM2:AV3">TRANSPOSE(J2:K11)</f>
        <v>average</v>
      </c>
      <c r="AN2" t="str">
        <v>sample variance</v>
      </c>
      <c r="AO2" t="str">
        <v>standard error σ</v>
      </c>
      <c r="AP2" t="str">
        <v>mu_0</v>
      </c>
      <c r="AQ2" t="str">
        <v>mu_1</v>
      </c>
      <c r="AR2" t="str">
        <v>Δ</v>
      </c>
      <c r="AS2" t="str">
        <v>α</v>
      </c>
      <c r="AT2" t="str">
        <v>β</v>
      </c>
      <c r="AU2" t="str">
        <v>accept H_1 (if lower)</v>
      </c>
      <c r="AV2" t="str">
        <v>accept H_0 (if higher)</v>
      </c>
    </row>
    <row r="3" spans="1:48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f>AVERAGE(B3:F3)</f>
        <v>354.6</v>
      </c>
      <c r="H3">
        <f>G3-($K$5+$K$6)/2</f>
        <v>8.7059361806038851</v>
      </c>
      <c r="I3">
        <f>H3</f>
        <v>8.7059361806038851</v>
      </c>
      <c r="J3" t="s">
        <v>68</v>
      </c>
      <c r="K3">
        <f>_xlfn.VAR.S(G3:G47)</f>
        <v>26.341737373737384</v>
      </c>
      <c r="L3">
        <v>46</v>
      </c>
      <c r="M3">
        <v>351</v>
      </c>
      <c r="N3">
        <v>352</v>
      </c>
      <c r="O3">
        <v>361</v>
      </c>
      <c r="P3">
        <v>352</v>
      </c>
      <c r="Q3">
        <v>360</v>
      </c>
      <c r="R3">
        <f t="shared" ref="R3:R22" si="0">AVERAGE(M3:Q3)</f>
        <v>355.2</v>
      </c>
      <c r="S3">
        <f>R3-($K$5+$K$6)/2</f>
        <v>9.305936180603851</v>
      </c>
      <c r="T3">
        <f>S3</f>
        <v>9.305936180603851</v>
      </c>
      <c r="U3">
        <f>$K$10</f>
        <v>-17.918560313611167</v>
      </c>
      <c r="V3">
        <f>$K$11</f>
        <v>5.1530570568807397</v>
      </c>
      <c r="W3">
        <f>R3-($K$16+$K$18)</f>
        <v>1.0940638193961263</v>
      </c>
      <c r="X3">
        <f>MAX(0,W3)</f>
        <v>1.0940638193961263</v>
      </c>
      <c r="Y3">
        <f>IF(X3&gt;0,1,0)</f>
        <v>1</v>
      </c>
      <c r="Z3">
        <f>R3-($K$16-$K$18)</f>
        <v>9.305936180603851</v>
      </c>
      <c r="AA3">
        <f>MIN(0,Z3)</f>
        <v>0</v>
      </c>
      <c r="AB3">
        <f>IF(AA3&lt;0,1,0)</f>
        <v>0</v>
      </c>
      <c r="AC3">
        <f>$K$20</f>
        <v>30.794521354529053</v>
      </c>
      <c r="AD3">
        <f>-$K$20</f>
        <v>-30.794521354529053</v>
      </c>
      <c r="AE3">
        <f>R3-($K$25+$K$27)</f>
        <v>2.6337898871225889</v>
      </c>
      <c r="AF3">
        <f>MAX(0,AE3)</f>
        <v>2.6337898871225889</v>
      </c>
      <c r="AG3">
        <f>IF(AF3&gt;0,1,0)</f>
        <v>1</v>
      </c>
      <c r="AH3">
        <f>R3-($K$25-$K$27)</f>
        <v>7.7662101128773884</v>
      </c>
      <c r="AI3">
        <f>MIN(0,AH3)</f>
        <v>0</v>
      </c>
      <c r="AJ3">
        <f>IF(AI3&lt;0,1,0)</f>
        <v>0</v>
      </c>
      <c r="AK3">
        <f>$K$29</f>
        <v>25.662101128774211</v>
      </c>
      <c r="AL3">
        <f>-$K$29</f>
        <v>-25.662101128774211</v>
      </c>
      <c r="AM3">
        <v>354.39111111111112</v>
      </c>
      <c r="AN3">
        <v>26.341737373737384</v>
      </c>
      <c r="AO3">
        <v>5.1324202257548421</v>
      </c>
      <c r="AP3">
        <v>350</v>
      </c>
      <c r="AQ3">
        <v>341.78812763879228</v>
      </c>
      <c r="AR3">
        <v>-8.2118723612077478</v>
      </c>
      <c r="AS3">
        <v>3.0000000000000001E-3</v>
      </c>
      <c r="AT3">
        <v>0.2</v>
      </c>
      <c r="AU3">
        <v>-17.918560313611167</v>
      </c>
      <c r="AV3">
        <v>5.1530570568807397</v>
      </c>
    </row>
    <row r="4" spans="1:48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f t="shared" ref="G4:G47" si="1">AVERAGE(B4:F4)</f>
        <v>353.8</v>
      </c>
      <c r="H4">
        <f t="shared" ref="H4:H47" si="2">G4-($K$5+$K$6)/2</f>
        <v>7.9059361806038737</v>
      </c>
      <c r="I4">
        <f>I3+H4</f>
        <v>16.611872361207759</v>
      </c>
      <c r="J4" t="s">
        <v>131</v>
      </c>
      <c r="K4">
        <f>K3^0.5</f>
        <v>5.1324202257548421</v>
      </c>
      <c r="L4">
        <v>47</v>
      </c>
      <c r="M4">
        <v>351</v>
      </c>
      <c r="N4">
        <v>353</v>
      </c>
      <c r="O4">
        <v>360</v>
      </c>
      <c r="P4">
        <v>353</v>
      </c>
      <c r="Q4">
        <v>361</v>
      </c>
      <c r="R4">
        <f t="shared" si="0"/>
        <v>355.6</v>
      </c>
      <c r="S4">
        <f t="shared" ref="S4:S42" si="3">R4-($K$5+$K$6)/2</f>
        <v>9.7059361806038851</v>
      </c>
      <c r="T4">
        <f>IF(OR(T3&gt;$K$11,T3&lt;$K$10),S4,T3+S4)</f>
        <v>9.7059361806038851</v>
      </c>
      <c r="U4">
        <f t="shared" ref="U4:U42" si="4">$K$10</f>
        <v>-17.918560313611167</v>
      </c>
      <c r="V4">
        <f t="shared" ref="V4:V42" si="5">$K$11</f>
        <v>5.1530570568807397</v>
      </c>
      <c r="W4">
        <f t="shared" ref="W4:W42" si="6">R4-($K$16+$K$18)</f>
        <v>1.4940638193961604</v>
      </c>
      <c r="X4">
        <f>MAX(0,X3+W4)</f>
        <v>2.5881276387922867</v>
      </c>
      <c r="Y4">
        <f>IF(X4&gt;0,1+Y3,0)</f>
        <v>2</v>
      </c>
      <c r="Z4">
        <f t="shared" ref="Z4:Z42" si="7">R4-($K$16-$K$18)</f>
        <v>9.7059361806038851</v>
      </c>
      <c r="AA4">
        <f>MIN(0,Z4+AA3)</f>
        <v>0</v>
      </c>
      <c r="AB4">
        <f>IF(AA4&lt;0,1+AB3,0)</f>
        <v>0</v>
      </c>
      <c r="AC4">
        <f t="shared" ref="AC4:AC42" si="8">$K$20</f>
        <v>30.794521354529053</v>
      </c>
      <c r="AD4">
        <f t="shared" ref="AD4:AD42" si="9">-$K$20</f>
        <v>-30.794521354529053</v>
      </c>
      <c r="AE4">
        <f t="shared" ref="AE4:AE42" si="10">R4-($K$25+$K$27)</f>
        <v>3.033789887122623</v>
      </c>
      <c r="AF4">
        <f>MAX(0,AE4+AF3)</f>
        <v>5.6675797742452119</v>
      </c>
      <c r="AG4">
        <f>IF(AF4&gt;0,1+AG3,0)</f>
        <v>2</v>
      </c>
      <c r="AH4">
        <f t="shared" ref="AH4:AH42" si="11">R4-($K$25-$K$27)</f>
        <v>8.1662101128774225</v>
      </c>
      <c r="AI4">
        <f>MIN(0,AH4+AI3)</f>
        <v>0</v>
      </c>
      <c r="AJ4">
        <f>IF(AI4&lt;0,1+AJ3,0)</f>
        <v>0</v>
      </c>
      <c r="AK4">
        <f t="shared" ref="AK4:AK42" si="12">$K$29</f>
        <v>25.662101128774211</v>
      </c>
      <c r="AL4">
        <f t="shared" ref="AL4:AL42" si="13">-$K$29</f>
        <v>-25.662101128774211</v>
      </c>
    </row>
    <row r="5" spans="1:48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f t="shared" si="1"/>
        <v>353.6</v>
      </c>
      <c r="H5">
        <f t="shared" si="2"/>
        <v>7.7059361806038851</v>
      </c>
      <c r="I5">
        <f t="shared" ref="I5:I47" si="14">I4+H5</f>
        <v>24.317808541811644</v>
      </c>
      <c r="J5" t="s">
        <v>137</v>
      </c>
      <c r="K5">
        <f>350</f>
        <v>350</v>
      </c>
      <c r="L5">
        <v>48</v>
      </c>
      <c r="M5">
        <v>355</v>
      </c>
      <c r="N5">
        <v>355</v>
      </c>
      <c r="O5">
        <v>262</v>
      </c>
      <c r="P5">
        <v>252</v>
      </c>
      <c r="Q5">
        <v>364</v>
      </c>
      <c r="R5">
        <f t="shared" si="0"/>
        <v>317.60000000000002</v>
      </c>
      <c r="S5">
        <f t="shared" si="3"/>
        <v>-28.294063819396115</v>
      </c>
      <c r="T5">
        <f t="shared" ref="T5:T42" si="15">IF(OR(T4&gt;$K$11,T4&lt;$K$10),S5,T4+S5)</f>
        <v>-28.294063819396115</v>
      </c>
      <c r="U5">
        <f t="shared" si="4"/>
        <v>-17.918560313611167</v>
      </c>
      <c r="V5">
        <f t="shared" si="5"/>
        <v>5.1530570568807397</v>
      </c>
      <c r="W5">
        <f t="shared" si="6"/>
        <v>-36.50593618060384</v>
      </c>
      <c r="X5">
        <f t="shared" ref="X5:X42" si="16">MAX(0,X4+W5)</f>
        <v>0</v>
      </c>
      <c r="Y5">
        <f t="shared" ref="Y5:Y42" si="17">IF(X5&gt;0,1+Y4,0)</f>
        <v>0</v>
      </c>
      <c r="Z5">
        <f t="shared" si="7"/>
        <v>-28.294063819396115</v>
      </c>
      <c r="AA5">
        <f t="shared" ref="AA5:AA42" si="18">MIN(0,Z5+AA4)</f>
        <v>-28.294063819396115</v>
      </c>
      <c r="AB5">
        <f t="shared" ref="AB5:AB42" si="19">IF(AA5&lt;0,1+AB4,0)</f>
        <v>1</v>
      </c>
      <c r="AC5">
        <f t="shared" si="8"/>
        <v>30.794521354529053</v>
      </c>
      <c r="AD5">
        <f t="shared" si="9"/>
        <v>-30.794521354529053</v>
      </c>
      <c r="AE5">
        <f t="shared" si="10"/>
        <v>-34.966210112877377</v>
      </c>
      <c r="AF5">
        <f t="shared" ref="AF5:AF42" si="20">MAX(0,AE5+AF4)</f>
        <v>0</v>
      </c>
      <c r="AG5">
        <f t="shared" ref="AG5:AG42" si="21">IF(AF5&gt;0,1+AG4,0)</f>
        <v>0</v>
      </c>
      <c r="AH5">
        <f t="shared" si="11"/>
        <v>-29.833789887122578</v>
      </c>
      <c r="AI5">
        <f t="shared" ref="AI5:AI42" si="22">MIN(0,AH5+AI4)</f>
        <v>-29.833789887122578</v>
      </c>
      <c r="AJ5">
        <f t="shared" ref="AJ5:AJ42" si="23">IF(AI5&lt;0,1+AJ4,0)</f>
        <v>1</v>
      </c>
      <c r="AK5">
        <f t="shared" si="12"/>
        <v>25.662101128774211</v>
      </c>
      <c r="AL5">
        <f t="shared" si="13"/>
        <v>-25.662101128774211</v>
      </c>
      <c r="AM5" t="str" cm="1">
        <f t="array" ref="AM5:AT6">TRANSPOSE(J13:K20)</f>
        <v>average</v>
      </c>
      <c r="AN5" t="str">
        <v>sample variance</v>
      </c>
      <c r="AO5" t="str">
        <v>standard error σ</v>
      </c>
      <c r="AP5" t="str">
        <v>mu_0</v>
      </c>
      <c r="AQ5" t="str">
        <v>k</v>
      </c>
      <c r="AR5" t="str">
        <v>K</v>
      </c>
      <c r="AS5" t="str">
        <v>h</v>
      </c>
      <c r="AT5" t="str">
        <v>H</v>
      </c>
    </row>
    <row r="6" spans="1:48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f t="shared" si="1"/>
        <v>357.6</v>
      </c>
      <c r="H6">
        <f t="shared" si="2"/>
        <v>11.705936180603885</v>
      </c>
      <c r="I6">
        <f t="shared" si="14"/>
        <v>36.023744722415529</v>
      </c>
      <c r="J6" t="s">
        <v>138</v>
      </c>
      <c r="K6">
        <f>K5+K7</f>
        <v>341.78812763879228</v>
      </c>
      <c r="L6">
        <v>49</v>
      </c>
      <c r="M6">
        <v>356</v>
      </c>
      <c r="N6">
        <v>355</v>
      </c>
      <c r="O6">
        <v>364</v>
      </c>
      <c r="P6">
        <v>356</v>
      </c>
      <c r="Q6">
        <v>364</v>
      </c>
      <c r="R6">
        <f t="shared" si="0"/>
        <v>359</v>
      </c>
      <c r="S6">
        <f t="shared" si="3"/>
        <v>13.105936180603862</v>
      </c>
      <c r="T6">
        <f t="shared" si="15"/>
        <v>13.105936180603862</v>
      </c>
      <c r="U6">
        <f t="shared" si="4"/>
        <v>-17.918560313611167</v>
      </c>
      <c r="V6">
        <f t="shared" si="5"/>
        <v>5.1530570568807397</v>
      </c>
      <c r="W6">
        <f t="shared" si="6"/>
        <v>4.8940638193961377</v>
      </c>
      <c r="X6">
        <f t="shared" si="16"/>
        <v>4.8940638193961377</v>
      </c>
      <c r="Y6">
        <f t="shared" si="17"/>
        <v>1</v>
      </c>
      <c r="Z6">
        <f t="shared" si="7"/>
        <v>13.105936180603862</v>
      </c>
      <c r="AA6">
        <f t="shared" si="18"/>
        <v>-15.188127638792253</v>
      </c>
      <c r="AB6">
        <f t="shared" si="19"/>
        <v>2</v>
      </c>
      <c r="AC6">
        <f t="shared" si="8"/>
        <v>30.794521354529053</v>
      </c>
      <c r="AD6">
        <f t="shared" si="9"/>
        <v>-30.794521354529053</v>
      </c>
      <c r="AE6">
        <f t="shared" si="10"/>
        <v>6.4337898871226002</v>
      </c>
      <c r="AF6">
        <f t="shared" si="20"/>
        <v>6.4337898871226002</v>
      </c>
      <c r="AG6">
        <f t="shared" si="21"/>
        <v>1</v>
      </c>
      <c r="AH6">
        <f t="shared" si="11"/>
        <v>11.5662101128774</v>
      </c>
      <c r="AI6">
        <f t="shared" si="22"/>
        <v>-18.267579774245178</v>
      </c>
      <c r="AJ6">
        <f t="shared" si="23"/>
        <v>2</v>
      </c>
      <c r="AK6">
        <f t="shared" si="12"/>
        <v>25.662101128774211</v>
      </c>
      <c r="AL6">
        <f t="shared" si="13"/>
        <v>-25.662101128774211</v>
      </c>
      <c r="AM6">
        <v>354.39111111111112</v>
      </c>
      <c r="AN6">
        <v>26.341737373737384</v>
      </c>
      <c r="AO6">
        <v>5.1324202257548421</v>
      </c>
      <c r="AP6">
        <v>350</v>
      </c>
      <c r="AQ6">
        <v>0.8</v>
      </c>
      <c r="AR6">
        <v>4.1059361806038739</v>
      </c>
      <c r="AS6">
        <v>6</v>
      </c>
      <c r="AT6">
        <v>30.794521354529053</v>
      </c>
    </row>
    <row r="7" spans="1:48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f t="shared" si="1"/>
        <v>353.8</v>
      </c>
      <c r="H7">
        <f t="shared" si="2"/>
        <v>7.9059361806038737</v>
      </c>
      <c r="I7">
        <f t="shared" si="14"/>
        <v>43.929680903019403</v>
      </c>
      <c r="J7" s="6" t="s">
        <v>139</v>
      </c>
      <c r="K7">
        <f>-1.6*K4</f>
        <v>-8.2118723612077478</v>
      </c>
      <c r="L7">
        <v>50</v>
      </c>
      <c r="M7">
        <v>351</v>
      </c>
      <c r="N7">
        <v>350</v>
      </c>
      <c r="O7">
        <v>359</v>
      </c>
      <c r="P7">
        <v>351</v>
      </c>
      <c r="Q7">
        <v>359</v>
      </c>
      <c r="R7">
        <f t="shared" si="0"/>
        <v>354</v>
      </c>
      <c r="S7">
        <f t="shared" si="3"/>
        <v>8.1059361806038623</v>
      </c>
      <c r="T7">
        <f t="shared" si="15"/>
        <v>8.1059361806038623</v>
      </c>
      <c r="U7">
        <f t="shared" si="4"/>
        <v>-17.918560313611167</v>
      </c>
      <c r="V7">
        <f t="shared" si="5"/>
        <v>5.1530570568807397</v>
      </c>
      <c r="W7">
        <f t="shared" si="6"/>
        <v>-0.10593618060386234</v>
      </c>
      <c r="X7">
        <f t="shared" si="16"/>
        <v>4.7881276387922753</v>
      </c>
      <c r="Y7">
        <f t="shared" si="17"/>
        <v>2</v>
      </c>
      <c r="Z7">
        <f t="shared" si="7"/>
        <v>8.1059361806038623</v>
      </c>
      <c r="AA7">
        <f t="shared" si="18"/>
        <v>-7.0821914581883902</v>
      </c>
      <c r="AB7">
        <f t="shared" si="19"/>
        <v>3</v>
      </c>
      <c r="AC7">
        <f t="shared" si="8"/>
        <v>30.794521354529053</v>
      </c>
      <c r="AD7">
        <f t="shared" si="9"/>
        <v>-30.794521354529053</v>
      </c>
      <c r="AE7">
        <f t="shared" si="10"/>
        <v>1.4337898871226002</v>
      </c>
      <c r="AF7">
        <f t="shared" si="20"/>
        <v>7.8675797742452005</v>
      </c>
      <c r="AG7">
        <f t="shared" si="21"/>
        <v>2</v>
      </c>
      <c r="AH7">
        <f t="shared" si="11"/>
        <v>6.5662101128773998</v>
      </c>
      <c r="AI7">
        <f t="shared" si="22"/>
        <v>-11.701369661367778</v>
      </c>
      <c r="AJ7">
        <f t="shared" si="23"/>
        <v>3</v>
      </c>
      <c r="AK7">
        <f t="shared" si="12"/>
        <v>25.662101128774211</v>
      </c>
      <c r="AL7">
        <f t="shared" si="13"/>
        <v>-25.662101128774211</v>
      </c>
    </row>
    <row r="8" spans="1:48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f t="shared" si="1"/>
        <v>352.4</v>
      </c>
      <c r="H8">
        <f t="shared" si="2"/>
        <v>6.5059361806038396</v>
      </c>
      <c r="I8">
        <f t="shared" si="14"/>
        <v>50.435617083623242</v>
      </c>
      <c r="J8" s="6" t="s">
        <v>76</v>
      </c>
      <c r="K8">
        <v>3.0000000000000001E-3</v>
      </c>
      <c r="L8">
        <v>51</v>
      </c>
      <c r="M8">
        <v>352</v>
      </c>
      <c r="N8">
        <v>351</v>
      </c>
      <c r="O8">
        <v>360</v>
      </c>
      <c r="P8">
        <v>351</v>
      </c>
      <c r="Q8">
        <v>360</v>
      </c>
      <c r="R8">
        <f t="shared" si="0"/>
        <v>354.8</v>
      </c>
      <c r="S8">
        <f t="shared" si="3"/>
        <v>8.9059361806038737</v>
      </c>
      <c r="T8">
        <f t="shared" si="15"/>
        <v>8.9059361806038737</v>
      </c>
      <c r="U8">
        <f t="shared" si="4"/>
        <v>-17.918560313611167</v>
      </c>
      <c r="V8">
        <f t="shared" si="5"/>
        <v>5.1530570568807397</v>
      </c>
      <c r="W8">
        <f t="shared" si="6"/>
        <v>0.69406381939614903</v>
      </c>
      <c r="X8">
        <f t="shared" si="16"/>
        <v>5.4821914581884243</v>
      </c>
      <c r="Y8">
        <f t="shared" si="17"/>
        <v>3</v>
      </c>
      <c r="Z8">
        <f t="shared" si="7"/>
        <v>8.9059361806038737</v>
      </c>
      <c r="AA8">
        <f t="shared" si="18"/>
        <v>0</v>
      </c>
      <c r="AB8">
        <f t="shared" si="19"/>
        <v>0</v>
      </c>
      <c r="AC8">
        <f t="shared" si="8"/>
        <v>30.794521354529053</v>
      </c>
      <c r="AD8">
        <f t="shared" si="9"/>
        <v>-30.794521354529053</v>
      </c>
      <c r="AE8">
        <f t="shared" si="10"/>
        <v>2.2337898871226116</v>
      </c>
      <c r="AF8">
        <f t="shared" si="20"/>
        <v>10.101369661367812</v>
      </c>
      <c r="AG8">
        <f t="shared" si="21"/>
        <v>3</v>
      </c>
      <c r="AH8">
        <f t="shared" si="11"/>
        <v>7.3662101128774111</v>
      </c>
      <c r="AI8">
        <f t="shared" si="22"/>
        <v>-4.3351595484903669</v>
      </c>
      <c r="AJ8">
        <f t="shared" si="23"/>
        <v>4</v>
      </c>
      <c r="AK8">
        <f t="shared" si="12"/>
        <v>25.662101128774211</v>
      </c>
      <c r="AL8">
        <f t="shared" si="13"/>
        <v>-25.662101128774211</v>
      </c>
      <c r="AM8" t="str" cm="1">
        <f t="array" ref="AM8:AT9">TRANSPOSE(J22:K29)</f>
        <v>average</v>
      </c>
      <c r="AN8" t="str">
        <v>sample variance</v>
      </c>
      <c r="AO8" t="str">
        <v>standard error σ</v>
      </c>
      <c r="AP8" t="str">
        <v>mu_0</v>
      </c>
      <c r="AQ8" t="str">
        <v>k</v>
      </c>
      <c r="AR8" t="str">
        <v>K</v>
      </c>
      <c r="AS8" t="str">
        <v>h</v>
      </c>
      <c r="AT8" t="str">
        <v>H</v>
      </c>
    </row>
    <row r="9" spans="1:48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f t="shared" si="1"/>
        <v>355.6</v>
      </c>
      <c r="H9">
        <f t="shared" si="2"/>
        <v>9.7059361806038851</v>
      </c>
      <c r="I9">
        <f t="shared" si="14"/>
        <v>60.141553264227127</v>
      </c>
      <c r="J9" s="6" t="s">
        <v>32</v>
      </c>
      <c r="K9">
        <v>0.2</v>
      </c>
      <c r="L9">
        <v>52</v>
      </c>
      <c r="M9">
        <v>355</v>
      </c>
      <c r="N9">
        <v>352</v>
      </c>
      <c r="O9">
        <v>362</v>
      </c>
      <c r="P9">
        <v>354</v>
      </c>
      <c r="Q9">
        <v>362</v>
      </c>
      <c r="R9">
        <f t="shared" si="0"/>
        <v>357</v>
      </c>
      <c r="S9">
        <f t="shared" si="3"/>
        <v>11.105936180603862</v>
      </c>
      <c r="T9">
        <f t="shared" si="15"/>
        <v>11.105936180603862</v>
      </c>
      <c r="U9">
        <f t="shared" si="4"/>
        <v>-17.918560313611167</v>
      </c>
      <c r="V9">
        <f t="shared" si="5"/>
        <v>5.1530570568807397</v>
      </c>
      <c r="W9">
        <f t="shared" si="6"/>
        <v>2.8940638193961377</v>
      </c>
      <c r="X9">
        <f t="shared" si="16"/>
        <v>8.376255277584562</v>
      </c>
      <c r="Y9">
        <f t="shared" si="17"/>
        <v>4</v>
      </c>
      <c r="Z9">
        <f t="shared" si="7"/>
        <v>11.105936180603862</v>
      </c>
      <c r="AA9">
        <f t="shared" si="18"/>
        <v>0</v>
      </c>
      <c r="AB9">
        <f t="shared" si="19"/>
        <v>0</v>
      </c>
      <c r="AC9">
        <f t="shared" si="8"/>
        <v>30.794521354529053</v>
      </c>
      <c r="AD9">
        <f t="shared" si="9"/>
        <v>-30.794521354529053</v>
      </c>
      <c r="AE9">
        <f t="shared" si="10"/>
        <v>4.4337898871226002</v>
      </c>
      <c r="AF9">
        <f t="shared" si="20"/>
        <v>14.535159548490412</v>
      </c>
      <c r="AG9">
        <f t="shared" si="21"/>
        <v>4</v>
      </c>
      <c r="AH9">
        <f t="shared" si="11"/>
        <v>9.5662101128773998</v>
      </c>
      <c r="AI9">
        <f t="shared" si="22"/>
        <v>0</v>
      </c>
      <c r="AJ9">
        <f t="shared" si="23"/>
        <v>0</v>
      </c>
      <c r="AK9">
        <f t="shared" si="12"/>
        <v>25.662101128774211</v>
      </c>
      <c r="AL9">
        <f t="shared" si="13"/>
        <v>-25.662101128774211</v>
      </c>
      <c r="AM9">
        <v>354.39111111111112</v>
      </c>
      <c r="AN9">
        <v>26.341737373737384</v>
      </c>
      <c r="AO9">
        <v>5.1324202257548421</v>
      </c>
      <c r="AP9">
        <v>350</v>
      </c>
      <c r="AQ9">
        <v>0.5</v>
      </c>
      <c r="AR9">
        <v>2.5662101128774211</v>
      </c>
      <c r="AS9">
        <v>5</v>
      </c>
      <c r="AT9">
        <v>25.662101128774211</v>
      </c>
    </row>
    <row r="10" spans="1:48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f t="shared" si="1"/>
        <v>353.2</v>
      </c>
      <c r="H10">
        <f t="shared" si="2"/>
        <v>7.305936180603851</v>
      </c>
      <c r="I10">
        <f t="shared" si="14"/>
        <v>67.447489444830978</v>
      </c>
      <c r="J10" s="6" t="s">
        <v>141</v>
      </c>
      <c r="K10">
        <f>K3/K7*LN((1-K9)/K8)</f>
        <v>-17.918560313611167</v>
      </c>
      <c r="L10">
        <v>53</v>
      </c>
      <c r="M10">
        <v>349</v>
      </c>
      <c r="N10">
        <v>347</v>
      </c>
      <c r="O10">
        <v>357</v>
      </c>
      <c r="P10">
        <v>348</v>
      </c>
      <c r="Q10">
        <v>358</v>
      </c>
      <c r="R10">
        <f t="shared" si="0"/>
        <v>351.8</v>
      </c>
      <c r="S10">
        <f t="shared" si="3"/>
        <v>5.9059361806038737</v>
      </c>
      <c r="T10">
        <f t="shared" si="15"/>
        <v>5.9059361806038737</v>
      </c>
      <c r="U10">
        <f t="shared" si="4"/>
        <v>-17.918560313611167</v>
      </c>
      <c r="V10">
        <f t="shared" si="5"/>
        <v>5.1530570568807397</v>
      </c>
      <c r="W10">
        <f t="shared" si="6"/>
        <v>-2.305936180603851</v>
      </c>
      <c r="X10">
        <f t="shared" si="16"/>
        <v>6.070319096980711</v>
      </c>
      <c r="Y10">
        <f t="shared" si="17"/>
        <v>5</v>
      </c>
      <c r="Z10">
        <f t="shared" si="7"/>
        <v>5.9059361806038737</v>
      </c>
      <c r="AA10">
        <f t="shared" si="18"/>
        <v>0</v>
      </c>
      <c r="AB10">
        <f t="shared" si="19"/>
        <v>0</v>
      </c>
      <c r="AC10">
        <f t="shared" si="8"/>
        <v>30.794521354529053</v>
      </c>
      <c r="AD10">
        <f t="shared" si="9"/>
        <v>-30.794521354529053</v>
      </c>
      <c r="AE10">
        <f t="shared" si="10"/>
        <v>-0.76621011287738838</v>
      </c>
      <c r="AF10">
        <f t="shared" si="20"/>
        <v>13.768949435613024</v>
      </c>
      <c r="AG10">
        <f t="shared" si="21"/>
        <v>5</v>
      </c>
      <c r="AH10">
        <f t="shared" si="11"/>
        <v>4.3662101128774111</v>
      </c>
      <c r="AI10">
        <f t="shared" si="22"/>
        <v>0</v>
      </c>
      <c r="AJ10">
        <f t="shared" si="23"/>
        <v>0</v>
      </c>
      <c r="AK10">
        <f t="shared" si="12"/>
        <v>25.662101128774211</v>
      </c>
      <c r="AL10">
        <f t="shared" si="13"/>
        <v>-25.662101128774211</v>
      </c>
    </row>
    <row r="11" spans="1:48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f t="shared" si="1"/>
        <v>355</v>
      </c>
      <c r="H11">
        <f t="shared" si="2"/>
        <v>9.1059361806038623</v>
      </c>
      <c r="I11">
        <f t="shared" si="14"/>
        <v>76.553425625434841</v>
      </c>
      <c r="J11" s="6" t="s">
        <v>140</v>
      </c>
      <c r="K11">
        <f>K3/K7*LN(K9/(1-K8))</f>
        <v>5.1530570568807397</v>
      </c>
      <c r="L11">
        <v>54</v>
      </c>
      <c r="M11">
        <v>350</v>
      </c>
      <c r="N11">
        <v>349</v>
      </c>
      <c r="O11">
        <v>359</v>
      </c>
      <c r="P11">
        <v>350</v>
      </c>
      <c r="Q11">
        <v>359</v>
      </c>
      <c r="R11">
        <f t="shared" si="0"/>
        <v>353.4</v>
      </c>
      <c r="S11">
        <f t="shared" si="3"/>
        <v>7.5059361806038396</v>
      </c>
      <c r="T11">
        <f t="shared" si="15"/>
        <v>7.5059361806038396</v>
      </c>
      <c r="U11">
        <f t="shared" si="4"/>
        <v>-17.918560313611167</v>
      </c>
      <c r="V11">
        <f t="shared" si="5"/>
        <v>5.1530570568807397</v>
      </c>
      <c r="W11">
        <f t="shared" si="6"/>
        <v>-0.70593618060388508</v>
      </c>
      <c r="X11">
        <f t="shared" si="16"/>
        <v>5.364382916376826</v>
      </c>
      <c r="Y11">
        <f t="shared" si="17"/>
        <v>6</v>
      </c>
      <c r="Z11">
        <f t="shared" si="7"/>
        <v>7.5059361806038396</v>
      </c>
      <c r="AA11">
        <f t="shared" si="18"/>
        <v>0</v>
      </c>
      <c r="AB11">
        <f t="shared" si="19"/>
        <v>0</v>
      </c>
      <c r="AC11">
        <f t="shared" si="8"/>
        <v>30.794521354529053</v>
      </c>
      <c r="AD11">
        <f t="shared" si="9"/>
        <v>-30.794521354529053</v>
      </c>
      <c r="AE11">
        <f t="shared" si="10"/>
        <v>0.83378988712257751</v>
      </c>
      <c r="AF11">
        <f t="shared" si="20"/>
        <v>14.602739322735601</v>
      </c>
      <c r="AG11">
        <f t="shared" si="21"/>
        <v>6</v>
      </c>
      <c r="AH11">
        <f t="shared" si="11"/>
        <v>5.966210112877377</v>
      </c>
      <c r="AI11">
        <f t="shared" si="22"/>
        <v>0</v>
      </c>
      <c r="AJ11">
        <f t="shared" si="23"/>
        <v>0</v>
      </c>
      <c r="AK11">
        <f t="shared" si="12"/>
        <v>25.662101128774211</v>
      </c>
      <c r="AL11">
        <f t="shared" si="13"/>
        <v>-25.662101128774211</v>
      </c>
    </row>
    <row r="12" spans="1:48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f t="shared" si="1"/>
        <v>354.4</v>
      </c>
      <c r="H12">
        <f t="shared" si="2"/>
        <v>8.5059361806038396</v>
      </c>
      <c r="I12">
        <f t="shared" si="14"/>
        <v>85.05936180603868</v>
      </c>
      <c r="L12">
        <v>55</v>
      </c>
      <c r="M12">
        <v>349</v>
      </c>
      <c r="N12">
        <v>348</v>
      </c>
      <c r="O12">
        <v>357</v>
      </c>
      <c r="P12">
        <v>349</v>
      </c>
      <c r="Q12">
        <v>358</v>
      </c>
      <c r="R12">
        <f t="shared" si="0"/>
        <v>352.2</v>
      </c>
      <c r="S12">
        <f t="shared" si="3"/>
        <v>6.305936180603851</v>
      </c>
      <c r="T12">
        <f t="shared" si="15"/>
        <v>6.305936180603851</v>
      </c>
      <c r="U12">
        <f t="shared" si="4"/>
        <v>-17.918560313611167</v>
      </c>
      <c r="V12">
        <f t="shared" si="5"/>
        <v>5.1530570568807397</v>
      </c>
      <c r="W12">
        <f t="shared" si="6"/>
        <v>-1.9059361806038737</v>
      </c>
      <c r="X12">
        <f t="shared" si="16"/>
        <v>3.4584467357729523</v>
      </c>
      <c r="Y12">
        <f t="shared" si="17"/>
        <v>7</v>
      </c>
      <c r="Z12">
        <f t="shared" si="7"/>
        <v>6.305936180603851</v>
      </c>
      <c r="AA12">
        <f t="shared" si="18"/>
        <v>0</v>
      </c>
      <c r="AB12">
        <f t="shared" si="19"/>
        <v>0</v>
      </c>
      <c r="AC12">
        <f t="shared" si="8"/>
        <v>30.794521354529053</v>
      </c>
      <c r="AD12">
        <f t="shared" si="9"/>
        <v>-30.794521354529053</v>
      </c>
      <c r="AE12">
        <f t="shared" si="10"/>
        <v>-0.36621011287741112</v>
      </c>
      <c r="AF12">
        <f t="shared" si="20"/>
        <v>14.23652920985819</v>
      </c>
      <c r="AG12">
        <f t="shared" si="21"/>
        <v>7</v>
      </c>
      <c r="AH12">
        <f t="shared" si="11"/>
        <v>4.7662101128773884</v>
      </c>
      <c r="AI12">
        <f t="shared" si="22"/>
        <v>0</v>
      </c>
      <c r="AJ12">
        <f t="shared" si="23"/>
        <v>0</v>
      </c>
      <c r="AK12">
        <f t="shared" si="12"/>
        <v>25.662101128774211</v>
      </c>
      <c r="AL12">
        <f t="shared" si="13"/>
        <v>-25.662101128774211</v>
      </c>
    </row>
    <row r="13" spans="1:48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f t="shared" si="1"/>
        <v>354</v>
      </c>
      <c r="H13">
        <f t="shared" si="2"/>
        <v>8.1059361806038623</v>
      </c>
      <c r="I13">
        <f t="shared" si="14"/>
        <v>93.165297986642543</v>
      </c>
      <c r="J13" t="s">
        <v>67</v>
      </c>
      <c r="K13">
        <f>AVERAGE($G$3:$G$47)</f>
        <v>354.39111111111112</v>
      </c>
      <c r="L13">
        <v>56</v>
      </c>
      <c r="M13">
        <v>348</v>
      </c>
      <c r="N13">
        <v>347</v>
      </c>
      <c r="O13">
        <v>348</v>
      </c>
      <c r="P13">
        <v>349</v>
      </c>
      <c r="Q13">
        <v>351</v>
      </c>
      <c r="R13">
        <f t="shared" si="0"/>
        <v>348.6</v>
      </c>
      <c r="S13">
        <f t="shared" si="3"/>
        <v>2.7059361806038851</v>
      </c>
      <c r="T13">
        <f t="shared" si="15"/>
        <v>2.7059361806038851</v>
      </c>
      <c r="U13">
        <f t="shared" si="4"/>
        <v>-17.918560313611167</v>
      </c>
      <c r="V13">
        <f t="shared" si="5"/>
        <v>5.1530570568807397</v>
      </c>
      <c r="W13">
        <f t="shared" si="6"/>
        <v>-5.5059361806038396</v>
      </c>
      <c r="X13">
        <f t="shared" si="16"/>
        <v>0</v>
      </c>
      <c r="Y13">
        <f t="shared" si="17"/>
        <v>0</v>
      </c>
      <c r="Z13">
        <f t="shared" si="7"/>
        <v>2.7059361806038851</v>
      </c>
      <c r="AA13">
        <f t="shared" si="18"/>
        <v>0</v>
      </c>
      <c r="AB13">
        <f t="shared" si="19"/>
        <v>0</v>
      </c>
      <c r="AC13">
        <f t="shared" si="8"/>
        <v>30.794521354529053</v>
      </c>
      <c r="AD13">
        <f t="shared" si="9"/>
        <v>-30.794521354529053</v>
      </c>
      <c r="AE13">
        <f t="shared" si="10"/>
        <v>-3.966210112877377</v>
      </c>
      <c r="AF13">
        <f t="shared" si="20"/>
        <v>10.270319096980813</v>
      </c>
      <c r="AG13">
        <f t="shared" si="21"/>
        <v>8</v>
      </c>
      <c r="AH13">
        <f t="shared" si="11"/>
        <v>1.1662101128774225</v>
      </c>
      <c r="AI13">
        <f t="shared" si="22"/>
        <v>0</v>
      </c>
      <c r="AJ13">
        <f t="shared" si="23"/>
        <v>0</v>
      </c>
      <c r="AK13">
        <f t="shared" si="12"/>
        <v>25.662101128774211</v>
      </c>
      <c r="AL13">
        <f t="shared" si="13"/>
        <v>-25.662101128774211</v>
      </c>
    </row>
    <row r="14" spans="1:48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f t="shared" si="1"/>
        <v>353.2</v>
      </c>
      <c r="H14">
        <f t="shared" si="2"/>
        <v>7.305936180603851</v>
      </c>
      <c r="I14">
        <f t="shared" si="14"/>
        <v>100.47123416724639</v>
      </c>
      <c r="J14" t="s">
        <v>68</v>
      </c>
      <c r="K14">
        <f>_xlfn.VAR.S($G$3:$G$47)</f>
        <v>26.341737373737384</v>
      </c>
      <c r="L14">
        <v>57</v>
      </c>
      <c r="M14">
        <v>348</v>
      </c>
      <c r="N14">
        <v>347</v>
      </c>
      <c r="O14">
        <v>349</v>
      </c>
      <c r="P14">
        <v>350</v>
      </c>
      <c r="Q14">
        <v>351</v>
      </c>
      <c r="R14">
        <f t="shared" si="0"/>
        <v>349</v>
      </c>
      <c r="S14">
        <f t="shared" si="3"/>
        <v>3.1059361806038623</v>
      </c>
      <c r="T14">
        <f t="shared" si="15"/>
        <v>5.8118723612077474</v>
      </c>
      <c r="U14">
        <f t="shared" si="4"/>
        <v>-17.918560313611167</v>
      </c>
      <c r="V14">
        <f t="shared" si="5"/>
        <v>5.1530570568807397</v>
      </c>
      <c r="W14">
        <f t="shared" si="6"/>
        <v>-5.1059361806038623</v>
      </c>
      <c r="X14">
        <f t="shared" si="16"/>
        <v>0</v>
      </c>
      <c r="Y14">
        <f t="shared" si="17"/>
        <v>0</v>
      </c>
      <c r="Z14">
        <f t="shared" si="7"/>
        <v>3.1059361806038623</v>
      </c>
      <c r="AA14">
        <f t="shared" si="18"/>
        <v>0</v>
      </c>
      <c r="AB14">
        <f t="shared" si="19"/>
        <v>0</v>
      </c>
      <c r="AC14">
        <f t="shared" si="8"/>
        <v>30.794521354529053</v>
      </c>
      <c r="AD14">
        <f t="shared" si="9"/>
        <v>-30.794521354529053</v>
      </c>
      <c r="AE14">
        <f t="shared" si="10"/>
        <v>-3.5662101128773998</v>
      </c>
      <c r="AF14">
        <f t="shared" si="20"/>
        <v>6.7041089841034136</v>
      </c>
      <c r="AG14">
        <f t="shared" si="21"/>
        <v>9</v>
      </c>
      <c r="AH14">
        <f t="shared" si="11"/>
        <v>1.5662101128773998</v>
      </c>
      <c r="AI14">
        <f t="shared" si="22"/>
        <v>0</v>
      </c>
      <c r="AJ14">
        <f t="shared" si="23"/>
        <v>0</v>
      </c>
      <c r="AK14">
        <f t="shared" si="12"/>
        <v>25.662101128774211</v>
      </c>
      <c r="AL14">
        <f t="shared" si="13"/>
        <v>-25.662101128774211</v>
      </c>
    </row>
    <row r="15" spans="1:48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f t="shared" si="1"/>
        <v>354.2</v>
      </c>
      <c r="H15">
        <f t="shared" si="2"/>
        <v>8.305936180603851</v>
      </c>
      <c r="I15">
        <f t="shared" si="14"/>
        <v>108.77717034785024</v>
      </c>
      <c r="J15" t="s">
        <v>131</v>
      </c>
      <c r="K15">
        <f>K14^0.5</f>
        <v>5.1324202257548421</v>
      </c>
      <c r="L15">
        <v>58</v>
      </c>
      <c r="M15">
        <v>345</v>
      </c>
      <c r="N15">
        <v>346</v>
      </c>
      <c r="O15">
        <v>355</v>
      </c>
      <c r="P15">
        <v>346</v>
      </c>
      <c r="Q15">
        <v>355</v>
      </c>
      <c r="R15">
        <f t="shared" si="0"/>
        <v>349.4</v>
      </c>
      <c r="S15">
        <f t="shared" si="3"/>
        <v>3.5059361806038396</v>
      </c>
      <c r="T15">
        <f t="shared" si="15"/>
        <v>3.5059361806038396</v>
      </c>
      <c r="U15">
        <f t="shared" si="4"/>
        <v>-17.918560313611167</v>
      </c>
      <c r="V15">
        <f t="shared" si="5"/>
        <v>5.1530570568807397</v>
      </c>
      <c r="W15">
        <f t="shared" si="6"/>
        <v>-4.7059361806038851</v>
      </c>
      <c r="X15">
        <f t="shared" si="16"/>
        <v>0</v>
      </c>
      <c r="Y15">
        <f t="shared" si="17"/>
        <v>0</v>
      </c>
      <c r="Z15">
        <f t="shared" si="7"/>
        <v>3.5059361806038396</v>
      </c>
      <c r="AA15">
        <f t="shared" si="18"/>
        <v>0</v>
      </c>
      <c r="AB15">
        <f t="shared" si="19"/>
        <v>0</v>
      </c>
      <c r="AC15">
        <f t="shared" si="8"/>
        <v>30.794521354529053</v>
      </c>
      <c r="AD15">
        <f t="shared" si="9"/>
        <v>-30.794521354529053</v>
      </c>
      <c r="AE15">
        <f t="shared" si="10"/>
        <v>-3.1662101128774225</v>
      </c>
      <c r="AF15">
        <f t="shared" si="20"/>
        <v>3.5378988712259911</v>
      </c>
      <c r="AG15">
        <f t="shared" si="21"/>
        <v>10</v>
      </c>
      <c r="AH15">
        <f t="shared" si="11"/>
        <v>1.966210112877377</v>
      </c>
      <c r="AI15">
        <f t="shared" si="22"/>
        <v>0</v>
      </c>
      <c r="AJ15">
        <f t="shared" si="23"/>
        <v>0</v>
      </c>
      <c r="AK15">
        <f t="shared" si="12"/>
        <v>25.662101128774211</v>
      </c>
      <c r="AL15">
        <f t="shared" si="13"/>
        <v>-25.662101128774211</v>
      </c>
    </row>
    <row r="16" spans="1:48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f t="shared" si="1"/>
        <v>353.8</v>
      </c>
      <c r="H16">
        <f t="shared" si="2"/>
        <v>7.9059361806038737</v>
      </c>
      <c r="I16">
        <f t="shared" si="14"/>
        <v>116.68310652845412</v>
      </c>
      <c r="J16" t="s">
        <v>137</v>
      </c>
      <c r="K16">
        <f>350</f>
        <v>350</v>
      </c>
      <c r="L16">
        <v>59</v>
      </c>
      <c r="M16">
        <v>343</v>
      </c>
      <c r="N16">
        <v>346</v>
      </c>
      <c r="O16">
        <v>356</v>
      </c>
      <c r="P16">
        <v>346</v>
      </c>
      <c r="Q16">
        <v>356</v>
      </c>
      <c r="R16">
        <f t="shared" si="0"/>
        <v>349.4</v>
      </c>
      <c r="S16">
        <f t="shared" si="3"/>
        <v>3.5059361806038396</v>
      </c>
      <c r="T16">
        <f t="shared" si="15"/>
        <v>7.0118723612076792</v>
      </c>
      <c r="U16">
        <f t="shared" si="4"/>
        <v>-17.918560313611167</v>
      </c>
      <c r="V16">
        <f t="shared" si="5"/>
        <v>5.1530570568807397</v>
      </c>
      <c r="W16">
        <f t="shared" si="6"/>
        <v>-4.7059361806038851</v>
      </c>
      <c r="X16">
        <f t="shared" si="16"/>
        <v>0</v>
      </c>
      <c r="Y16">
        <f t="shared" si="17"/>
        <v>0</v>
      </c>
      <c r="Z16">
        <f t="shared" si="7"/>
        <v>3.5059361806038396</v>
      </c>
      <c r="AA16">
        <f t="shared" si="18"/>
        <v>0</v>
      </c>
      <c r="AB16">
        <f t="shared" si="19"/>
        <v>0</v>
      </c>
      <c r="AC16">
        <f t="shared" si="8"/>
        <v>30.794521354529053</v>
      </c>
      <c r="AD16">
        <f t="shared" si="9"/>
        <v>-30.794521354529053</v>
      </c>
      <c r="AE16">
        <f t="shared" si="10"/>
        <v>-3.1662101128774225</v>
      </c>
      <c r="AF16">
        <f t="shared" si="20"/>
        <v>0.37168875834856863</v>
      </c>
      <c r="AG16">
        <f t="shared" si="21"/>
        <v>11</v>
      </c>
      <c r="AH16">
        <f t="shared" si="11"/>
        <v>1.966210112877377</v>
      </c>
      <c r="AI16">
        <f t="shared" si="22"/>
        <v>0</v>
      </c>
      <c r="AJ16">
        <f t="shared" si="23"/>
        <v>0</v>
      </c>
      <c r="AK16">
        <f t="shared" si="12"/>
        <v>25.662101128774211</v>
      </c>
      <c r="AL16">
        <f t="shared" si="13"/>
        <v>-25.662101128774211</v>
      </c>
    </row>
    <row r="17" spans="1:38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f t="shared" si="1"/>
        <v>354.6</v>
      </c>
      <c r="H17">
        <f t="shared" si="2"/>
        <v>8.7059361806038851</v>
      </c>
      <c r="I17">
        <f t="shared" si="14"/>
        <v>125.389042709058</v>
      </c>
      <c r="J17" t="s">
        <v>65</v>
      </c>
      <c r="K17">
        <v>0.8</v>
      </c>
      <c r="L17">
        <v>60</v>
      </c>
      <c r="M17">
        <v>348</v>
      </c>
      <c r="N17">
        <v>350</v>
      </c>
      <c r="O17">
        <v>359</v>
      </c>
      <c r="P17">
        <v>349</v>
      </c>
      <c r="Q17">
        <v>357</v>
      </c>
      <c r="R17">
        <f t="shared" si="0"/>
        <v>352.6</v>
      </c>
      <c r="S17">
        <f t="shared" si="3"/>
        <v>6.7059361806038851</v>
      </c>
      <c r="T17">
        <f t="shared" si="15"/>
        <v>6.7059361806038851</v>
      </c>
      <c r="U17">
        <f t="shared" si="4"/>
        <v>-17.918560313611167</v>
      </c>
      <c r="V17">
        <f t="shared" si="5"/>
        <v>5.1530570568807397</v>
      </c>
      <c r="W17">
        <f t="shared" si="6"/>
        <v>-1.5059361806038396</v>
      </c>
      <c r="X17">
        <f t="shared" si="16"/>
        <v>0</v>
      </c>
      <c r="Y17">
        <f t="shared" si="17"/>
        <v>0</v>
      </c>
      <c r="Z17">
        <f t="shared" si="7"/>
        <v>6.7059361806038851</v>
      </c>
      <c r="AA17">
        <f t="shared" si="18"/>
        <v>0</v>
      </c>
      <c r="AB17">
        <f t="shared" si="19"/>
        <v>0</v>
      </c>
      <c r="AC17">
        <f t="shared" si="8"/>
        <v>30.794521354529053</v>
      </c>
      <c r="AD17">
        <f t="shared" si="9"/>
        <v>-30.794521354529053</v>
      </c>
      <c r="AE17">
        <f t="shared" si="10"/>
        <v>3.3789887122622986E-2</v>
      </c>
      <c r="AF17">
        <f t="shared" si="20"/>
        <v>0.40547864547119161</v>
      </c>
      <c r="AG17">
        <f t="shared" si="21"/>
        <v>12</v>
      </c>
      <c r="AH17">
        <f t="shared" si="11"/>
        <v>5.1662101128774225</v>
      </c>
      <c r="AI17">
        <f t="shared" si="22"/>
        <v>0</v>
      </c>
      <c r="AJ17">
        <f t="shared" si="23"/>
        <v>0</v>
      </c>
      <c r="AK17">
        <f t="shared" si="12"/>
        <v>25.662101128774211</v>
      </c>
      <c r="AL17">
        <f t="shared" si="13"/>
        <v>-25.662101128774211</v>
      </c>
    </row>
    <row r="18" spans="1:38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f t="shared" si="1"/>
        <v>353.2</v>
      </c>
      <c r="H18">
        <f t="shared" si="2"/>
        <v>7.305936180603851</v>
      </c>
      <c r="I18">
        <f t="shared" si="14"/>
        <v>132.69497888966185</v>
      </c>
      <c r="J18" t="s">
        <v>146</v>
      </c>
      <c r="K18">
        <f>0.8*K15</f>
        <v>4.1059361806038739</v>
      </c>
      <c r="L18">
        <v>61</v>
      </c>
      <c r="M18">
        <v>350</v>
      </c>
      <c r="N18">
        <v>351</v>
      </c>
      <c r="O18">
        <v>360</v>
      </c>
      <c r="P18">
        <v>350</v>
      </c>
      <c r="Q18">
        <v>355</v>
      </c>
      <c r="R18">
        <f t="shared" si="0"/>
        <v>353.2</v>
      </c>
      <c r="S18">
        <f t="shared" si="3"/>
        <v>7.305936180603851</v>
      </c>
      <c r="T18">
        <f t="shared" si="15"/>
        <v>7.305936180603851</v>
      </c>
      <c r="U18">
        <f t="shared" si="4"/>
        <v>-17.918560313611167</v>
      </c>
      <c r="V18">
        <f t="shared" si="5"/>
        <v>5.1530570568807397</v>
      </c>
      <c r="W18">
        <f t="shared" si="6"/>
        <v>-0.90593618060387371</v>
      </c>
      <c r="X18">
        <f t="shared" si="16"/>
        <v>0</v>
      </c>
      <c r="Y18">
        <f t="shared" si="17"/>
        <v>0</v>
      </c>
      <c r="Z18">
        <f t="shared" si="7"/>
        <v>7.305936180603851</v>
      </c>
      <c r="AA18">
        <f t="shared" si="18"/>
        <v>0</v>
      </c>
      <c r="AB18">
        <f t="shared" si="19"/>
        <v>0</v>
      </c>
      <c r="AC18">
        <f t="shared" si="8"/>
        <v>30.794521354529053</v>
      </c>
      <c r="AD18">
        <f t="shared" si="9"/>
        <v>-30.794521354529053</v>
      </c>
      <c r="AE18">
        <f t="shared" si="10"/>
        <v>0.63378988712258888</v>
      </c>
      <c r="AF18">
        <f t="shared" si="20"/>
        <v>1.0392685325937805</v>
      </c>
      <c r="AG18">
        <f t="shared" si="21"/>
        <v>13</v>
      </c>
      <c r="AH18">
        <f t="shared" si="11"/>
        <v>5.7662101128773884</v>
      </c>
      <c r="AI18">
        <f t="shared" si="22"/>
        <v>0</v>
      </c>
      <c r="AJ18">
        <f t="shared" si="23"/>
        <v>0</v>
      </c>
      <c r="AK18">
        <f t="shared" si="12"/>
        <v>25.662101128774211</v>
      </c>
      <c r="AL18">
        <f t="shared" si="13"/>
        <v>-25.662101128774211</v>
      </c>
    </row>
    <row r="19" spans="1:38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f t="shared" si="1"/>
        <v>370.4</v>
      </c>
      <c r="H19">
        <f t="shared" si="2"/>
        <v>24.50593618060384</v>
      </c>
      <c r="I19">
        <f t="shared" si="14"/>
        <v>157.20091507026569</v>
      </c>
      <c r="J19" t="s">
        <v>148</v>
      </c>
      <c r="K19">
        <v>6</v>
      </c>
      <c r="L19">
        <v>62</v>
      </c>
      <c r="M19">
        <v>350</v>
      </c>
      <c r="N19">
        <v>351</v>
      </c>
      <c r="O19">
        <v>359</v>
      </c>
      <c r="P19">
        <v>351</v>
      </c>
      <c r="Q19">
        <v>354</v>
      </c>
      <c r="R19">
        <f t="shared" si="0"/>
        <v>353</v>
      </c>
      <c r="S19">
        <f t="shared" si="3"/>
        <v>7.1059361806038623</v>
      </c>
      <c r="T19">
        <f t="shared" si="15"/>
        <v>7.1059361806038623</v>
      </c>
      <c r="U19">
        <f t="shared" si="4"/>
        <v>-17.918560313611167</v>
      </c>
      <c r="V19">
        <f t="shared" si="5"/>
        <v>5.1530570568807397</v>
      </c>
      <c r="W19">
        <f t="shared" si="6"/>
        <v>-1.1059361806038623</v>
      </c>
      <c r="X19">
        <f t="shared" si="16"/>
        <v>0</v>
      </c>
      <c r="Y19">
        <f t="shared" si="17"/>
        <v>0</v>
      </c>
      <c r="Z19">
        <f t="shared" si="7"/>
        <v>7.1059361806038623</v>
      </c>
      <c r="AA19">
        <f t="shared" si="18"/>
        <v>0</v>
      </c>
      <c r="AB19">
        <f t="shared" si="19"/>
        <v>0</v>
      </c>
      <c r="AC19">
        <f t="shared" si="8"/>
        <v>30.794521354529053</v>
      </c>
      <c r="AD19">
        <f t="shared" si="9"/>
        <v>-30.794521354529053</v>
      </c>
      <c r="AE19">
        <f t="shared" si="10"/>
        <v>0.43378988712260025</v>
      </c>
      <c r="AF19">
        <f t="shared" si="20"/>
        <v>1.4730584197163807</v>
      </c>
      <c r="AG19">
        <f t="shared" si="21"/>
        <v>14</v>
      </c>
      <c r="AH19">
        <f t="shared" si="11"/>
        <v>5.5662101128773998</v>
      </c>
      <c r="AI19">
        <f t="shared" si="22"/>
        <v>0</v>
      </c>
      <c r="AJ19">
        <f t="shared" si="23"/>
        <v>0</v>
      </c>
      <c r="AK19">
        <f t="shared" si="12"/>
        <v>25.662101128774211</v>
      </c>
      <c r="AL19">
        <f t="shared" si="13"/>
        <v>-25.662101128774211</v>
      </c>
    </row>
    <row r="20" spans="1:38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f t="shared" si="1"/>
        <v>357.2</v>
      </c>
      <c r="H20">
        <f t="shared" si="2"/>
        <v>11.305936180603851</v>
      </c>
      <c r="I20">
        <f t="shared" si="14"/>
        <v>168.50685125086954</v>
      </c>
      <c r="J20" t="s">
        <v>147</v>
      </c>
      <c r="K20">
        <f>6*K15</f>
        <v>30.794521354529053</v>
      </c>
      <c r="L20">
        <v>63</v>
      </c>
      <c r="M20">
        <v>348</v>
      </c>
      <c r="N20">
        <v>347</v>
      </c>
      <c r="O20">
        <v>356</v>
      </c>
      <c r="P20">
        <v>344</v>
      </c>
      <c r="Q20">
        <v>355</v>
      </c>
      <c r="R20">
        <f t="shared" si="0"/>
        <v>350</v>
      </c>
      <c r="S20">
        <f t="shared" si="3"/>
        <v>4.1059361806038623</v>
      </c>
      <c r="T20">
        <f t="shared" si="15"/>
        <v>4.1059361806038623</v>
      </c>
      <c r="U20">
        <f t="shared" si="4"/>
        <v>-17.918560313611167</v>
      </c>
      <c r="V20">
        <f t="shared" si="5"/>
        <v>5.1530570568807397</v>
      </c>
      <c r="W20">
        <f t="shared" si="6"/>
        <v>-4.1059361806038623</v>
      </c>
      <c r="X20">
        <f t="shared" si="16"/>
        <v>0</v>
      </c>
      <c r="Y20">
        <f t="shared" si="17"/>
        <v>0</v>
      </c>
      <c r="Z20">
        <f t="shared" si="7"/>
        <v>4.1059361806038623</v>
      </c>
      <c r="AA20">
        <f t="shared" si="18"/>
        <v>0</v>
      </c>
      <c r="AB20">
        <f t="shared" si="19"/>
        <v>0</v>
      </c>
      <c r="AC20">
        <f t="shared" si="8"/>
        <v>30.794521354529053</v>
      </c>
      <c r="AD20">
        <f t="shared" si="9"/>
        <v>-30.794521354529053</v>
      </c>
      <c r="AE20">
        <f t="shared" si="10"/>
        <v>-2.5662101128773998</v>
      </c>
      <c r="AF20">
        <f t="shared" si="20"/>
        <v>0</v>
      </c>
      <c r="AG20">
        <f t="shared" si="21"/>
        <v>0</v>
      </c>
      <c r="AH20">
        <f t="shared" si="11"/>
        <v>2.5662101128773998</v>
      </c>
      <c r="AI20">
        <f t="shared" si="22"/>
        <v>0</v>
      </c>
      <c r="AJ20">
        <f t="shared" si="23"/>
        <v>0</v>
      </c>
      <c r="AK20">
        <f t="shared" si="12"/>
        <v>25.662101128774211</v>
      </c>
      <c r="AL20">
        <f t="shared" si="13"/>
        <v>-25.662101128774211</v>
      </c>
    </row>
    <row r="21" spans="1:38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f t="shared" si="1"/>
        <v>359.4</v>
      </c>
      <c r="H21">
        <f t="shared" si="2"/>
        <v>13.50593618060384</v>
      </c>
      <c r="I21">
        <f t="shared" si="14"/>
        <v>182.01278743147338</v>
      </c>
      <c r="L21">
        <v>64</v>
      </c>
      <c r="M21">
        <v>347</v>
      </c>
      <c r="N21">
        <v>349</v>
      </c>
      <c r="O21">
        <v>358</v>
      </c>
      <c r="P21">
        <v>348</v>
      </c>
      <c r="Q21">
        <v>357</v>
      </c>
      <c r="R21">
        <f t="shared" si="0"/>
        <v>351.8</v>
      </c>
      <c r="S21">
        <f t="shared" si="3"/>
        <v>5.9059361806038737</v>
      </c>
      <c r="T21">
        <f t="shared" si="15"/>
        <v>10.011872361207736</v>
      </c>
      <c r="U21">
        <f t="shared" si="4"/>
        <v>-17.918560313611167</v>
      </c>
      <c r="V21">
        <f t="shared" si="5"/>
        <v>5.1530570568807397</v>
      </c>
      <c r="W21">
        <f t="shared" si="6"/>
        <v>-2.305936180603851</v>
      </c>
      <c r="X21">
        <f t="shared" si="16"/>
        <v>0</v>
      </c>
      <c r="Y21">
        <f t="shared" si="17"/>
        <v>0</v>
      </c>
      <c r="Z21">
        <f t="shared" si="7"/>
        <v>5.9059361806038737</v>
      </c>
      <c r="AA21">
        <f t="shared" si="18"/>
        <v>0</v>
      </c>
      <c r="AB21">
        <f t="shared" si="19"/>
        <v>0</v>
      </c>
      <c r="AC21">
        <f t="shared" si="8"/>
        <v>30.794521354529053</v>
      </c>
      <c r="AD21">
        <f t="shared" si="9"/>
        <v>-30.794521354529053</v>
      </c>
      <c r="AE21">
        <f t="shared" si="10"/>
        <v>-0.76621011287738838</v>
      </c>
      <c r="AF21">
        <f t="shared" si="20"/>
        <v>0</v>
      </c>
      <c r="AG21">
        <f t="shared" si="21"/>
        <v>0</v>
      </c>
      <c r="AH21">
        <f t="shared" si="11"/>
        <v>4.3662101128774111</v>
      </c>
      <c r="AI21">
        <f t="shared" si="22"/>
        <v>0</v>
      </c>
      <c r="AJ21">
        <f t="shared" si="23"/>
        <v>0</v>
      </c>
      <c r="AK21">
        <f t="shared" si="12"/>
        <v>25.662101128774211</v>
      </c>
      <c r="AL21">
        <f t="shared" si="13"/>
        <v>-25.662101128774211</v>
      </c>
    </row>
    <row r="22" spans="1:38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f t="shared" si="1"/>
        <v>356.6</v>
      </c>
      <c r="H22">
        <f t="shared" si="2"/>
        <v>10.705936180603885</v>
      </c>
      <c r="I22">
        <f t="shared" si="14"/>
        <v>192.71872361207727</v>
      </c>
      <c r="J22" t="s">
        <v>67</v>
      </c>
      <c r="K22">
        <f>AVERAGE($G$3:$G$47)</f>
        <v>354.39111111111112</v>
      </c>
      <c r="L22">
        <v>65</v>
      </c>
      <c r="M22">
        <v>349</v>
      </c>
      <c r="N22">
        <v>348</v>
      </c>
      <c r="O22">
        <v>359</v>
      </c>
      <c r="P22">
        <v>349</v>
      </c>
      <c r="Q22">
        <v>357</v>
      </c>
      <c r="R22">
        <f t="shared" si="0"/>
        <v>352.4</v>
      </c>
      <c r="S22">
        <f t="shared" si="3"/>
        <v>6.5059361806038396</v>
      </c>
      <c r="T22">
        <f t="shared" si="15"/>
        <v>6.5059361806038396</v>
      </c>
      <c r="U22">
        <f t="shared" si="4"/>
        <v>-17.918560313611167</v>
      </c>
      <c r="V22">
        <f t="shared" si="5"/>
        <v>5.1530570568807397</v>
      </c>
      <c r="W22">
        <f t="shared" si="6"/>
        <v>-1.7059361806038851</v>
      </c>
      <c r="X22">
        <f t="shared" si="16"/>
        <v>0</v>
      </c>
      <c r="Y22">
        <f t="shared" si="17"/>
        <v>0</v>
      </c>
      <c r="Z22">
        <f t="shared" si="7"/>
        <v>6.5059361806038396</v>
      </c>
      <c r="AA22">
        <f t="shared" si="18"/>
        <v>0</v>
      </c>
      <c r="AB22">
        <f t="shared" si="19"/>
        <v>0</v>
      </c>
      <c r="AC22">
        <f t="shared" si="8"/>
        <v>30.794521354529053</v>
      </c>
      <c r="AD22">
        <f t="shared" si="9"/>
        <v>-30.794521354529053</v>
      </c>
      <c r="AE22">
        <f t="shared" si="10"/>
        <v>-0.16621011287742249</v>
      </c>
      <c r="AF22">
        <f t="shared" si="20"/>
        <v>0</v>
      </c>
      <c r="AG22">
        <f t="shared" si="21"/>
        <v>0</v>
      </c>
      <c r="AH22">
        <f t="shared" si="11"/>
        <v>4.966210112877377</v>
      </c>
      <c r="AI22">
        <f t="shared" si="22"/>
        <v>0</v>
      </c>
      <c r="AJ22">
        <f t="shared" si="23"/>
        <v>0</v>
      </c>
      <c r="AK22">
        <f t="shared" si="12"/>
        <v>25.662101128774211</v>
      </c>
      <c r="AL22">
        <f t="shared" si="13"/>
        <v>-25.662101128774211</v>
      </c>
    </row>
    <row r="23" spans="1:38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f t="shared" si="1"/>
        <v>357.8</v>
      </c>
      <c r="H23">
        <f t="shared" si="2"/>
        <v>11.905936180603874</v>
      </c>
      <c r="I23">
        <f t="shared" si="14"/>
        <v>204.62465979268114</v>
      </c>
      <c r="J23" t="s">
        <v>68</v>
      </c>
      <c r="K23">
        <f>_xlfn.VAR.S($G$3:$G$47)</f>
        <v>26.341737373737384</v>
      </c>
      <c r="L23">
        <v>66</v>
      </c>
      <c r="M23">
        <v>347</v>
      </c>
      <c r="N23">
        <v>347</v>
      </c>
      <c r="O23">
        <v>343</v>
      </c>
      <c r="P23">
        <v>341</v>
      </c>
      <c r="Q23">
        <v>343</v>
      </c>
      <c r="R23">
        <f t="shared" ref="R23:R42" si="24">AVERAGE(M23:Q23)</f>
        <v>344.2</v>
      </c>
      <c r="S23">
        <f t="shared" si="3"/>
        <v>-1.694063819396149</v>
      </c>
      <c r="T23">
        <f t="shared" si="15"/>
        <v>-1.694063819396149</v>
      </c>
      <c r="U23">
        <f t="shared" si="4"/>
        <v>-17.918560313611167</v>
      </c>
      <c r="V23">
        <f t="shared" si="5"/>
        <v>5.1530570568807397</v>
      </c>
      <c r="W23">
        <f t="shared" si="6"/>
        <v>-9.9059361806038737</v>
      </c>
      <c r="X23">
        <f t="shared" si="16"/>
        <v>0</v>
      </c>
      <c r="Y23">
        <f t="shared" si="17"/>
        <v>0</v>
      </c>
      <c r="Z23">
        <f t="shared" si="7"/>
        <v>-1.694063819396149</v>
      </c>
      <c r="AA23">
        <f t="shared" si="18"/>
        <v>-1.694063819396149</v>
      </c>
      <c r="AB23">
        <f t="shared" si="19"/>
        <v>1</v>
      </c>
      <c r="AC23">
        <f t="shared" si="8"/>
        <v>30.794521354529053</v>
      </c>
      <c r="AD23">
        <f t="shared" si="9"/>
        <v>-30.794521354529053</v>
      </c>
      <c r="AE23">
        <f t="shared" si="10"/>
        <v>-8.3662101128774111</v>
      </c>
      <c r="AF23">
        <f t="shared" si="20"/>
        <v>0</v>
      </c>
      <c r="AG23">
        <f t="shared" si="21"/>
        <v>0</v>
      </c>
      <c r="AH23">
        <f t="shared" si="11"/>
        <v>-3.2337898871226116</v>
      </c>
      <c r="AI23">
        <f t="shared" si="22"/>
        <v>-3.2337898871226116</v>
      </c>
      <c r="AJ23">
        <f t="shared" si="23"/>
        <v>1</v>
      </c>
      <c r="AK23">
        <f t="shared" si="12"/>
        <v>25.662101128774211</v>
      </c>
      <c r="AL23">
        <f t="shared" si="13"/>
        <v>-25.662101128774211</v>
      </c>
    </row>
    <row r="24" spans="1:38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f t="shared" si="1"/>
        <v>356.8</v>
      </c>
      <c r="H24">
        <f t="shared" si="2"/>
        <v>10.905936180603874</v>
      </c>
      <c r="I24">
        <f t="shared" si="14"/>
        <v>215.53059597328502</v>
      </c>
      <c r="J24" t="s">
        <v>131</v>
      </c>
      <c r="K24">
        <f>K23^0.5</f>
        <v>5.1324202257548421</v>
      </c>
      <c r="L24">
        <v>67</v>
      </c>
      <c r="M24">
        <v>348</v>
      </c>
      <c r="N24">
        <v>347</v>
      </c>
      <c r="O24">
        <v>356</v>
      </c>
      <c r="P24">
        <v>346</v>
      </c>
      <c r="Q24">
        <v>355</v>
      </c>
      <c r="R24">
        <f t="shared" si="24"/>
        <v>350.4</v>
      </c>
      <c r="S24">
        <f t="shared" si="3"/>
        <v>4.5059361806038396</v>
      </c>
      <c r="T24">
        <f t="shared" si="15"/>
        <v>2.8118723612076906</v>
      </c>
      <c r="U24">
        <f t="shared" si="4"/>
        <v>-17.918560313611167</v>
      </c>
      <c r="V24">
        <f t="shared" si="5"/>
        <v>5.1530570568807397</v>
      </c>
      <c r="W24">
        <f t="shared" si="6"/>
        <v>-3.7059361806038851</v>
      </c>
      <c r="X24">
        <f t="shared" si="16"/>
        <v>0</v>
      </c>
      <c r="Y24">
        <f t="shared" si="17"/>
        <v>0</v>
      </c>
      <c r="Z24">
        <f t="shared" si="7"/>
        <v>4.5059361806038396</v>
      </c>
      <c r="AA24">
        <f t="shared" si="18"/>
        <v>0</v>
      </c>
      <c r="AB24">
        <f t="shared" si="19"/>
        <v>0</v>
      </c>
      <c r="AC24">
        <f t="shared" si="8"/>
        <v>30.794521354529053</v>
      </c>
      <c r="AD24">
        <f t="shared" si="9"/>
        <v>-30.794521354529053</v>
      </c>
      <c r="AE24">
        <f t="shared" si="10"/>
        <v>-2.1662101128774225</v>
      </c>
      <c r="AF24">
        <f t="shared" si="20"/>
        <v>0</v>
      </c>
      <c r="AG24">
        <f t="shared" si="21"/>
        <v>0</v>
      </c>
      <c r="AH24">
        <f t="shared" si="11"/>
        <v>2.966210112877377</v>
      </c>
      <c r="AI24">
        <f t="shared" si="22"/>
        <v>-0.2675797742452346</v>
      </c>
      <c r="AJ24">
        <f t="shared" si="23"/>
        <v>2</v>
      </c>
      <c r="AK24">
        <f t="shared" si="12"/>
        <v>25.662101128774211</v>
      </c>
      <c r="AL24">
        <f t="shared" si="13"/>
        <v>-25.662101128774211</v>
      </c>
    </row>
    <row r="25" spans="1:38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f t="shared" si="1"/>
        <v>360.6</v>
      </c>
      <c r="H25">
        <f t="shared" si="2"/>
        <v>14.705936180603885</v>
      </c>
      <c r="I25">
        <f t="shared" si="14"/>
        <v>230.2365321538889</v>
      </c>
      <c r="J25" t="s">
        <v>137</v>
      </c>
      <c r="K25">
        <f>350</f>
        <v>350</v>
      </c>
      <c r="L25">
        <v>68</v>
      </c>
      <c r="M25">
        <v>345</v>
      </c>
      <c r="N25">
        <v>346</v>
      </c>
      <c r="O25">
        <v>355</v>
      </c>
      <c r="P25">
        <v>347</v>
      </c>
      <c r="Q25">
        <v>353</v>
      </c>
      <c r="R25">
        <f t="shared" si="24"/>
        <v>349.2</v>
      </c>
      <c r="S25">
        <f t="shared" si="3"/>
        <v>3.305936180603851</v>
      </c>
      <c r="T25">
        <f t="shared" si="15"/>
        <v>6.1178085418115415</v>
      </c>
      <c r="U25">
        <f t="shared" si="4"/>
        <v>-17.918560313611167</v>
      </c>
      <c r="V25">
        <f t="shared" si="5"/>
        <v>5.1530570568807397</v>
      </c>
      <c r="W25">
        <f t="shared" si="6"/>
        <v>-4.9059361806038737</v>
      </c>
      <c r="X25">
        <f t="shared" si="16"/>
        <v>0</v>
      </c>
      <c r="Y25">
        <f t="shared" si="17"/>
        <v>0</v>
      </c>
      <c r="Z25">
        <f t="shared" si="7"/>
        <v>3.305936180603851</v>
      </c>
      <c r="AA25">
        <f t="shared" si="18"/>
        <v>0</v>
      </c>
      <c r="AB25">
        <f t="shared" si="19"/>
        <v>0</v>
      </c>
      <c r="AC25">
        <f t="shared" si="8"/>
        <v>30.794521354529053</v>
      </c>
      <c r="AD25">
        <f t="shared" si="9"/>
        <v>-30.794521354529053</v>
      </c>
      <c r="AE25">
        <f t="shared" si="10"/>
        <v>-3.3662101128774111</v>
      </c>
      <c r="AF25">
        <f t="shared" si="20"/>
        <v>0</v>
      </c>
      <c r="AG25">
        <f t="shared" si="21"/>
        <v>0</v>
      </c>
      <c r="AH25">
        <f t="shared" si="11"/>
        <v>1.7662101128773884</v>
      </c>
      <c r="AI25">
        <f t="shared" si="22"/>
        <v>0</v>
      </c>
      <c r="AJ25">
        <f t="shared" si="23"/>
        <v>0</v>
      </c>
      <c r="AK25">
        <f t="shared" si="12"/>
        <v>25.662101128774211</v>
      </c>
      <c r="AL25">
        <f t="shared" si="13"/>
        <v>-25.662101128774211</v>
      </c>
    </row>
    <row r="26" spans="1:38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f t="shared" si="1"/>
        <v>360.2</v>
      </c>
      <c r="H26">
        <f t="shared" si="2"/>
        <v>14.305936180603851</v>
      </c>
      <c r="I26">
        <f t="shared" si="14"/>
        <v>244.54246833449275</v>
      </c>
      <c r="J26" t="s">
        <v>65</v>
      </c>
      <c r="K26">
        <v>0.5</v>
      </c>
      <c r="L26">
        <v>69</v>
      </c>
      <c r="M26">
        <v>345</v>
      </c>
      <c r="N26">
        <v>345</v>
      </c>
      <c r="O26">
        <v>353</v>
      </c>
      <c r="P26">
        <v>345</v>
      </c>
      <c r="Q26">
        <v>353</v>
      </c>
      <c r="R26">
        <f t="shared" si="24"/>
        <v>348.2</v>
      </c>
      <c r="S26">
        <f t="shared" si="3"/>
        <v>2.305936180603851</v>
      </c>
      <c r="T26">
        <f t="shared" si="15"/>
        <v>2.305936180603851</v>
      </c>
      <c r="U26">
        <f t="shared" si="4"/>
        <v>-17.918560313611167</v>
      </c>
      <c r="V26">
        <f t="shared" si="5"/>
        <v>5.1530570568807397</v>
      </c>
      <c r="W26">
        <f t="shared" si="6"/>
        <v>-5.9059361806038737</v>
      </c>
      <c r="X26">
        <f t="shared" si="16"/>
        <v>0</v>
      </c>
      <c r="Y26">
        <f t="shared" si="17"/>
        <v>0</v>
      </c>
      <c r="Z26">
        <f t="shared" si="7"/>
        <v>2.305936180603851</v>
      </c>
      <c r="AA26">
        <f t="shared" si="18"/>
        <v>0</v>
      </c>
      <c r="AB26">
        <f t="shared" si="19"/>
        <v>0</v>
      </c>
      <c r="AC26">
        <f t="shared" si="8"/>
        <v>30.794521354529053</v>
      </c>
      <c r="AD26">
        <f t="shared" si="9"/>
        <v>-30.794521354529053</v>
      </c>
      <c r="AE26">
        <f t="shared" si="10"/>
        <v>-4.3662101128774111</v>
      </c>
      <c r="AF26">
        <f t="shared" si="20"/>
        <v>0</v>
      </c>
      <c r="AG26">
        <f t="shared" si="21"/>
        <v>0</v>
      </c>
      <c r="AH26">
        <f t="shared" si="11"/>
        <v>0.76621011287738838</v>
      </c>
      <c r="AI26">
        <f t="shared" si="22"/>
        <v>0</v>
      </c>
      <c r="AJ26">
        <f t="shared" si="23"/>
        <v>0</v>
      </c>
      <c r="AK26">
        <f t="shared" si="12"/>
        <v>25.662101128774211</v>
      </c>
      <c r="AL26">
        <f t="shared" si="13"/>
        <v>-25.662101128774211</v>
      </c>
    </row>
    <row r="27" spans="1:38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f t="shared" si="1"/>
        <v>358.8</v>
      </c>
      <c r="H27">
        <f t="shared" si="2"/>
        <v>12.905936180603874</v>
      </c>
      <c r="I27">
        <f t="shared" si="14"/>
        <v>257.44840451509663</v>
      </c>
      <c r="J27" t="s">
        <v>146</v>
      </c>
      <c r="K27">
        <f>0.5*K24</f>
        <v>2.5662101128774211</v>
      </c>
      <c r="L27">
        <v>70</v>
      </c>
      <c r="M27">
        <v>347</v>
      </c>
      <c r="N27">
        <v>345</v>
      </c>
      <c r="O27">
        <v>353</v>
      </c>
      <c r="P27">
        <v>345</v>
      </c>
      <c r="Q27">
        <v>353</v>
      </c>
      <c r="R27">
        <f t="shared" si="24"/>
        <v>348.6</v>
      </c>
      <c r="S27">
        <f t="shared" si="3"/>
        <v>2.7059361806038851</v>
      </c>
      <c r="T27">
        <f t="shared" si="15"/>
        <v>5.011872361207736</v>
      </c>
      <c r="U27">
        <f t="shared" si="4"/>
        <v>-17.918560313611167</v>
      </c>
      <c r="V27">
        <f t="shared" si="5"/>
        <v>5.1530570568807397</v>
      </c>
      <c r="W27">
        <f t="shared" si="6"/>
        <v>-5.5059361806038396</v>
      </c>
      <c r="X27">
        <f t="shared" si="16"/>
        <v>0</v>
      </c>
      <c r="Y27">
        <f t="shared" si="17"/>
        <v>0</v>
      </c>
      <c r="Z27">
        <f t="shared" si="7"/>
        <v>2.7059361806038851</v>
      </c>
      <c r="AA27">
        <f t="shared" si="18"/>
        <v>0</v>
      </c>
      <c r="AB27">
        <f t="shared" si="19"/>
        <v>0</v>
      </c>
      <c r="AC27">
        <f t="shared" si="8"/>
        <v>30.794521354529053</v>
      </c>
      <c r="AD27">
        <f t="shared" si="9"/>
        <v>-30.794521354529053</v>
      </c>
      <c r="AE27">
        <f t="shared" si="10"/>
        <v>-3.966210112877377</v>
      </c>
      <c r="AF27">
        <f t="shared" si="20"/>
        <v>0</v>
      </c>
      <c r="AG27">
        <f t="shared" si="21"/>
        <v>0</v>
      </c>
      <c r="AH27">
        <f t="shared" si="11"/>
        <v>1.1662101128774225</v>
      </c>
      <c r="AI27">
        <f t="shared" si="22"/>
        <v>0</v>
      </c>
      <c r="AJ27">
        <f t="shared" si="23"/>
        <v>0</v>
      </c>
      <c r="AK27">
        <f t="shared" si="12"/>
        <v>25.662101128774211</v>
      </c>
      <c r="AL27">
        <f t="shared" si="13"/>
        <v>-25.662101128774211</v>
      </c>
    </row>
    <row r="28" spans="1:38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f t="shared" si="1"/>
        <v>338</v>
      </c>
      <c r="H28">
        <f t="shared" si="2"/>
        <v>-7.8940638193961377</v>
      </c>
      <c r="I28">
        <f t="shared" si="14"/>
        <v>249.55434069570049</v>
      </c>
      <c r="J28" t="s">
        <v>148</v>
      </c>
      <c r="K28">
        <v>5</v>
      </c>
      <c r="L28">
        <v>71</v>
      </c>
      <c r="M28">
        <v>349</v>
      </c>
      <c r="N28">
        <v>346</v>
      </c>
      <c r="O28">
        <v>356</v>
      </c>
      <c r="P28">
        <v>347</v>
      </c>
      <c r="Q28">
        <v>356</v>
      </c>
      <c r="R28">
        <f t="shared" si="24"/>
        <v>350.8</v>
      </c>
      <c r="S28">
        <f t="shared" si="3"/>
        <v>4.9059361806038737</v>
      </c>
      <c r="T28">
        <f t="shared" si="15"/>
        <v>9.9178085418116098</v>
      </c>
      <c r="U28">
        <f t="shared" si="4"/>
        <v>-17.918560313611167</v>
      </c>
      <c r="V28">
        <f t="shared" si="5"/>
        <v>5.1530570568807397</v>
      </c>
      <c r="W28">
        <f t="shared" si="6"/>
        <v>-3.305936180603851</v>
      </c>
      <c r="X28">
        <f t="shared" si="16"/>
        <v>0</v>
      </c>
      <c r="Y28">
        <f t="shared" si="17"/>
        <v>0</v>
      </c>
      <c r="Z28">
        <f t="shared" si="7"/>
        <v>4.9059361806038737</v>
      </c>
      <c r="AA28">
        <f t="shared" si="18"/>
        <v>0</v>
      </c>
      <c r="AB28">
        <f t="shared" si="19"/>
        <v>0</v>
      </c>
      <c r="AC28">
        <f t="shared" si="8"/>
        <v>30.794521354529053</v>
      </c>
      <c r="AD28">
        <f t="shared" si="9"/>
        <v>-30.794521354529053</v>
      </c>
      <c r="AE28">
        <f t="shared" si="10"/>
        <v>-1.7662101128773884</v>
      </c>
      <c r="AF28">
        <f t="shared" si="20"/>
        <v>0</v>
      </c>
      <c r="AG28">
        <f t="shared" si="21"/>
        <v>0</v>
      </c>
      <c r="AH28">
        <f t="shared" si="11"/>
        <v>3.3662101128774111</v>
      </c>
      <c r="AI28">
        <f t="shared" si="22"/>
        <v>0</v>
      </c>
      <c r="AJ28">
        <f t="shared" si="23"/>
        <v>0</v>
      </c>
      <c r="AK28">
        <f t="shared" si="12"/>
        <v>25.662101128774211</v>
      </c>
      <c r="AL28">
        <f t="shared" si="13"/>
        <v>-25.662101128774211</v>
      </c>
    </row>
    <row r="29" spans="1:38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f t="shared" si="1"/>
        <v>354.6</v>
      </c>
      <c r="H29">
        <f t="shared" si="2"/>
        <v>8.7059361806038851</v>
      </c>
      <c r="I29">
        <f t="shared" si="14"/>
        <v>258.26027687630437</v>
      </c>
      <c r="J29" t="s">
        <v>147</v>
      </c>
      <c r="K29">
        <f>5*K24</f>
        <v>25.662101128774211</v>
      </c>
      <c r="L29">
        <v>72</v>
      </c>
      <c r="M29">
        <v>342</v>
      </c>
      <c r="N29">
        <v>342</v>
      </c>
      <c r="O29">
        <v>347</v>
      </c>
      <c r="P29">
        <v>340</v>
      </c>
      <c r="Q29">
        <v>348</v>
      </c>
      <c r="R29">
        <f t="shared" si="24"/>
        <v>343.8</v>
      </c>
      <c r="S29">
        <f t="shared" si="3"/>
        <v>-2.0940638193961263</v>
      </c>
      <c r="T29">
        <f t="shared" si="15"/>
        <v>-2.0940638193961263</v>
      </c>
      <c r="U29">
        <f t="shared" si="4"/>
        <v>-17.918560313611167</v>
      </c>
      <c r="V29">
        <f t="shared" si="5"/>
        <v>5.1530570568807397</v>
      </c>
      <c r="W29">
        <f t="shared" si="6"/>
        <v>-10.305936180603851</v>
      </c>
      <c r="X29">
        <f t="shared" si="16"/>
        <v>0</v>
      </c>
      <c r="Y29">
        <f t="shared" si="17"/>
        <v>0</v>
      </c>
      <c r="Z29">
        <f t="shared" si="7"/>
        <v>-2.0940638193961263</v>
      </c>
      <c r="AA29">
        <f t="shared" si="18"/>
        <v>-2.0940638193961263</v>
      </c>
      <c r="AB29">
        <f t="shared" si="19"/>
        <v>1</v>
      </c>
      <c r="AC29">
        <f t="shared" si="8"/>
        <v>30.794521354529053</v>
      </c>
      <c r="AD29">
        <f t="shared" si="9"/>
        <v>-30.794521354529053</v>
      </c>
      <c r="AE29">
        <f t="shared" si="10"/>
        <v>-8.7662101128773884</v>
      </c>
      <c r="AF29">
        <f t="shared" si="20"/>
        <v>0</v>
      </c>
      <c r="AG29">
        <f t="shared" si="21"/>
        <v>0</v>
      </c>
      <c r="AH29">
        <f t="shared" si="11"/>
        <v>-3.6337898871225889</v>
      </c>
      <c r="AI29">
        <f t="shared" si="22"/>
        <v>-3.6337898871225889</v>
      </c>
      <c r="AJ29">
        <f t="shared" si="23"/>
        <v>1</v>
      </c>
      <c r="AK29">
        <f t="shared" si="12"/>
        <v>25.662101128774211</v>
      </c>
      <c r="AL29">
        <f t="shared" si="13"/>
        <v>-25.662101128774211</v>
      </c>
    </row>
    <row r="30" spans="1:38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f t="shared" si="1"/>
        <v>349.2</v>
      </c>
      <c r="H30">
        <f t="shared" si="2"/>
        <v>3.305936180603851</v>
      </c>
      <c r="I30">
        <f t="shared" si="14"/>
        <v>261.56621305690823</v>
      </c>
      <c r="L30">
        <v>73</v>
      </c>
      <c r="M30">
        <v>347</v>
      </c>
      <c r="N30">
        <v>345</v>
      </c>
      <c r="O30">
        <v>355</v>
      </c>
      <c r="P30">
        <v>345</v>
      </c>
      <c r="Q30">
        <v>355</v>
      </c>
      <c r="R30">
        <f t="shared" si="24"/>
        <v>349.4</v>
      </c>
      <c r="S30">
        <f t="shared" si="3"/>
        <v>3.5059361806038396</v>
      </c>
      <c r="T30">
        <f t="shared" si="15"/>
        <v>1.4118723612077133</v>
      </c>
      <c r="U30">
        <f t="shared" si="4"/>
        <v>-17.918560313611167</v>
      </c>
      <c r="V30">
        <f t="shared" si="5"/>
        <v>5.1530570568807397</v>
      </c>
      <c r="W30">
        <f t="shared" si="6"/>
        <v>-4.7059361806038851</v>
      </c>
      <c r="X30">
        <f t="shared" si="16"/>
        <v>0</v>
      </c>
      <c r="Y30">
        <f t="shared" si="17"/>
        <v>0</v>
      </c>
      <c r="Z30">
        <f t="shared" si="7"/>
        <v>3.5059361806038396</v>
      </c>
      <c r="AA30">
        <f t="shared" si="18"/>
        <v>0</v>
      </c>
      <c r="AB30">
        <f t="shared" si="19"/>
        <v>0</v>
      </c>
      <c r="AC30">
        <f t="shared" si="8"/>
        <v>30.794521354529053</v>
      </c>
      <c r="AD30">
        <f t="shared" si="9"/>
        <v>-30.794521354529053</v>
      </c>
      <c r="AE30">
        <f t="shared" si="10"/>
        <v>-3.1662101128774225</v>
      </c>
      <c r="AF30">
        <f t="shared" si="20"/>
        <v>0</v>
      </c>
      <c r="AG30">
        <f t="shared" si="21"/>
        <v>0</v>
      </c>
      <c r="AH30">
        <f t="shared" si="11"/>
        <v>1.966210112877377</v>
      </c>
      <c r="AI30">
        <f t="shared" si="22"/>
        <v>-1.6675797742452119</v>
      </c>
      <c r="AJ30">
        <f t="shared" si="23"/>
        <v>2</v>
      </c>
      <c r="AK30">
        <f t="shared" si="12"/>
        <v>25.662101128774211</v>
      </c>
      <c r="AL30">
        <f t="shared" si="13"/>
        <v>-25.662101128774211</v>
      </c>
    </row>
    <row r="31" spans="1:38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f t="shared" si="1"/>
        <v>356.6</v>
      </c>
      <c r="H31">
        <f t="shared" si="2"/>
        <v>10.705936180603885</v>
      </c>
      <c r="I31">
        <f t="shared" si="14"/>
        <v>272.27214923751211</v>
      </c>
      <c r="L31">
        <v>74</v>
      </c>
      <c r="M31">
        <v>346</v>
      </c>
      <c r="N31">
        <v>344</v>
      </c>
      <c r="O31">
        <v>354</v>
      </c>
      <c r="P31">
        <v>344</v>
      </c>
      <c r="Q31">
        <v>353</v>
      </c>
      <c r="R31">
        <f t="shared" si="24"/>
        <v>348.2</v>
      </c>
      <c r="S31">
        <f t="shared" si="3"/>
        <v>2.305936180603851</v>
      </c>
      <c r="T31">
        <f t="shared" si="15"/>
        <v>3.7178085418115643</v>
      </c>
      <c r="U31">
        <f t="shared" si="4"/>
        <v>-17.918560313611167</v>
      </c>
      <c r="V31">
        <f t="shared" si="5"/>
        <v>5.1530570568807397</v>
      </c>
      <c r="W31">
        <f t="shared" si="6"/>
        <v>-5.9059361806038737</v>
      </c>
      <c r="X31">
        <f t="shared" si="16"/>
        <v>0</v>
      </c>
      <c r="Y31">
        <f t="shared" si="17"/>
        <v>0</v>
      </c>
      <c r="Z31">
        <f t="shared" si="7"/>
        <v>2.305936180603851</v>
      </c>
      <c r="AA31">
        <f t="shared" si="18"/>
        <v>0</v>
      </c>
      <c r="AB31">
        <f t="shared" si="19"/>
        <v>0</v>
      </c>
      <c r="AC31">
        <f t="shared" si="8"/>
        <v>30.794521354529053</v>
      </c>
      <c r="AD31">
        <f t="shared" si="9"/>
        <v>-30.794521354529053</v>
      </c>
      <c r="AE31">
        <f t="shared" si="10"/>
        <v>-4.3662101128774111</v>
      </c>
      <c r="AF31">
        <f t="shared" si="20"/>
        <v>0</v>
      </c>
      <c r="AG31">
        <f t="shared" si="21"/>
        <v>0</v>
      </c>
      <c r="AH31">
        <f t="shared" si="11"/>
        <v>0.76621011287738838</v>
      </c>
      <c r="AI31">
        <f t="shared" si="22"/>
        <v>-0.90136966136782348</v>
      </c>
      <c r="AJ31">
        <f t="shared" si="23"/>
        <v>3</v>
      </c>
      <c r="AK31">
        <f t="shared" si="12"/>
        <v>25.662101128774211</v>
      </c>
      <c r="AL31">
        <f t="shared" si="13"/>
        <v>-25.662101128774211</v>
      </c>
    </row>
    <row r="32" spans="1:38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f t="shared" si="1"/>
        <v>357</v>
      </c>
      <c r="H32">
        <f t="shared" si="2"/>
        <v>11.105936180603862</v>
      </c>
      <c r="I32">
        <f t="shared" si="14"/>
        <v>283.37808541811597</v>
      </c>
      <c r="L32">
        <v>75</v>
      </c>
      <c r="M32">
        <v>344</v>
      </c>
      <c r="N32">
        <v>342</v>
      </c>
      <c r="O32">
        <v>353</v>
      </c>
      <c r="P32">
        <v>343</v>
      </c>
      <c r="Q32">
        <v>352</v>
      </c>
      <c r="R32">
        <f t="shared" si="24"/>
        <v>346.8</v>
      </c>
      <c r="S32">
        <f t="shared" si="3"/>
        <v>0.90593618060387371</v>
      </c>
      <c r="T32">
        <f t="shared" si="15"/>
        <v>4.623744722415438</v>
      </c>
      <c r="U32">
        <f t="shared" si="4"/>
        <v>-17.918560313611167</v>
      </c>
      <c r="V32">
        <f t="shared" si="5"/>
        <v>5.1530570568807397</v>
      </c>
      <c r="W32">
        <f t="shared" si="6"/>
        <v>-7.305936180603851</v>
      </c>
      <c r="X32">
        <f t="shared" si="16"/>
        <v>0</v>
      </c>
      <c r="Y32">
        <f t="shared" si="17"/>
        <v>0</v>
      </c>
      <c r="Z32">
        <f t="shared" si="7"/>
        <v>0.90593618060387371</v>
      </c>
      <c r="AA32">
        <f t="shared" si="18"/>
        <v>0</v>
      </c>
      <c r="AB32">
        <f t="shared" si="19"/>
        <v>0</v>
      </c>
      <c r="AC32">
        <f t="shared" si="8"/>
        <v>30.794521354529053</v>
      </c>
      <c r="AD32">
        <f t="shared" si="9"/>
        <v>-30.794521354529053</v>
      </c>
      <c r="AE32">
        <f t="shared" si="10"/>
        <v>-5.7662101128773884</v>
      </c>
      <c r="AF32">
        <f t="shared" si="20"/>
        <v>0</v>
      </c>
      <c r="AG32">
        <f t="shared" si="21"/>
        <v>0</v>
      </c>
      <c r="AH32">
        <f t="shared" si="11"/>
        <v>-0.63378988712258888</v>
      </c>
      <c r="AI32">
        <f t="shared" si="22"/>
        <v>-1.5351595484904124</v>
      </c>
      <c r="AJ32">
        <f t="shared" si="23"/>
        <v>4</v>
      </c>
      <c r="AK32">
        <f t="shared" si="12"/>
        <v>25.662101128774211</v>
      </c>
      <c r="AL32">
        <f t="shared" si="13"/>
        <v>-25.662101128774211</v>
      </c>
    </row>
    <row r="33" spans="1:38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f t="shared" si="1"/>
        <v>356.8</v>
      </c>
      <c r="H33">
        <f t="shared" si="2"/>
        <v>10.905936180603874</v>
      </c>
      <c r="I33">
        <f t="shared" si="14"/>
        <v>294.28402159871985</v>
      </c>
      <c r="L33">
        <v>76</v>
      </c>
      <c r="M33">
        <v>347</v>
      </c>
      <c r="N33">
        <v>347</v>
      </c>
      <c r="O33">
        <v>347</v>
      </c>
      <c r="P33">
        <v>357</v>
      </c>
      <c r="Q33">
        <v>357</v>
      </c>
      <c r="R33">
        <f t="shared" si="24"/>
        <v>351</v>
      </c>
      <c r="S33">
        <f t="shared" si="3"/>
        <v>5.1059361806038623</v>
      </c>
      <c r="T33">
        <f t="shared" si="15"/>
        <v>9.7296809030193003</v>
      </c>
      <c r="U33">
        <f t="shared" si="4"/>
        <v>-17.918560313611167</v>
      </c>
      <c r="V33">
        <f t="shared" si="5"/>
        <v>5.1530570568807397</v>
      </c>
      <c r="W33">
        <f t="shared" si="6"/>
        <v>-3.1059361806038623</v>
      </c>
      <c r="X33">
        <f t="shared" si="16"/>
        <v>0</v>
      </c>
      <c r="Y33">
        <f t="shared" si="17"/>
        <v>0</v>
      </c>
      <c r="Z33">
        <f t="shared" si="7"/>
        <v>5.1059361806038623</v>
      </c>
      <c r="AA33">
        <f t="shared" si="18"/>
        <v>0</v>
      </c>
      <c r="AB33">
        <f t="shared" si="19"/>
        <v>0</v>
      </c>
      <c r="AC33">
        <f t="shared" si="8"/>
        <v>30.794521354529053</v>
      </c>
      <c r="AD33">
        <f t="shared" si="9"/>
        <v>-30.794521354529053</v>
      </c>
      <c r="AE33">
        <f t="shared" si="10"/>
        <v>-1.5662101128773998</v>
      </c>
      <c r="AF33">
        <f t="shared" si="20"/>
        <v>0</v>
      </c>
      <c r="AG33">
        <f t="shared" si="21"/>
        <v>0</v>
      </c>
      <c r="AH33">
        <f t="shared" si="11"/>
        <v>3.5662101128773998</v>
      </c>
      <c r="AI33">
        <f t="shared" si="22"/>
        <v>0</v>
      </c>
      <c r="AJ33">
        <f t="shared" si="23"/>
        <v>0</v>
      </c>
      <c r="AK33">
        <f t="shared" si="12"/>
        <v>25.662101128774211</v>
      </c>
      <c r="AL33">
        <f t="shared" si="13"/>
        <v>-25.662101128774211</v>
      </c>
    </row>
    <row r="34" spans="1:38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f t="shared" si="1"/>
        <v>355.4</v>
      </c>
      <c r="H34">
        <f t="shared" si="2"/>
        <v>9.5059361806038396</v>
      </c>
      <c r="I34">
        <f t="shared" si="14"/>
        <v>303.78995777932369</v>
      </c>
      <c r="L34">
        <v>77</v>
      </c>
      <c r="M34">
        <v>345</v>
      </c>
      <c r="N34">
        <v>343</v>
      </c>
      <c r="O34">
        <v>352</v>
      </c>
      <c r="P34">
        <v>343</v>
      </c>
      <c r="Q34">
        <v>351</v>
      </c>
      <c r="R34">
        <f t="shared" si="24"/>
        <v>346.8</v>
      </c>
      <c r="S34">
        <f t="shared" si="3"/>
        <v>0.90593618060387371</v>
      </c>
      <c r="T34">
        <f t="shared" si="15"/>
        <v>0.90593618060387371</v>
      </c>
      <c r="U34">
        <f t="shared" si="4"/>
        <v>-17.918560313611167</v>
      </c>
      <c r="V34">
        <f t="shared" si="5"/>
        <v>5.1530570568807397</v>
      </c>
      <c r="W34">
        <f t="shared" si="6"/>
        <v>-7.305936180603851</v>
      </c>
      <c r="X34">
        <f t="shared" si="16"/>
        <v>0</v>
      </c>
      <c r="Y34">
        <f t="shared" si="17"/>
        <v>0</v>
      </c>
      <c r="Z34">
        <f t="shared" si="7"/>
        <v>0.90593618060387371</v>
      </c>
      <c r="AA34">
        <f t="shared" si="18"/>
        <v>0</v>
      </c>
      <c r="AB34">
        <f t="shared" si="19"/>
        <v>0</v>
      </c>
      <c r="AC34">
        <f t="shared" si="8"/>
        <v>30.794521354529053</v>
      </c>
      <c r="AD34">
        <f t="shared" si="9"/>
        <v>-30.794521354529053</v>
      </c>
      <c r="AE34">
        <f t="shared" si="10"/>
        <v>-5.7662101128773884</v>
      </c>
      <c r="AF34">
        <f t="shared" si="20"/>
        <v>0</v>
      </c>
      <c r="AG34">
        <f t="shared" si="21"/>
        <v>0</v>
      </c>
      <c r="AH34">
        <f t="shared" si="11"/>
        <v>-0.63378988712258888</v>
      </c>
      <c r="AI34">
        <f t="shared" si="22"/>
        <v>-0.63378988712258888</v>
      </c>
      <c r="AJ34">
        <f t="shared" si="23"/>
        <v>1</v>
      </c>
      <c r="AK34">
        <f t="shared" si="12"/>
        <v>25.662101128774211</v>
      </c>
      <c r="AL34">
        <f t="shared" si="13"/>
        <v>-25.662101128774211</v>
      </c>
    </row>
    <row r="35" spans="1:38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f t="shared" si="1"/>
        <v>354.8</v>
      </c>
      <c r="H35">
        <f t="shared" si="2"/>
        <v>8.9059361806038737</v>
      </c>
      <c r="I35">
        <f t="shared" si="14"/>
        <v>312.69589395992756</v>
      </c>
      <c r="L35">
        <v>78</v>
      </c>
      <c r="M35">
        <v>347</v>
      </c>
      <c r="N35">
        <v>345</v>
      </c>
      <c r="O35">
        <v>356</v>
      </c>
      <c r="P35">
        <v>345</v>
      </c>
      <c r="Q35">
        <v>355</v>
      </c>
      <c r="R35">
        <f t="shared" si="24"/>
        <v>349.6</v>
      </c>
      <c r="S35">
        <f t="shared" si="3"/>
        <v>3.7059361806038851</v>
      </c>
      <c r="T35">
        <f t="shared" si="15"/>
        <v>4.6118723612077588</v>
      </c>
      <c r="U35">
        <f t="shared" si="4"/>
        <v>-17.918560313611167</v>
      </c>
      <c r="V35">
        <f t="shared" si="5"/>
        <v>5.1530570568807397</v>
      </c>
      <c r="W35">
        <f t="shared" si="6"/>
        <v>-4.5059361806038396</v>
      </c>
      <c r="X35">
        <f t="shared" si="16"/>
        <v>0</v>
      </c>
      <c r="Y35">
        <f t="shared" si="17"/>
        <v>0</v>
      </c>
      <c r="Z35">
        <f t="shared" si="7"/>
        <v>3.7059361806038851</v>
      </c>
      <c r="AA35">
        <f t="shared" si="18"/>
        <v>0</v>
      </c>
      <c r="AB35">
        <f t="shared" si="19"/>
        <v>0</v>
      </c>
      <c r="AC35">
        <f t="shared" si="8"/>
        <v>30.794521354529053</v>
      </c>
      <c r="AD35">
        <f t="shared" si="9"/>
        <v>-30.794521354529053</v>
      </c>
      <c r="AE35">
        <f t="shared" si="10"/>
        <v>-2.966210112877377</v>
      </c>
      <c r="AF35">
        <f t="shared" si="20"/>
        <v>0</v>
      </c>
      <c r="AG35">
        <f t="shared" si="21"/>
        <v>0</v>
      </c>
      <c r="AH35">
        <f t="shared" si="11"/>
        <v>2.1662101128774225</v>
      </c>
      <c r="AI35">
        <f t="shared" si="22"/>
        <v>0</v>
      </c>
      <c r="AJ35">
        <f t="shared" si="23"/>
        <v>0</v>
      </c>
      <c r="AK35">
        <f t="shared" si="12"/>
        <v>25.662101128774211</v>
      </c>
      <c r="AL35">
        <f t="shared" si="13"/>
        <v>-25.662101128774211</v>
      </c>
    </row>
    <row r="36" spans="1:38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f t="shared" si="1"/>
        <v>352.6</v>
      </c>
      <c r="H36">
        <f t="shared" si="2"/>
        <v>6.7059361806038851</v>
      </c>
      <c r="I36">
        <f t="shared" si="14"/>
        <v>319.40183014053144</v>
      </c>
      <c r="L36">
        <v>79</v>
      </c>
      <c r="M36">
        <v>347</v>
      </c>
      <c r="N36">
        <v>346</v>
      </c>
      <c r="O36">
        <v>357</v>
      </c>
      <c r="P36">
        <v>347</v>
      </c>
      <c r="Q36">
        <v>356</v>
      </c>
      <c r="R36">
        <f t="shared" si="24"/>
        <v>350.6</v>
      </c>
      <c r="S36">
        <f t="shared" si="3"/>
        <v>4.7059361806038851</v>
      </c>
      <c r="T36">
        <f t="shared" si="15"/>
        <v>9.3178085418116439</v>
      </c>
      <c r="U36">
        <f t="shared" si="4"/>
        <v>-17.918560313611167</v>
      </c>
      <c r="V36">
        <f t="shared" si="5"/>
        <v>5.1530570568807397</v>
      </c>
      <c r="W36">
        <f t="shared" si="6"/>
        <v>-3.5059361806038396</v>
      </c>
      <c r="X36">
        <f t="shared" si="16"/>
        <v>0</v>
      </c>
      <c r="Y36">
        <f t="shared" si="17"/>
        <v>0</v>
      </c>
      <c r="Z36">
        <f t="shared" si="7"/>
        <v>4.7059361806038851</v>
      </c>
      <c r="AA36">
        <f t="shared" si="18"/>
        <v>0</v>
      </c>
      <c r="AB36">
        <f t="shared" si="19"/>
        <v>0</v>
      </c>
      <c r="AC36">
        <f t="shared" si="8"/>
        <v>30.794521354529053</v>
      </c>
      <c r="AD36">
        <f t="shared" si="9"/>
        <v>-30.794521354529053</v>
      </c>
      <c r="AE36">
        <f t="shared" si="10"/>
        <v>-1.966210112877377</v>
      </c>
      <c r="AF36">
        <f t="shared" si="20"/>
        <v>0</v>
      </c>
      <c r="AG36">
        <f t="shared" si="21"/>
        <v>0</v>
      </c>
      <c r="AH36">
        <f t="shared" si="11"/>
        <v>3.1662101128774225</v>
      </c>
      <c r="AI36">
        <f t="shared" si="22"/>
        <v>0</v>
      </c>
      <c r="AJ36">
        <f t="shared" si="23"/>
        <v>0</v>
      </c>
      <c r="AK36">
        <f t="shared" si="12"/>
        <v>25.662101128774211</v>
      </c>
      <c r="AL36">
        <f t="shared" si="13"/>
        <v>-25.662101128774211</v>
      </c>
    </row>
    <row r="37" spans="1:38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f t="shared" si="1"/>
        <v>351</v>
      </c>
      <c r="H37">
        <f t="shared" si="2"/>
        <v>5.1059361806038623</v>
      </c>
      <c r="I37">
        <f t="shared" si="14"/>
        <v>324.50776632113531</v>
      </c>
      <c r="L37">
        <v>80</v>
      </c>
      <c r="M37">
        <v>349</v>
      </c>
      <c r="N37">
        <v>346</v>
      </c>
      <c r="O37">
        <v>357</v>
      </c>
      <c r="P37">
        <v>346</v>
      </c>
      <c r="Q37">
        <v>357</v>
      </c>
      <c r="R37">
        <f t="shared" si="24"/>
        <v>351</v>
      </c>
      <c r="S37">
        <f t="shared" si="3"/>
        <v>5.1059361806038623</v>
      </c>
      <c r="T37">
        <f t="shared" si="15"/>
        <v>5.1059361806038623</v>
      </c>
      <c r="U37">
        <f t="shared" si="4"/>
        <v>-17.918560313611167</v>
      </c>
      <c r="V37">
        <f t="shared" si="5"/>
        <v>5.1530570568807397</v>
      </c>
      <c r="W37">
        <f t="shared" si="6"/>
        <v>-3.1059361806038623</v>
      </c>
      <c r="X37">
        <f t="shared" si="16"/>
        <v>0</v>
      </c>
      <c r="Y37">
        <f t="shared" si="17"/>
        <v>0</v>
      </c>
      <c r="Z37">
        <f t="shared" si="7"/>
        <v>5.1059361806038623</v>
      </c>
      <c r="AA37">
        <f t="shared" si="18"/>
        <v>0</v>
      </c>
      <c r="AB37">
        <f t="shared" si="19"/>
        <v>0</v>
      </c>
      <c r="AC37">
        <f t="shared" si="8"/>
        <v>30.794521354529053</v>
      </c>
      <c r="AD37">
        <f t="shared" si="9"/>
        <v>-30.794521354529053</v>
      </c>
      <c r="AE37">
        <f t="shared" si="10"/>
        <v>-1.5662101128773998</v>
      </c>
      <c r="AF37">
        <f t="shared" si="20"/>
        <v>0</v>
      </c>
      <c r="AG37">
        <f t="shared" si="21"/>
        <v>0</v>
      </c>
      <c r="AH37">
        <f t="shared" si="11"/>
        <v>3.5662101128773998</v>
      </c>
      <c r="AI37">
        <f t="shared" si="22"/>
        <v>0</v>
      </c>
      <c r="AJ37">
        <f t="shared" si="23"/>
        <v>0</v>
      </c>
      <c r="AK37">
        <f t="shared" si="12"/>
        <v>25.662101128774211</v>
      </c>
      <c r="AL37">
        <f t="shared" si="13"/>
        <v>-25.662101128774211</v>
      </c>
    </row>
    <row r="38" spans="1:38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f t="shared" si="1"/>
        <v>351.2</v>
      </c>
      <c r="H38">
        <f t="shared" si="2"/>
        <v>5.305936180603851</v>
      </c>
      <c r="I38">
        <f t="shared" si="14"/>
        <v>329.81370250173916</v>
      </c>
      <c r="L38">
        <v>81</v>
      </c>
      <c r="M38">
        <v>343</v>
      </c>
      <c r="N38">
        <v>347</v>
      </c>
      <c r="O38">
        <v>355</v>
      </c>
      <c r="P38">
        <v>347</v>
      </c>
      <c r="Q38">
        <v>355</v>
      </c>
      <c r="R38">
        <f t="shared" si="24"/>
        <v>349.4</v>
      </c>
      <c r="S38">
        <f t="shared" si="3"/>
        <v>3.5059361806038396</v>
      </c>
      <c r="T38">
        <f t="shared" si="15"/>
        <v>8.6118723612077019</v>
      </c>
      <c r="U38">
        <f t="shared" si="4"/>
        <v>-17.918560313611167</v>
      </c>
      <c r="V38">
        <f t="shared" si="5"/>
        <v>5.1530570568807397</v>
      </c>
      <c r="W38">
        <f t="shared" si="6"/>
        <v>-4.7059361806038851</v>
      </c>
      <c r="X38">
        <f t="shared" si="16"/>
        <v>0</v>
      </c>
      <c r="Y38">
        <f t="shared" si="17"/>
        <v>0</v>
      </c>
      <c r="Z38">
        <f t="shared" si="7"/>
        <v>3.5059361806038396</v>
      </c>
      <c r="AA38">
        <f t="shared" si="18"/>
        <v>0</v>
      </c>
      <c r="AB38">
        <f t="shared" si="19"/>
        <v>0</v>
      </c>
      <c r="AC38">
        <f t="shared" si="8"/>
        <v>30.794521354529053</v>
      </c>
      <c r="AD38">
        <f t="shared" si="9"/>
        <v>-30.794521354529053</v>
      </c>
      <c r="AE38">
        <f t="shared" si="10"/>
        <v>-3.1662101128774225</v>
      </c>
      <c r="AF38">
        <f t="shared" si="20"/>
        <v>0</v>
      </c>
      <c r="AG38">
        <f t="shared" si="21"/>
        <v>0</v>
      </c>
      <c r="AH38">
        <f t="shared" si="11"/>
        <v>1.966210112877377</v>
      </c>
      <c r="AI38">
        <f t="shared" si="22"/>
        <v>0</v>
      </c>
      <c r="AJ38">
        <f t="shared" si="23"/>
        <v>0</v>
      </c>
      <c r="AK38">
        <f t="shared" si="12"/>
        <v>25.662101128774211</v>
      </c>
      <c r="AL38">
        <f t="shared" si="13"/>
        <v>-25.662101128774211</v>
      </c>
    </row>
    <row r="39" spans="1:38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f t="shared" si="1"/>
        <v>348</v>
      </c>
      <c r="H39">
        <f t="shared" si="2"/>
        <v>2.1059361806038623</v>
      </c>
      <c r="I39">
        <f t="shared" si="14"/>
        <v>331.91963868234302</v>
      </c>
      <c r="L39">
        <v>82</v>
      </c>
      <c r="M39">
        <v>347</v>
      </c>
      <c r="N39">
        <v>348</v>
      </c>
      <c r="O39">
        <v>358</v>
      </c>
      <c r="P39">
        <v>347</v>
      </c>
      <c r="Q39">
        <v>357</v>
      </c>
      <c r="R39">
        <f t="shared" si="24"/>
        <v>351.4</v>
      </c>
      <c r="S39">
        <f t="shared" si="3"/>
        <v>5.5059361806038396</v>
      </c>
      <c r="T39">
        <f t="shared" si="15"/>
        <v>5.5059361806038396</v>
      </c>
      <c r="U39">
        <f t="shared" si="4"/>
        <v>-17.918560313611167</v>
      </c>
      <c r="V39">
        <f t="shared" si="5"/>
        <v>5.1530570568807397</v>
      </c>
      <c r="W39">
        <f t="shared" si="6"/>
        <v>-2.7059361806038851</v>
      </c>
      <c r="X39">
        <f t="shared" si="16"/>
        <v>0</v>
      </c>
      <c r="Y39">
        <f t="shared" si="17"/>
        <v>0</v>
      </c>
      <c r="Z39">
        <f t="shared" si="7"/>
        <v>5.5059361806038396</v>
      </c>
      <c r="AA39">
        <f t="shared" si="18"/>
        <v>0</v>
      </c>
      <c r="AB39">
        <f t="shared" si="19"/>
        <v>0</v>
      </c>
      <c r="AC39">
        <f t="shared" si="8"/>
        <v>30.794521354529053</v>
      </c>
      <c r="AD39">
        <f t="shared" si="9"/>
        <v>-30.794521354529053</v>
      </c>
      <c r="AE39">
        <f t="shared" si="10"/>
        <v>-1.1662101128774225</v>
      </c>
      <c r="AF39">
        <f t="shared" si="20"/>
        <v>0</v>
      </c>
      <c r="AG39">
        <f t="shared" si="21"/>
        <v>0</v>
      </c>
      <c r="AH39">
        <f t="shared" si="11"/>
        <v>3.966210112877377</v>
      </c>
      <c r="AI39">
        <f t="shared" si="22"/>
        <v>0</v>
      </c>
      <c r="AJ39">
        <f t="shared" si="23"/>
        <v>0</v>
      </c>
      <c r="AK39">
        <f t="shared" si="12"/>
        <v>25.662101128774211</v>
      </c>
      <c r="AL39">
        <f t="shared" si="13"/>
        <v>-25.662101128774211</v>
      </c>
    </row>
    <row r="40" spans="1:38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f t="shared" si="1"/>
        <v>357.8</v>
      </c>
      <c r="H40">
        <f t="shared" si="2"/>
        <v>11.905936180603874</v>
      </c>
      <c r="I40">
        <f t="shared" si="14"/>
        <v>343.82557486294689</v>
      </c>
      <c r="L40">
        <v>83</v>
      </c>
      <c r="M40">
        <v>344</v>
      </c>
      <c r="N40">
        <v>344</v>
      </c>
      <c r="O40">
        <v>346</v>
      </c>
      <c r="P40">
        <v>344</v>
      </c>
      <c r="Q40">
        <v>348</v>
      </c>
      <c r="R40">
        <f t="shared" si="24"/>
        <v>345.2</v>
      </c>
      <c r="S40">
        <f t="shared" si="3"/>
        <v>-0.69406381939614903</v>
      </c>
      <c r="T40">
        <f t="shared" si="15"/>
        <v>-0.69406381939614903</v>
      </c>
      <c r="U40">
        <f t="shared" si="4"/>
        <v>-17.918560313611167</v>
      </c>
      <c r="V40">
        <f t="shared" si="5"/>
        <v>5.1530570568807397</v>
      </c>
      <c r="W40">
        <f t="shared" si="6"/>
        <v>-8.9059361806038737</v>
      </c>
      <c r="X40">
        <f t="shared" si="16"/>
        <v>0</v>
      </c>
      <c r="Y40">
        <f t="shared" si="17"/>
        <v>0</v>
      </c>
      <c r="Z40">
        <f t="shared" si="7"/>
        <v>-0.69406381939614903</v>
      </c>
      <c r="AA40">
        <f t="shared" si="18"/>
        <v>-0.69406381939614903</v>
      </c>
      <c r="AB40">
        <f t="shared" si="19"/>
        <v>1</v>
      </c>
      <c r="AC40">
        <f t="shared" si="8"/>
        <v>30.794521354529053</v>
      </c>
      <c r="AD40">
        <f t="shared" si="9"/>
        <v>-30.794521354529053</v>
      </c>
      <c r="AE40">
        <f t="shared" si="10"/>
        <v>-7.3662101128774111</v>
      </c>
      <c r="AF40">
        <f t="shared" si="20"/>
        <v>0</v>
      </c>
      <c r="AG40">
        <f t="shared" si="21"/>
        <v>0</v>
      </c>
      <c r="AH40">
        <f t="shared" si="11"/>
        <v>-2.2337898871226116</v>
      </c>
      <c r="AI40">
        <f t="shared" si="22"/>
        <v>-2.2337898871226116</v>
      </c>
      <c r="AJ40">
        <f t="shared" si="23"/>
        <v>1</v>
      </c>
      <c r="AK40">
        <f t="shared" si="12"/>
        <v>25.662101128774211</v>
      </c>
      <c r="AL40">
        <f t="shared" si="13"/>
        <v>-25.662101128774211</v>
      </c>
    </row>
    <row r="41" spans="1:38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f t="shared" si="1"/>
        <v>354.6</v>
      </c>
      <c r="H41">
        <f t="shared" si="2"/>
        <v>8.7059361806038851</v>
      </c>
      <c r="I41">
        <f t="shared" si="14"/>
        <v>352.53151104355078</v>
      </c>
      <c r="L41">
        <v>84</v>
      </c>
      <c r="M41">
        <v>351</v>
      </c>
      <c r="N41">
        <v>350</v>
      </c>
      <c r="O41">
        <v>359</v>
      </c>
      <c r="P41">
        <v>349</v>
      </c>
      <c r="Q41">
        <v>358</v>
      </c>
      <c r="R41">
        <f t="shared" si="24"/>
        <v>353.4</v>
      </c>
      <c r="S41">
        <f t="shared" si="3"/>
        <v>7.5059361806038396</v>
      </c>
      <c r="T41">
        <f t="shared" si="15"/>
        <v>6.8118723612076906</v>
      </c>
      <c r="U41">
        <f t="shared" si="4"/>
        <v>-17.918560313611167</v>
      </c>
      <c r="V41">
        <f t="shared" si="5"/>
        <v>5.1530570568807397</v>
      </c>
      <c r="W41">
        <f t="shared" si="6"/>
        <v>-0.70593618060388508</v>
      </c>
      <c r="X41">
        <f t="shared" si="16"/>
        <v>0</v>
      </c>
      <c r="Y41">
        <f t="shared" si="17"/>
        <v>0</v>
      </c>
      <c r="Z41">
        <f t="shared" si="7"/>
        <v>7.5059361806038396</v>
      </c>
      <c r="AA41">
        <f t="shared" si="18"/>
        <v>0</v>
      </c>
      <c r="AB41">
        <f t="shared" si="19"/>
        <v>0</v>
      </c>
      <c r="AC41">
        <f t="shared" si="8"/>
        <v>30.794521354529053</v>
      </c>
      <c r="AD41">
        <f t="shared" si="9"/>
        <v>-30.794521354529053</v>
      </c>
      <c r="AE41">
        <f t="shared" si="10"/>
        <v>0.83378988712257751</v>
      </c>
      <c r="AF41">
        <f t="shared" si="20"/>
        <v>0.83378988712257751</v>
      </c>
      <c r="AG41">
        <f t="shared" si="21"/>
        <v>1</v>
      </c>
      <c r="AH41">
        <f t="shared" si="11"/>
        <v>5.966210112877377</v>
      </c>
      <c r="AI41">
        <f t="shared" si="22"/>
        <v>0</v>
      </c>
      <c r="AJ41">
        <f t="shared" si="23"/>
        <v>0</v>
      </c>
      <c r="AK41">
        <f t="shared" si="12"/>
        <v>25.662101128774211</v>
      </c>
      <c r="AL41">
        <f t="shared" si="13"/>
        <v>-25.662101128774211</v>
      </c>
    </row>
    <row r="42" spans="1:38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f t="shared" si="1"/>
        <v>352.4</v>
      </c>
      <c r="H42">
        <f t="shared" si="2"/>
        <v>6.5059361806038396</v>
      </c>
      <c r="I42">
        <f t="shared" si="14"/>
        <v>359.03744722415462</v>
      </c>
      <c r="L42">
        <v>85</v>
      </c>
      <c r="M42">
        <v>345</v>
      </c>
      <c r="N42">
        <v>345</v>
      </c>
      <c r="O42">
        <v>353</v>
      </c>
      <c r="P42">
        <v>344</v>
      </c>
      <c r="Q42">
        <v>353</v>
      </c>
      <c r="R42">
        <f t="shared" si="24"/>
        <v>348</v>
      </c>
      <c r="S42">
        <f t="shared" si="3"/>
        <v>2.1059361806038623</v>
      </c>
      <c r="T42">
        <f t="shared" si="15"/>
        <v>2.1059361806038623</v>
      </c>
      <c r="U42">
        <f t="shared" si="4"/>
        <v>-17.918560313611167</v>
      </c>
      <c r="V42">
        <f t="shared" si="5"/>
        <v>5.1530570568807397</v>
      </c>
      <c r="W42">
        <f t="shared" si="6"/>
        <v>-6.1059361806038623</v>
      </c>
      <c r="X42">
        <f t="shared" si="16"/>
        <v>0</v>
      </c>
      <c r="Y42">
        <f t="shared" si="17"/>
        <v>0</v>
      </c>
      <c r="Z42">
        <f t="shared" si="7"/>
        <v>2.1059361806038623</v>
      </c>
      <c r="AA42">
        <f t="shared" si="18"/>
        <v>0</v>
      </c>
      <c r="AB42">
        <f t="shared" si="19"/>
        <v>0</v>
      </c>
      <c r="AC42">
        <f t="shared" si="8"/>
        <v>30.794521354529053</v>
      </c>
      <c r="AD42">
        <f t="shared" si="9"/>
        <v>-30.794521354529053</v>
      </c>
      <c r="AE42">
        <f t="shared" si="10"/>
        <v>-4.5662101128773998</v>
      </c>
      <c r="AF42">
        <f t="shared" si="20"/>
        <v>0</v>
      </c>
      <c r="AG42">
        <f t="shared" si="21"/>
        <v>0</v>
      </c>
      <c r="AH42">
        <f t="shared" si="11"/>
        <v>0.56621011287739975</v>
      </c>
      <c r="AI42">
        <f t="shared" si="22"/>
        <v>0</v>
      </c>
      <c r="AJ42">
        <f t="shared" si="23"/>
        <v>0</v>
      </c>
      <c r="AK42">
        <f t="shared" si="12"/>
        <v>25.662101128774211</v>
      </c>
      <c r="AL42">
        <f t="shared" si="13"/>
        <v>-25.662101128774211</v>
      </c>
    </row>
    <row r="43" spans="1:38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f t="shared" si="1"/>
        <v>354.6</v>
      </c>
      <c r="H43">
        <f t="shared" si="2"/>
        <v>8.7059361806038851</v>
      </c>
      <c r="I43">
        <f t="shared" si="14"/>
        <v>367.7433834047585</v>
      </c>
    </row>
    <row r="44" spans="1:38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f t="shared" si="1"/>
        <v>336.2</v>
      </c>
      <c r="H44">
        <f t="shared" si="2"/>
        <v>-9.694063819396149</v>
      </c>
      <c r="I44">
        <f t="shared" si="14"/>
        <v>358.04931958536235</v>
      </c>
      <c r="AH44" t="s">
        <v>158</v>
      </c>
    </row>
    <row r="45" spans="1:38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f t="shared" si="1"/>
        <v>352.6</v>
      </c>
      <c r="H45">
        <f t="shared" si="2"/>
        <v>6.7059361806038851</v>
      </c>
      <c r="I45">
        <f t="shared" si="14"/>
        <v>364.75525576596624</v>
      </c>
      <c r="AH45">
        <f>K25-K27+AI5/AJ5</f>
        <v>317.60000000000002</v>
      </c>
    </row>
    <row r="46" spans="1:38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f t="shared" si="1"/>
        <v>356</v>
      </c>
      <c r="H46">
        <f t="shared" si="2"/>
        <v>10.105936180603862</v>
      </c>
      <c r="I46">
        <f t="shared" si="14"/>
        <v>374.8611919465701</v>
      </c>
    </row>
    <row r="47" spans="1:38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f t="shared" si="1"/>
        <v>353.4</v>
      </c>
      <c r="H47">
        <f t="shared" si="2"/>
        <v>7.5059361806038396</v>
      </c>
      <c r="I47">
        <f t="shared" si="14"/>
        <v>382.36712812717394</v>
      </c>
    </row>
  </sheetData>
  <mergeCells count="4">
    <mergeCell ref="B1:F1"/>
    <mergeCell ref="S1:V1"/>
    <mergeCell ref="W1:AD1"/>
    <mergeCell ref="AE1:AL1"/>
  </mergeCells>
  <phoneticPr fontId="1" type="noConversion"/>
  <conditionalFormatting sqref="AF3:AF42">
    <cfRule type="cellIs" dxfId="7" priority="4" operator="greaterThan">
      <formula>$K$29</formula>
    </cfRule>
  </conditionalFormatting>
  <conditionalFormatting sqref="AI3:AI42">
    <cfRule type="cellIs" dxfId="6" priority="3" operator="lessThan">
      <formula>-$K$29</formula>
    </cfRule>
  </conditionalFormatting>
  <conditionalFormatting sqref="AA3:AA42">
    <cfRule type="cellIs" dxfId="5" priority="2" operator="lessThan">
      <formula>-$K$20</formula>
    </cfRule>
  </conditionalFormatting>
  <conditionalFormatting sqref="X3:X42">
    <cfRule type="cellIs" dxfId="4" priority="1" operator="greaterThan">
      <formula>$K$20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4816-A6CA-4843-93DB-254B776CE598}">
  <dimension ref="A1:AC47"/>
  <sheetViews>
    <sheetView workbookViewId="0">
      <selection activeCell="D17" sqref="D17"/>
    </sheetView>
  </sheetViews>
  <sheetFormatPr defaultRowHeight="16.5"/>
  <cols>
    <col min="6" max="6" width="12.25" customWidth="1"/>
    <col min="7" max="11" width="0" hidden="1" customWidth="1"/>
    <col min="13" max="13" width="13.25" customWidth="1"/>
    <col min="15" max="15" width="12.25" customWidth="1"/>
    <col min="16" max="20" width="0" hidden="1" customWidth="1"/>
    <col min="22" max="22" width="12.625" customWidth="1"/>
    <col min="25" max="25" width="11.75" customWidth="1"/>
  </cols>
  <sheetData>
    <row r="1" spans="1:29">
      <c r="A1" s="6" t="s">
        <v>162</v>
      </c>
      <c r="B1">
        <f>1.6</f>
        <v>1.6</v>
      </c>
      <c r="F1" s="41" t="s">
        <v>90</v>
      </c>
      <c r="G1" s="41"/>
      <c r="H1" s="41"/>
      <c r="I1" s="41"/>
      <c r="J1" s="41"/>
      <c r="K1" s="41"/>
      <c r="L1" s="41"/>
    </row>
    <row r="2" spans="1:29">
      <c r="A2" t="s">
        <v>161</v>
      </c>
      <c r="B2">
        <f>B1/2</f>
        <v>0.8</v>
      </c>
      <c r="F2" t="s">
        <v>136</v>
      </c>
      <c r="G2" t="s">
        <v>91</v>
      </c>
      <c r="H2" t="s">
        <v>92</v>
      </c>
      <c r="I2" t="s">
        <v>93</v>
      </c>
      <c r="J2" t="s">
        <v>94</v>
      </c>
      <c r="K2" t="s">
        <v>95</v>
      </c>
      <c r="L2" t="s">
        <v>67</v>
      </c>
      <c r="M2" t="s">
        <v>67</v>
      </c>
      <c r="N2">
        <f>AVERAGE(L3:L47)</f>
        <v>354.39111111111112</v>
      </c>
      <c r="O2" t="s">
        <v>136</v>
      </c>
      <c r="P2" t="s">
        <v>91</v>
      </c>
      <c r="Q2" t="s">
        <v>92</v>
      </c>
      <c r="R2" t="s">
        <v>93</v>
      </c>
      <c r="S2" t="s">
        <v>94</v>
      </c>
      <c r="T2" t="s">
        <v>95</v>
      </c>
      <c r="U2" t="s">
        <v>67</v>
      </c>
      <c r="V2" t="s">
        <v>150</v>
      </c>
      <c r="W2" t="s">
        <v>169</v>
      </c>
      <c r="X2" t="s">
        <v>154</v>
      </c>
      <c r="Y2" t="s">
        <v>151</v>
      </c>
      <c r="Z2" t="s">
        <v>170</v>
      </c>
      <c r="AA2" t="s">
        <v>155</v>
      </c>
      <c r="AB2" t="s">
        <v>19</v>
      </c>
      <c r="AC2" t="s">
        <v>20</v>
      </c>
    </row>
    <row r="3" spans="1:29">
      <c r="A3" t="s">
        <v>160</v>
      </c>
      <c r="B3">
        <v>4.4756059863607636</v>
      </c>
      <c r="F3">
        <v>1</v>
      </c>
      <c r="G3">
        <v>355</v>
      </c>
      <c r="H3">
        <v>351</v>
      </c>
      <c r="I3">
        <v>356</v>
      </c>
      <c r="J3">
        <v>352</v>
      </c>
      <c r="K3">
        <v>359</v>
      </c>
      <c r="L3">
        <f>AVERAGE(G3:K3)</f>
        <v>354.6</v>
      </c>
      <c r="M3" t="s">
        <v>68</v>
      </c>
      <c r="N3">
        <f>_xlfn.VAR.S(L3:L47)</f>
        <v>26.341737373737384</v>
      </c>
      <c r="O3">
        <v>46</v>
      </c>
      <c r="P3">
        <v>351</v>
      </c>
      <c r="Q3">
        <v>352</v>
      </c>
      <c r="R3">
        <v>361</v>
      </c>
      <c r="S3">
        <v>352</v>
      </c>
      <c r="T3">
        <v>360</v>
      </c>
      <c r="U3">
        <f t="shared" ref="U3:U22" si="0">AVERAGE(P3:T3)</f>
        <v>355.2</v>
      </c>
      <c r="V3">
        <f>U3-($N$5+$N$6)</f>
        <v>1.0940638193961263</v>
      </c>
      <c r="W3">
        <f>MAX(0,V3)</f>
        <v>1.0940638193961263</v>
      </c>
      <c r="X3">
        <f>IF(W3&gt;1,1,0)</f>
        <v>1</v>
      </c>
      <c r="Y3">
        <f>U3-($N$5-$N$6)</f>
        <v>9.305936180603851</v>
      </c>
      <c r="Z3">
        <f>MIN(0,Y3)</f>
        <v>0</v>
      </c>
      <c r="AA3">
        <f>IF(Z3&lt;0,1,0)</f>
        <v>0</v>
      </c>
      <c r="AB3">
        <f>$N$7</f>
        <v>16.986288703677289</v>
      </c>
      <c r="AC3">
        <f>-$N$7</f>
        <v>-16.986288703677289</v>
      </c>
    </row>
    <row r="4" spans="1:29">
      <c r="A4" t="s">
        <v>27</v>
      </c>
      <c r="B4">
        <f>(EXP(2*B2*B3)-1-2*B2*B3)/(2*B2)^2</f>
        <v>499.99934733618124</v>
      </c>
      <c r="F4">
        <v>2</v>
      </c>
      <c r="G4">
        <v>353</v>
      </c>
      <c r="H4">
        <v>351</v>
      </c>
      <c r="I4">
        <v>359</v>
      </c>
      <c r="J4">
        <v>352</v>
      </c>
      <c r="K4">
        <v>354</v>
      </c>
      <c r="L4">
        <f t="shared" ref="L4:L47" si="1">AVERAGE(G4:K4)</f>
        <v>353.8</v>
      </c>
      <c r="M4" t="s">
        <v>8</v>
      </c>
      <c r="N4">
        <f>N3^0.5</f>
        <v>5.1324202257548421</v>
      </c>
      <c r="O4">
        <v>47</v>
      </c>
      <c r="P4">
        <v>351</v>
      </c>
      <c r="Q4">
        <v>353</v>
      </c>
      <c r="R4">
        <v>360</v>
      </c>
      <c r="S4">
        <v>353</v>
      </c>
      <c r="T4">
        <v>361</v>
      </c>
      <c r="U4">
        <f t="shared" si="0"/>
        <v>355.6</v>
      </c>
      <c r="V4">
        <f t="shared" ref="V4:V42" si="2">U4-($N$5+$N$6)</f>
        <v>1.4940638193961604</v>
      </c>
      <c r="W4">
        <f>MAX(0,V4+W3)</f>
        <v>2.5881276387922867</v>
      </c>
      <c r="X4">
        <f>IF(W4&gt;0,1+X3,0)</f>
        <v>2</v>
      </c>
      <c r="Y4">
        <f t="shared" ref="Y4:Y42" si="3">U4-($N$5-$N$6)</f>
        <v>9.7059361806038851</v>
      </c>
      <c r="Z4">
        <f>MIN(0,Y4+Z3)</f>
        <v>0</v>
      </c>
      <c r="AA4">
        <f>IF(Z4&lt;0,1+AA3,0)</f>
        <v>0</v>
      </c>
      <c r="AB4">
        <f t="shared" ref="AB4:AB42" si="4">$N$7</f>
        <v>16.986288703677289</v>
      </c>
      <c r="AC4">
        <f t="shared" ref="AC4:AC42" si="5">-$N$7</f>
        <v>-16.986288703677289</v>
      </c>
    </row>
    <row r="5" spans="1:29">
      <c r="A5" t="s">
        <v>163</v>
      </c>
      <c r="B5">
        <f>B3-1.166</f>
        <v>3.3096059863607636</v>
      </c>
      <c r="F5">
        <v>3</v>
      </c>
      <c r="G5">
        <v>351</v>
      </c>
      <c r="H5">
        <v>351</v>
      </c>
      <c r="I5">
        <v>357</v>
      </c>
      <c r="J5">
        <v>352</v>
      </c>
      <c r="K5">
        <v>357</v>
      </c>
      <c r="L5">
        <f t="shared" si="1"/>
        <v>353.6</v>
      </c>
      <c r="M5" t="s">
        <v>137</v>
      </c>
      <c r="N5">
        <v>350</v>
      </c>
      <c r="O5">
        <v>48</v>
      </c>
      <c r="P5">
        <v>355</v>
      </c>
      <c r="Q5">
        <v>355</v>
      </c>
      <c r="R5">
        <v>262</v>
      </c>
      <c r="S5">
        <v>252</v>
      </c>
      <c r="T5">
        <v>364</v>
      </c>
      <c r="U5">
        <f t="shared" si="0"/>
        <v>317.60000000000002</v>
      </c>
      <c r="V5">
        <f t="shared" si="2"/>
        <v>-36.50593618060384</v>
      </c>
      <c r="W5">
        <f t="shared" ref="W5:W42" si="6">MAX(0,V5+W4)</f>
        <v>0</v>
      </c>
      <c r="X5">
        <f t="shared" ref="X5:X42" si="7">IF(W5&gt;0,1+X4,0)</f>
        <v>0</v>
      </c>
      <c r="Y5">
        <f t="shared" si="3"/>
        <v>-28.294063819396115</v>
      </c>
      <c r="Z5">
        <f t="shared" ref="Z5:Z42" si="8">MIN(0,Y5+Z4)</f>
        <v>-28.294063819396115</v>
      </c>
      <c r="AA5">
        <f t="shared" ref="AA5:AA42" si="9">IF(Z5&lt;0,1+AA4,0)</f>
        <v>1</v>
      </c>
      <c r="AB5">
        <f t="shared" si="4"/>
        <v>16.986288703677289</v>
      </c>
      <c r="AC5">
        <f t="shared" si="5"/>
        <v>-16.986288703677289</v>
      </c>
    </row>
    <row r="6" spans="1:29">
      <c r="F6">
        <v>4</v>
      </c>
      <c r="G6">
        <v>353</v>
      </c>
      <c r="H6">
        <v>357</v>
      </c>
      <c r="I6">
        <v>362</v>
      </c>
      <c r="J6">
        <v>355</v>
      </c>
      <c r="K6">
        <v>361</v>
      </c>
      <c r="L6">
        <f t="shared" si="1"/>
        <v>357.6</v>
      </c>
      <c r="M6" t="s">
        <v>146</v>
      </c>
      <c r="N6">
        <f>$B$2*$N$4</f>
        <v>4.1059361806038739</v>
      </c>
      <c r="O6">
        <v>49</v>
      </c>
      <c r="P6">
        <v>356</v>
      </c>
      <c r="Q6">
        <v>355</v>
      </c>
      <c r="R6">
        <v>364</v>
      </c>
      <c r="S6">
        <v>356</v>
      </c>
      <c r="T6">
        <v>364</v>
      </c>
      <c r="U6">
        <f t="shared" si="0"/>
        <v>359</v>
      </c>
      <c r="V6">
        <f t="shared" si="2"/>
        <v>4.8940638193961377</v>
      </c>
      <c r="W6">
        <f t="shared" si="6"/>
        <v>4.8940638193961377</v>
      </c>
      <c r="X6">
        <f t="shared" si="7"/>
        <v>1</v>
      </c>
      <c r="Y6">
        <f t="shared" si="3"/>
        <v>13.105936180603862</v>
      </c>
      <c r="Z6">
        <f t="shared" si="8"/>
        <v>-15.188127638792253</v>
      </c>
      <c r="AA6">
        <f t="shared" si="9"/>
        <v>2</v>
      </c>
      <c r="AB6">
        <f t="shared" si="4"/>
        <v>16.986288703677289</v>
      </c>
      <c r="AC6">
        <f t="shared" si="5"/>
        <v>-16.986288703677289</v>
      </c>
    </row>
    <row r="7" spans="1:29">
      <c r="A7" t="s">
        <v>164</v>
      </c>
      <c r="B7" s="6" t="s">
        <v>159</v>
      </c>
      <c r="C7" t="s">
        <v>161</v>
      </c>
      <c r="D7" t="s">
        <v>160</v>
      </c>
      <c r="E7" t="s">
        <v>33</v>
      </c>
      <c r="F7">
        <v>5</v>
      </c>
      <c r="G7">
        <v>350</v>
      </c>
      <c r="H7">
        <v>353</v>
      </c>
      <c r="I7">
        <v>356</v>
      </c>
      <c r="J7">
        <v>353</v>
      </c>
      <c r="K7">
        <v>357</v>
      </c>
      <c r="L7">
        <f t="shared" si="1"/>
        <v>353.8</v>
      </c>
      <c r="M7" t="s">
        <v>147</v>
      </c>
      <c r="N7">
        <f>$B$5*$N$4</f>
        <v>16.986288703677289</v>
      </c>
      <c r="O7">
        <v>50</v>
      </c>
      <c r="P7">
        <v>351</v>
      </c>
      <c r="Q7">
        <v>350</v>
      </c>
      <c r="R7">
        <v>359</v>
      </c>
      <c r="S7">
        <v>351</v>
      </c>
      <c r="T7">
        <v>359</v>
      </c>
      <c r="U7">
        <f t="shared" si="0"/>
        <v>354</v>
      </c>
      <c r="V7">
        <f t="shared" si="2"/>
        <v>-0.10593618060386234</v>
      </c>
      <c r="W7">
        <f t="shared" si="6"/>
        <v>4.7881276387922753</v>
      </c>
      <c r="X7">
        <f t="shared" si="7"/>
        <v>2</v>
      </c>
      <c r="Y7">
        <f t="shared" si="3"/>
        <v>8.1059361806038623</v>
      </c>
      <c r="Z7">
        <f t="shared" si="8"/>
        <v>-7.0821914581883902</v>
      </c>
      <c r="AA7">
        <f t="shared" si="9"/>
        <v>3</v>
      </c>
      <c r="AB7">
        <f t="shared" si="4"/>
        <v>16.986288703677289</v>
      </c>
      <c r="AC7">
        <f t="shared" si="5"/>
        <v>-16.986288703677289</v>
      </c>
    </row>
    <row r="8" spans="1:29">
      <c r="A8" t="s">
        <v>165</v>
      </c>
      <c r="B8">
        <v>0.5</v>
      </c>
      <c r="C8">
        <v>0.8</v>
      </c>
      <c r="D8">
        <f>$B$3</f>
        <v>4.4756059863607636</v>
      </c>
      <c r="E8">
        <f>(2*(B8-C8)^2/(EXP(-2*(B8-C8)*D8)-1+2*(B8-C8)*D8)+2*(B8+C8)^2/(EXP(2*(B8+C8)*D8)-1-2*(B8+C8)*D8))^-1</f>
        <v>60.878909575363323</v>
      </c>
      <c r="F8">
        <v>6</v>
      </c>
      <c r="G8">
        <v>351</v>
      </c>
      <c r="H8">
        <v>351</v>
      </c>
      <c r="I8">
        <v>353</v>
      </c>
      <c r="J8">
        <v>351</v>
      </c>
      <c r="K8">
        <v>356</v>
      </c>
      <c r="L8">
        <f t="shared" si="1"/>
        <v>352.4</v>
      </c>
      <c r="O8">
        <v>51</v>
      </c>
      <c r="P8">
        <v>352</v>
      </c>
      <c r="Q8">
        <v>351</v>
      </c>
      <c r="R8">
        <v>360</v>
      </c>
      <c r="S8">
        <v>351</v>
      </c>
      <c r="T8">
        <v>360</v>
      </c>
      <c r="U8">
        <f t="shared" si="0"/>
        <v>354.8</v>
      </c>
      <c r="V8">
        <f t="shared" si="2"/>
        <v>0.69406381939614903</v>
      </c>
      <c r="W8">
        <f t="shared" si="6"/>
        <v>5.4821914581884243</v>
      </c>
      <c r="X8">
        <f t="shared" si="7"/>
        <v>3</v>
      </c>
      <c r="Y8">
        <f t="shared" si="3"/>
        <v>8.9059361806038737</v>
      </c>
      <c r="Z8">
        <f t="shared" si="8"/>
        <v>0</v>
      </c>
      <c r="AA8">
        <f t="shared" si="9"/>
        <v>0</v>
      </c>
      <c r="AB8">
        <f t="shared" si="4"/>
        <v>16.986288703677289</v>
      </c>
      <c r="AC8">
        <f t="shared" si="5"/>
        <v>-16.986288703677289</v>
      </c>
    </row>
    <row r="9" spans="1:29">
      <c r="A9" t="s">
        <v>166</v>
      </c>
      <c r="B9">
        <v>1</v>
      </c>
      <c r="C9">
        <v>0.8</v>
      </c>
      <c r="D9">
        <f t="shared" ref="D9:D11" si="10">$B$3</f>
        <v>4.4756059863607636</v>
      </c>
      <c r="E9">
        <f t="shared" ref="E9:E11" si="11">(2*(B9-C9)^2/(EXP(-2*(B9-C9)*D9)-1+2*(B9-C9)*D9)+2*(B9+C9)^2/(EXP(2*(B9+C9)*D9)-1-2*(B9+C9)*D9))^-1</f>
        <v>11.96443292523548</v>
      </c>
      <c r="F9">
        <v>7</v>
      </c>
      <c r="G9">
        <v>351</v>
      </c>
      <c r="H9">
        <v>352</v>
      </c>
      <c r="I9">
        <v>360</v>
      </c>
      <c r="J9">
        <v>353</v>
      </c>
      <c r="K9">
        <v>362</v>
      </c>
      <c r="L9">
        <f t="shared" si="1"/>
        <v>355.6</v>
      </c>
      <c r="O9">
        <v>52</v>
      </c>
      <c r="P9">
        <v>355</v>
      </c>
      <c r="Q9">
        <v>352</v>
      </c>
      <c r="R9">
        <v>362</v>
      </c>
      <c r="S9">
        <v>354</v>
      </c>
      <c r="T9">
        <v>362</v>
      </c>
      <c r="U9">
        <f t="shared" si="0"/>
        <v>357</v>
      </c>
      <c r="V9">
        <f t="shared" si="2"/>
        <v>2.8940638193961377</v>
      </c>
      <c r="W9">
        <f t="shared" si="6"/>
        <v>8.376255277584562</v>
      </c>
      <c r="X9">
        <f t="shared" si="7"/>
        <v>4</v>
      </c>
      <c r="Y9">
        <f t="shared" si="3"/>
        <v>11.105936180603862</v>
      </c>
      <c r="Z9">
        <f t="shared" si="8"/>
        <v>0</v>
      </c>
      <c r="AA9">
        <f t="shared" si="9"/>
        <v>0</v>
      </c>
      <c r="AB9">
        <f t="shared" si="4"/>
        <v>16.986288703677289</v>
      </c>
      <c r="AC9">
        <f t="shared" si="5"/>
        <v>-16.986288703677289</v>
      </c>
    </row>
    <row r="10" spans="1:29">
      <c r="A10" t="s">
        <v>167</v>
      </c>
      <c r="B10">
        <v>1.5</v>
      </c>
      <c r="C10">
        <v>0.8</v>
      </c>
      <c r="D10">
        <f t="shared" si="10"/>
        <v>4.4756059863607636</v>
      </c>
      <c r="E10">
        <f t="shared" si="11"/>
        <v>5.3752532026413284</v>
      </c>
      <c r="F10">
        <v>8</v>
      </c>
      <c r="G10">
        <v>352</v>
      </c>
      <c r="H10">
        <v>350</v>
      </c>
      <c r="I10">
        <v>357</v>
      </c>
      <c r="J10">
        <v>350</v>
      </c>
      <c r="K10">
        <v>357</v>
      </c>
      <c r="L10">
        <f t="shared" si="1"/>
        <v>353.2</v>
      </c>
      <c r="O10">
        <v>53</v>
      </c>
      <c r="P10">
        <v>349</v>
      </c>
      <c r="Q10">
        <v>347</v>
      </c>
      <c r="R10">
        <v>357</v>
      </c>
      <c r="S10">
        <v>348</v>
      </c>
      <c r="T10">
        <v>358</v>
      </c>
      <c r="U10">
        <f t="shared" si="0"/>
        <v>351.8</v>
      </c>
      <c r="V10">
        <f t="shared" si="2"/>
        <v>-2.305936180603851</v>
      </c>
      <c r="W10">
        <f t="shared" si="6"/>
        <v>6.070319096980711</v>
      </c>
      <c r="X10">
        <f t="shared" si="7"/>
        <v>5</v>
      </c>
      <c r="Y10">
        <f t="shared" si="3"/>
        <v>5.9059361806038737</v>
      </c>
      <c r="Z10">
        <f t="shared" si="8"/>
        <v>0</v>
      </c>
      <c r="AA10">
        <f t="shared" si="9"/>
        <v>0</v>
      </c>
      <c r="AB10">
        <f t="shared" si="4"/>
        <v>16.986288703677289</v>
      </c>
      <c r="AC10">
        <f t="shared" si="5"/>
        <v>-16.986288703677289</v>
      </c>
    </row>
    <row r="11" spans="1:29">
      <c r="A11" t="s">
        <v>168</v>
      </c>
      <c r="B11">
        <v>2</v>
      </c>
      <c r="C11">
        <v>0.8</v>
      </c>
      <c r="D11">
        <f t="shared" si="10"/>
        <v>4.4756059863607636</v>
      </c>
      <c r="E11">
        <f t="shared" si="11"/>
        <v>3.3824569409685616</v>
      </c>
      <c r="F11">
        <v>9</v>
      </c>
      <c r="G11">
        <v>353</v>
      </c>
      <c r="H11">
        <v>353</v>
      </c>
      <c r="I11">
        <v>359</v>
      </c>
      <c r="J11">
        <v>352</v>
      </c>
      <c r="K11">
        <v>358</v>
      </c>
      <c r="L11">
        <f t="shared" si="1"/>
        <v>355</v>
      </c>
      <c r="O11">
        <v>54</v>
      </c>
      <c r="P11">
        <v>350</v>
      </c>
      <c r="Q11">
        <v>349</v>
      </c>
      <c r="R11">
        <v>359</v>
      </c>
      <c r="S11">
        <v>350</v>
      </c>
      <c r="T11">
        <v>359</v>
      </c>
      <c r="U11">
        <f t="shared" si="0"/>
        <v>353.4</v>
      </c>
      <c r="V11">
        <f t="shared" si="2"/>
        <v>-0.70593618060388508</v>
      </c>
      <c r="W11">
        <f t="shared" si="6"/>
        <v>5.364382916376826</v>
      </c>
      <c r="X11">
        <f t="shared" si="7"/>
        <v>6</v>
      </c>
      <c r="Y11">
        <f t="shared" si="3"/>
        <v>7.5059361806038396</v>
      </c>
      <c r="Z11">
        <f t="shared" si="8"/>
        <v>0</v>
      </c>
      <c r="AA11">
        <f t="shared" si="9"/>
        <v>0</v>
      </c>
      <c r="AB11">
        <f t="shared" si="4"/>
        <v>16.986288703677289</v>
      </c>
      <c r="AC11">
        <f t="shared" si="5"/>
        <v>-16.986288703677289</v>
      </c>
    </row>
    <row r="12" spans="1:29">
      <c r="F12">
        <v>10</v>
      </c>
      <c r="G12">
        <v>353</v>
      </c>
      <c r="H12">
        <v>353</v>
      </c>
      <c r="I12">
        <v>355</v>
      </c>
      <c r="J12">
        <v>351</v>
      </c>
      <c r="K12">
        <v>360</v>
      </c>
      <c r="L12">
        <f t="shared" si="1"/>
        <v>354.4</v>
      </c>
      <c r="O12">
        <v>55</v>
      </c>
      <c r="P12">
        <v>349</v>
      </c>
      <c r="Q12">
        <v>348</v>
      </c>
      <c r="R12">
        <v>357</v>
      </c>
      <c r="S12">
        <v>349</v>
      </c>
      <c r="T12">
        <v>358</v>
      </c>
      <c r="U12">
        <f t="shared" si="0"/>
        <v>352.2</v>
      </c>
      <c r="V12">
        <f t="shared" si="2"/>
        <v>-1.9059361806038737</v>
      </c>
      <c r="W12">
        <f t="shared" si="6"/>
        <v>3.4584467357729523</v>
      </c>
      <c r="X12">
        <f t="shared" si="7"/>
        <v>7</v>
      </c>
      <c r="Y12">
        <f t="shared" si="3"/>
        <v>6.305936180603851</v>
      </c>
      <c r="Z12">
        <f t="shared" si="8"/>
        <v>0</v>
      </c>
      <c r="AA12">
        <f t="shared" si="9"/>
        <v>0</v>
      </c>
      <c r="AB12">
        <f t="shared" si="4"/>
        <v>16.986288703677289</v>
      </c>
      <c r="AC12">
        <f t="shared" si="5"/>
        <v>-16.986288703677289</v>
      </c>
    </row>
    <row r="13" spans="1:29">
      <c r="F13">
        <v>11</v>
      </c>
      <c r="G13">
        <v>353</v>
      </c>
      <c r="H13">
        <v>353</v>
      </c>
      <c r="I13">
        <v>354</v>
      </c>
      <c r="J13">
        <v>351</v>
      </c>
      <c r="K13">
        <v>359</v>
      </c>
      <c r="L13">
        <f t="shared" si="1"/>
        <v>354</v>
      </c>
      <c r="O13">
        <v>56</v>
      </c>
      <c r="P13">
        <v>348</v>
      </c>
      <c r="Q13">
        <v>347</v>
      </c>
      <c r="R13">
        <v>348</v>
      </c>
      <c r="S13">
        <v>349</v>
      </c>
      <c r="T13">
        <v>351</v>
      </c>
      <c r="U13">
        <f t="shared" si="0"/>
        <v>348.6</v>
      </c>
      <c r="V13">
        <f t="shared" si="2"/>
        <v>-5.5059361806038396</v>
      </c>
      <c r="W13">
        <f t="shared" si="6"/>
        <v>0</v>
      </c>
      <c r="X13">
        <f t="shared" si="7"/>
        <v>0</v>
      </c>
      <c r="Y13">
        <f t="shared" si="3"/>
        <v>2.7059361806038851</v>
      </c>
      <c r="Z13">
        <f t="shared" si="8"/>
        <v>0</v>
      </c>
      <c r="AA13">
        <f t="shared" si="9"/>
        <v>0</v>
      </c>
      <c r="AB13">
        <f t="shared" si="4"/>
        <v>16.986288703677289</v>
      </c>
      <c r="AC13">
        <f t="shared" si="5"/>
        <v>-16.986288703677289</v>
      </c>
    </row>
    <row r="14" spans="1:29">
      <c r="F14">
        <v>12</v>
      </c>
      <c r="G14">
        <v>349</v>
      </c>
      <c r="H14">
        <v>350</v>
      </c>
      <c r="I14">
        <v>359</v>
      </c>
      <c r="J14">
        <v>352</v>
      </c>
      <c r="K14">
        <v>356</v>
      </c>
      <c r="L14">
        <f t="shared" si="1"/>
        <v>353.2</v>
      </c>
      <c r="O14">
        <v>57</v>
      </c>
      <c r="P14">
        <v>348</v>
      </c>
      <c r="Q14">
        <v>347</v>
      </c>
      <c r="R14">
        <v>349</v>
      </c>
      <c r="S14">
        <v>350</v>
      </c>
      <c r="T14">
        <v>351</v>
      </c>
      <c r="U14">
        <f t="shared" si="0"/>
        <v>349</v>
      </c>
      <c r="V14">
        <f t="shared" si="2"/>
        <v>-5.1059361806038623</v>
      </c>
      <c r="W14">
        <f t="shared" si="6"/>
        <v>0</v>
      </c>
      <c r="X14">
        <f t="shared" si="7"/>
        <v>0</v>
      </c>
      <c r="Y14">
        <f t="shared" si="3"/>
        <v>3.1059361806038623</v>
      </c>
      <c r="Z14">
        <f t="shared" si="8"/>
        <v>0</v>
      </c>
      <c r="AA14">
        <f t="shared" si="9"/>
        <v>0</v>
      </c>
      <c r="AB14">
        <f t="shared" si="4"/>
        <v>16.986288703677289</v>
      </c>
      <c r="AC14">
        <f t="shared" si="5"/>
        <v>-16.986288703677289</v>
      </c>
    </row>
    <row r="15" spans="1:29">
      <c r="D15">
        <v>42.536115711179697</v>
      </c>
      <c r="F15">
        <v>13</v>
      </c>
      <c r="G15">
        <v>350</v>
      </c>
      <c r="H15">
        <v>351</v>
      </c>
      <c r="I15">
        <v>361</v>
      </c>
      <c r="J15">
        <v>350</v>
      </c>
      <c r="K15">
        <v>359</v>
      </c>
      <c r="L15">
        <f t="shared" si="1"/>
        <v>354.2</v>
      </c>
      <c r="O15">
        <v>58</v>
      </c>
      <c r="P15">
        <v>345</v>
      </c>
      <c r="Q15">
        <v>346</v>
      </c>
      <c r="R15">
        <v>355</v>
      </c>
      <c r="S15">
        <v>346</v>
      </c>
      <c r="T15">
        <v>355</v>
      </c>
      <c r="U15">
        <f t="shared" si="0"/>
        <v>349.4</v>
      </c>
      <c r="V15">
        <f t="shared" si="2"/>
        <v>-4.7059361806038851</v>
      </c>
      <c r="W15">
        <f t="shared" si="6"/>
        <v>0</v>
      </c>
      <c r="X15">
        <f t="shared" si="7"/>
        <v>0</v>
      </c>
      <c r="Y15">
        <f t="shared" si="3"/>
        <v>3.5059361806038396</v>
      </c>
      <c r="Z15">
        <f t="shared" si="8"/>
        <v>0</v>
      </c>
      <c r="AA15">
        <f t="shared" si="9"/>
        <v>0</v>
      </c>
      <c r="AB15">
        <f t="shared" si="4"/>
        <v>16.986288703677289</v>
      </c>
      <c r="AC15">
        <f t="shared" si="5"/>
        <v>-16.986288703677289</v>
      </c>
    </row>
    <row r="16" spans="1:29">
      <c r="D16">
        <f>E8-D15</f>
        <v>18.342793864183626</v>
      </c>
      <c r="F16">
        <v>14</v>
      </c>
      <c r="G16">
        <v>349</v>
      </c>
      <c r="H16">
        <v>351</v>
      </c>
      <c r="I16">
        <v>360</v>
      </c>
      <c r="J16">
        <v>351</v>
      </c>
      <c r="K16">
        <v>358</v>
      </c>
      <c r="L16">
        <f t="shared" si="1"/>
        <v>353.8</v>
      </c>
      <c r="O16">
        <v>59</v>
      </c>
      <c r="P16">
        <v>343</v>
      </c>
      <c r="Q16">
        <v>346</v>
      </c>
      <c r="R16">
        <v>356</v>
      </c>
      <c r="S16">
        <v>346</v>
      </c>
      <c r="T16">
        <v>356</v>
      </c>
      <c r="U16">
        <f t="shared" si="0"/>
        <v>349.4</v>
      </c>
      <c r="V16">
        <f t="shared" si="2"/>
        <v>-4.7059361806038851</v>
      </c>
      <c r="W16">
        <f t="shared" si="6"/>
        <v>0</v>
      </c>
      <c r="X16">
        <f t="shared" si="7"/>
        <v>0</v>
      </c>
      <c r="Y16">
        <f t="shared" si="3"/>
        <v>3.5059361806038396</v>
      </c>
      <c r="Z16">
        <f t="shared" si="8"/>
        <v>0</v>
      </c>
      <c r="AA16">
        <f t="shared" si="9"/>
        <v>0</v>
      </c>
      <c r="AB16">
        <f t="shared" si="4"/>
        <v>16.986288703677289</v>
      </c>
      <c r="AC16">
        <f t="shared" si="5"/>
        <v>-16.986288703677289</v>
      </c>
    </row>
    <row r="17" spans="6:29">
      <c r="F17">
        <v>15</v>
      </c>
      <c r="G17">
        <v>351</v>
      </c>
      <c r="H17">
        <v>351</v>
      </c>
      <c r="I17">
        <v>360</v>
      </c>
      <c r="J17">
        <v>351</v>
      </c>
      <c r="K17">
        <v>360</v>
      </c>
      <c r="L17">
        <f t="shared" si="1"/>
        <v>354.6</v>
      </c>
      <c r="O17">
        <v>60</v>
      </c>
      <c r="P17">
        <v>348</v>
      </c>
      <c r="Q17">
        <v>350</v>
      </c>
      <c r="R17">
        <v>359</v>
      </c>
      <c r="S17">
        <v>349</v>
      </c>
      <c r="T17">
        <v>357</v>
      </c>
      <c r="U17">
        <f t="shared" si="0"/>
        <v>352.6</v>
      </c>
      <c r="V17">
        <f t="shared" si="2"/>
        <v>-1.5059361806038396</v>
      </c>
      <c r="W17">
        <f t="shared" si="6"/>
        <v>0</v>
      </c>
      <c r="X17">
        <f t="shared" si="7"/>
        <v>0</v>
      </c>
      <c r="Y17">
        <f t="shared" si="3"/>
        <v>6.7059361806038851</v>
      </c>
      <c r="Z17">
        <f t="shared" si="8"/>
        <v>0</v>
      </c>
      <c r="AA17">
        <f t="shared" si="9"/>
        <v>0</v>
      </c>
      <c r="AB17">
        <f t="shared" si="4"/>
        <v>16.986288703677289</v>
      </c>
      <c r="AC17">
        <f t="shared" si="5"/>
        <v>-16.986288703677289</v>
      </c>
    </row>
    <row r="18" spans="6:29">
      <c r="F18">
        <v>16</v>
      </c>
      <c r="G18">
        <v>349</v>
      </c>
      <c r="H18">
        <v>350</v>
      </c>
      <c r="I18">
        <v>359</v>
      </c>
      <c r="J18">
        <v>351</v>
      </c>
      <c r="K18">
        <v>357</v>
      </c>
      <c r="L18">
        <f t="shared" si="1"/>
        <v>353.2</v>
      </c>
      <c r="O18">
        <v>61</v>
      </c>
      <c r="P18">
        <v>350</v>
      </c>
      <c r="Q18">
        <v>351</v>
      </c>
      <c r="R18">
        <v>360</v>
      </c>
      <c r="S18">
        <v>350</v>
      </c>
      <c r="T18">
        <v>355</v>
      </c>
      <c r="U18">
        <f t="shared" si="0"/>
        <v>353.2</v>
      </c>
      <c r="V18">
        <f t="shared" si="2"/>
        <v>-0.90593618060387371</v>
      </c>
      <c r="W18">
        <f t="shared" si="6"/>
        <v>0</v>
      </c>
      <c r="X18">
        <f t="shared" si="7"/>
        <v>0</v>
      </c>
      <c r="Y18">
        <f t="shared" si="3"/>
        <v>7.305936180603851</v>
      </c>
      <c r="Z18">
        <f t="shared" si="8"/>
        <v>0</v>
      </c>
      <c r="AA18">
        <f t="shared" si="9"/>
        <v>0</v>
      </c>
      <c r="AB18">
        <f t="shared" si="4"/>
        <v>16.986288703677289</v>
      </c>
      <c r="AC18">
        <f t="shared" si="5"/>
        <v>-16.986288703677289</v>
      </c>
    </row>
    <row r="19" spans="6:29">
      <c r="F19">
        <v>17</v>
      </c>
      <c r="G19">
        <v>369</v>
      </c>
      <c r="H19">
        <v>366</v>
      </c>
      <c r="I19">
        <v>374</v>
      </c>
      <c r="J19">
        <v>369</v>
      </c>
      <c r="K19">
        <v>374</v>
      </c>
      <c r="L19">
        <f t="shared" si="1"/>
        <v>370.4</v>
      </c>
      <c r="O19">
        <v>62</v>
      </c>
      <c r="P19">
        <v>350</v>
      </c>
      <c r="Q19">
        <v>351</v>
      </c>
      <c r="R19">
        <v>359</v>
      </c>
      <c r="S19">
        <v>351</v>
      </c>
      <c r="T19">
        <v>354</v>
      </c>
      <c r="U19">
        <f t="shared" si="0"/>
        <v>353</v>
      </c>
      <c r="V19">
        <f t="shared" si="2"/>
        <v>-1.1059361806038623</v>
      </c>
      <c r="W19">
        <f t="shared" si="6"/>
        <v>0</v>
      </c>
      <c r="X19">
        <f t="shared" si="7"/>
        <v>0</v>
      </c>
      <c r="Y19">
        <f t="shared" si="3"/>
        <v>7.1059361806038623</v>
      </c>
      <c r="Z19">
        <f t="shared" si="8"/>
        <v>0</v>
      </c>
      <c r="AA19">
        <f t="shared" si="9"/>
        <v>0</v>
      </c>
      <c r="AB19">
        <f t="shared" si="4"/>
        <v>16.986288703677289</v>
      </c>
      <c r="AC19">
        <f t="shared" si="5"/>
        <v>-16.986288703677289</v>
      </c>
    </row>
    <row r="20" spans="6:29">
      <c r="F20">
        <v>18</v>
      </c>
      <c r="G20">
        <v>356</v>
      </c>
      <c r="H20">
        <v>351</v>
      </c>
      <c r="I20">
        <v>361</v>
      </c>
      <c r="J20">
        <v>357</v>
      </c>
      <c r="K20">
        <v>361</v>
      </c>
      <c r="L20">
        <f t="shared" si="1"/>
        <v>357.2</v>
      </c>
      <c r="O20">
        <v>63</v>
      </c>
      <c r="P20">
        <v>348</v>
      </c>
      <c r="Q20">
        <v>347</v>
      </c>
      <c r="R20">
        <v>356</v>
      </c>
      <c r="S20">
        <v>344</v>
      </c>
      <c r="T20">
        <v>355</v>
      </c>
      <c r="U20">
        <f t="shared" si="0"/>
        <v>350</v>
      </c>
      <c r="V20">
        <f t="shared" si="2"/>
        <v>-4.1059361806038623</v>
      </c>
      <c r="W20">
        <f t="shared" si="6"/>
        <v>0</v>
      </c>
      <c r="X20">
        <f t="shared" si="7"/>
        <v>0</v>
      </c>
      <c r="Y20">
        <f t="shared" si="3"/>
        <v>4.1059361806038623</v>
      </c>
      <c r="Z20">
        <f t="shared" si="8"/>
        <v>0</v>
      </c>
      <c r="AA20">
        <f t="shared" si="9"/>
        <v>0</v>
      </c>
      <c r="AB20">
        <f t="shared" si="4"/>
        <v>16.986288703677289</v>
      </c>
      <c r="AC20">
        <f t="shared" si="5"/>
        <v>-16.986288703677289</v>
      </c>
    </row>
    <row r="21" spans="6:29">
      <c r="F21">
        <v>19</v>
      </c>
      <c r="G21">
        <v>355</v>
      </c>
      <c r="H21">
        <v>354</v>
      </c>
      <c r="I21">
        <v>366</v>
      </c>
      <c r="J21">
        <v>356</v>
      </c>
      <c r="K21">
        <v>366</v>
      </c>
      <c r="L21">
        <f t="shared" si="1"/>
        <v>359.4</v>
      </c>
      <c r="O21">
        <v>64</v>
      </c>
      <c r="P21">
        <v>347</v>
      </c>
      <c r="Q21">
        <v>349</v>
      </c>
      <c r="R21">
        <v>358</v>
      </c>
      <c r="S21">
        <v>348</v>
      </c>
      <c r="T21">
        <v>357</v>
      </c>
      <c r="U21">
        <f t="shared" si="0"/>
        <v>351.8</v>
      </c>
      <c r="V21">
        <f t="shared" si="2"/>
        <v>-2.305936180603851</v>
      </c>
      <c r="W21">
        <f t="shared" si="6"/>
        <v>0</v>
      </c>
      <c r="X21">
        <f t="shared" si="7"/>
        <v>0</v>
      </c>
      <c r="Y21">
        <f t="shared" si="3"/>
        <v>5.9059361806038737</v>
      </c>
      <c r="Z21">
        <f t="shared" si="8"/>
        <v>0</v>
      </c>
      <c r="AA21">
        <f t="shared" si="9"/>
        <v>0</v>
      </c>
      <c r="AB21">
        <f t="shared" si="4"/>
        <v>16.986288703677289</v>
      </c>
      <c r="AC21">
        <f t="shared" si="5"/>
        <v>-16.986288703677289</v>
      </c>
    </row>
    <row r="22" spans="6:29">
      <c r="F22">
        <v>20</v>
      </c>
      <c r="G22">
        <v>353</v>
      </c>
      <c r="H22">
        <v>352</v>
      </c>
      <c r="I22">
        <v>363</v>
      </c>
      <c r="J22">
        <v>353</v>
      </c>
      <c r="K22">
        <v>362</v>
      </c>
      <c r="L22">
        <f t="shared" si="1"/>
        <v>356.6</v>
      </c>
      <c r="O22">
        <v>65</v>
      </c>
      <c r="P22">
        <v>349</v>
      </c>
      <c r="Q22">
        <v>348</v>
      </c>
      <c r="R22">
        <v>359</v>
      </c>
      <c r="S22">
        <v>349</v>
      </c>
      <c r="T22">
        <v>357</v>
      </c>
      <c r="U22">
        <f t="shared" si="0"/>
        <v>352.4</v>
      </c>
      <c r="V22">
        <f t="shared" si="2"/>
        <v>-1.7059361806038851</v>
      </c>
      <c r="W22">
        <f t="shared" si="6"/>
        <v>0</v>
      </c>
      <c r="X22">
        <f t="shared" si="7"/>
        <v>0</v>
      </c>
      <c r="Y22">
        <f t="shared" si="3"/>
        <v>6.5059361806038396</v>
      </c>
      <c r="Z22">
        <f t="shared" si="8"/>
        <v>0</v>
      </c>
      <c r="AA22">
        <f t="shared" si="9"/>
        <v>0</v>
      </c>
      <c r="AB22">
        <f t="shared" si="4"/>
        <v>16.986288703677289</v>
      </c>
      <c r="AC22">
        <f t="shared" si="5"/>
        <v>-16.986288703677289</v>
      </c>
    </row>
    <row r="23" spans="6:29">
      <c r="F23">
        <v>21</v>
      </c>
      <c r="G23">
        <v>354</v>
      </c>
      <c r="H23">
        <v>353</v>
      </c>
      <c r="I23">
        <v>364</v>
      </c>
      <c r="J23">
        <v>354</v>
      </c>
      <c r="K23">
        <v>364</v>
      </c>
      <c r="L23">
        <f t="shared" si="1"/>
        <v>357.8</v>
      </c>
      <c r="O23">
        <v>66</v>
      </c>
      <c r="P23">
        <v>347</v>
      </c>
      <c r="Q23">
        <v>347</v>
      </c>
      <c r="R23">
        <v>343</v>
      </c>
      <c r="S23">
        <v>341</v>
      </c>
      <c r="T23">
        <v>343</v>
      </c>
      <c r="U23">
        <f t="shared" ref="U23:U42" si="12">AVERAGE(P23:T23)</f>
        <v>344.2</v>
      </c>
      <c r="V23">
        <f t="shared" si="2"/>
        <v>-9.9059361806038737</v>
      </c>
      <c r="W23">
        <f t="shared" si="6"/>
        <v>0</v>
      </c>
      <c r="X23">
        <f t="shared" si="7"/>
        <v>0</v>
      </c>
      <c r="Y23">
        <f t="shared" si="3"/>
        <v>-1.694063819396149</v>
      </c>
      <c r="Z23">
        <f t="shared" si="8"/>
        <v>-1.694063819396149</v>
      </c>
      <c r="AA23">
        <f t="shared" si="9"/>
        <v>1</v>
      </c>
      <c r="AB23">
        <f t="shared" si="4"/>
        <v>16.986288703677289</v>
      </c>
      <c r="AC23">
        <f t="shared" si="5"/>
        <v>-16.986288703677289</v>
      </c>
    </row>
    <row r="24" spans="6:29">
      <c r="F24">
        <v>22</v>
      </c>
      <c r="G24">
        <v>354</v>
      </c>
      <c r="H24">
        <v>354</v>
      </c>
      <c r="I24">
        <v>360</v>
      </c>
      <c r="J24">
        <v>356</v>
      </c>
      <c r="K24">
        <v>360</v>
      </c>
      <c r="L24">
        <f t="shared" si="1"/>
        <v>356.8</v>
      </c>
      <c r="O24">
        <v>67</v>
      </c>
      <c r="P24">
        <v>348</v>
      </c>
      <c r="Q24">
        <v>347</v>
      </c>
      <c r="R24">
        <v>356</v>
      </c>
      <c r="S24">
        <v>346</v>
      </c>
      <c r="T24">
        <v>355</v>
      </c>
      <c r="U24">
        <f t="shared" si="12"/>
        <v>350.4</v>
      </c>
      <c r="V24">
        <f t="shared" si="2"/>
        <v>-3.7059361806038851</v>
      </c>
      <c r="W24">
        <f t="shared" si="6"/>
        <v>0</v>
      </c>
      <c r="X24">
        <f t="shared" si="7"/>
        <v>0</v>
      </c>
      <c r="Y24">
        <f t="shared" si="3"/>
        <v>4.5059361806038396</v>
      </c>
      <c r="Z24">
        <f t="shared" si="8"/>
        <v>0</v>
      </c>
      <c r="AA24">
        <f t="shared" si="9"/>
        <v>0</v>
      </c>
      <c r="AB24">
        <f t="shared" si="4"/>
        <v>16.986288703677289</v>
      </c>
      <c r="AC24">
        <f t="shared" si="5"/>
        <v>-16.986288703677289</v>
      </c>
    </row>
    <row r="25" spans="6:29">
      <c r="F25">
        <v>23</v>
      </c>
      <c r="G25">
        <v>358</v>
      </c>
      <c r="H25">
        <v>356</v>
      </c>
      <c r="I25">
        <v>366</v>
      </c>
      <c r="J25">
        <v>357</v>
      </c>
      <c r="K25">
        <v>366</v>
      </c>
      <c r="L25">
        <f t="shared" si="1"/>
        <v>360.6</v>
      </c>
      <c r="O25">
        <v>68</v>
      </c>
      <c r="P25">
        <v>345</v>
      </c>
      <c r="Q25">
        <v>346</v>
      </c>
      <c r="R25">
        <v>355</v>
      </c>
      <c r="S25">
        <v>347</v>
      </c>
      <c r="T25">
        <v>353</v>
      </c>
      <c r="U25">
        <f t="shared" si="12"/>
        <v>349.2</v>
      </c>
      <c r="V25">
        <f t="shared" si="2"/>
        <v>-4.9059361806038737</v>
      </c>
      <c r="W25">
        <f t="shared" si="6"/>
        <v>0</v>
      </c>
      <c r="X25">
        <f t="shared" si="7"/>
        <v>0</v>
      </c>
      <c r="Y25">
        <f t="shared" si="3"/>
        <v>3.305936180603851</v>
      </c>
      <c r="Z25">
        <f t="shared" si="8"/>
        <v>0</v>
      </c>
      <c r="AA25">
        <f t="shared" si="9"/>
        <v>0</v>
      </c>
      <c r="AB25">
        <f t="shared" si="4"/>
        <v>16.986288703677289</v>
      </c>
      <c r="AC25">
        <f t="shared" si="5"/>
        <v>-16.986288703677289</v>
      </c>
    </row>
    <row r="26" spans="6:29">
      <c r="F26">
        <v>24</v>
      </c>
      <c r="G26">
        <v>358</v>
      </c>
      <c r="H26">
        <v>355</v>
      </c>
      <c r="I26">
        <v>365</v>
      </c>
      <c r="J26">
        <v>357</v>
      </c>
      <c r="K26">
        <v>366</v>
      </c>
      <c r="L26">
        <f t="shared" si="1"/>
        <v>360.2</v>
      </c>
      <c r="O26">
        <v>69</v>
      </c>
      <c r="P26">
        <v>345</v>
      </c>
      <c r="Q26">
        <v>345</v>
      </c>
      <c r="R26">
        <v>353</v>
      </c>
      <c r="S26">
        <v>345</v>
      </c>
      <c r="T26">
        <v>353</v>
      </c>
      <c r="U26">
        <f t="shared" si="12"/>
        <v>348.2</v>
      </c>
      <c r="V26">
        <f t="shared" si="2"/>
        <v>-5.9059361806038737</v>
      </c>
      <c r="W26">
        <f t="shared" si="6"/>
        <v>0</v>
      </c>
      <c r="X26">
        <f t="shared" si="7"/>
        <v>0</v>
      </c>
      <c r="Y26">
        <f t="shared" si="3"/>
        <v>2.305936180603851</v>
      </c>
      <c r="Z26">
        <f t="shared" si="8"/>
        <v>0</v>
      </c>
      <c r="AA26">
        <f t="shared" si="9"/>
        <v>0</v>
      </c>
      <c r="AB26">
        <f t="shared" si="4"/>
        <v>16.986288703677289</v>
      </c>
      <c r="AC26">
        <f t="shared" si="5"/>
        <v>-16.986288703677289</v>
      </c>
    </row>
    <row r="27" spans="6:29">
      <c r="F27">
        <v>25</v>
      </c>
      <c r="G27">
        <v>356</v>
      </c>
      <c r="H27">
        <v>353</v>
      </c>
      <c r="I27">
        <v>365</v>
      </c>
      <c r="J27">
        <v>356</v>
      </c>
      <c r="K27">
        <v>364</v>
      </c>
      <c r="L27">
        <f t="shared" si="1"/>
        <v>358.8</v>
      </c>
      <c r="O27">
        <v>70</v>
      </c>
      <c r="P27">
        <v>347</v>
      </c>
      <c r="Q27">
        <v>345</v>
      </c>
      <c r="R27">
        <v>353</v>
      </c>
      <c r="S27">
        <v>345</v>
      </c>
      <c r="T27">
        <v>353</v>
      </c>
      <c r="U27">
        <f t="shared" si="12"/>
        <v>348.6</v>
      </c>
      <c r="V27">
        <f t="shared" si="2"/>
        <v>-5.5059361806038396</v>
      </c>
      <c r="W27">
        <f t="shared" si="6"/>
        <v>0</v>
      </c>
      <c r="X27">
        <f t="shared" si="7"/>
        <v>0</v>
      </c>
      <c r="Y27">
        <f t="shared" si="3"/>
        <v>2.7059361806038851</v>
      </c>
      <c r="Z27">
        <f t="shared" si="8"/>
        <v>0</v>
      </c>
      <c r="AA27">
        <f t="shared" si="9"/>
        <v>0</v>
      </c>
      <c r="AB27">
        <f t="shared" si="4"/>
        <v>16.986288703677289</v>
      </c>
      <c r="AC27">
        <f t="shared" si="5"/>
        <v>-16.986288703677289</v>
      </c>
    </row>
    <row r="28" spans="6:29">
      <c r="F28">
        <v>26</v>
      </c>
      <c r="G28">
        <v>333</v>
      </c>
      <c r="H28">
        <v>346</v>
      </c>
      <c r="I28">
        <v>338</v>
      </c>
      <c r="J28">
        <v>335</v>
      </c>
      <c r="K28">
        <v>338</v>
      </c>
      <c r="L28">
        <f t="shared" si="1"/>
        <v>338</v>
      </c>
      <c r="O28">
        <v>71</v>
      </c>
      <c r="P28">
        <v>349</v>
      </c>
      <c r="Q28">
        <v>346</v>
      </c>
      <c r="R28">
        <v>356</v>
      </c>
      <c r="S28">
        <v>347</v>
      </c>
      <c r="T28">
        <v>356</v>
      </c>
      <c r="U28">
        <f t="shared" si="12"/>
        <v>350.8</v>
      </c>
      <c r="V28">
        <f t="shared" si="2"/>
        <v>-3.305936180603851</v>
      </c>
      <c r="W28">
        <f t="shared" si="6"/>
        <v>0</v>
      </c>
      <c r="X28">
        <f t="shared" si="7"/>
        <v>0</v>
      </c>
      <c r="Y28">
        <f t="shared" si="3"/>
        <v>4.9059361806038737</v>
      </c>
      <c r="Z28">
        <f t="shared" si="8"/>
        <v>0</v>
      </c>
      <c r="AA28">
        <f t="shared" si="9"/>
        <v>0</v>
      </c>
      <c r="AB28">
        <f t="shared" si="4"/>
        <v>16.986288703677289</v>
      </c>
      <c r="AC28">
        <f t="shared" si="5"/>
        <v>-16.986288703677289</v>
      </c>
    </row>
    <row r="29" spans="6:29">
      <c r="F29">
        <v>27</v>
      </c>
      <c r="G29">
        <v>351</v>
      </c>
      <c r="H29">
        <v>349</v>
      </c>
      <c r="I29">
        <v>361</v>
      </c>
      <c r="J29">
        <v>351</v>
      </c>
      <c r="K29">
        <v>361</v>
      </c>
      <c r="L29">
        <f t="shared" si="1"/>
        <v>354.6</v>
      </c>
      <c r="O29">
        <v>72</v>
      </c>
      <c r="P29">
        <v>342</v>
      </c>
      <c r="Q29">
        <v>342</v>
      </c>
      <c r="R29">
        <v>347</v>
      </c>
      <c r="S29">
        <v>340</v>
      </c>
      <c r="T29">
        <v>348</v>
      </c>
      <c r="U29">
        <f t="shared" si="12"/>
        <v>343.8</v>
      </c>
      <c r="V29">
        <f t="shared" si="2"/>
        <v>-10.305936180603851</v>
      </c>
      <c r="W29">
        <f t="shared" si="6"/>
        <v>0</v>
      </c>
      <c r="X29">
        <f t="shared" si="7"/>
        <v>0</v>
      </c>
      <c r="Y29">
        <f t="shared" si="3"/>
        <v>-2.0940638193961263</v>
      </c>
      <c r="Z29">
        <f t="shared" si="8"/>
        <v>-2.0940638193961263</v>
      </c>
      <c r="AA29">
        <f t="shared" si="9"/>
        <v>1</v>
      </c>
      <c r="AB29">
        <f t="shared" si="4"/>
        <v>16.986288703677289</v>
      </c>
      <c r="AC29">
        <f t="shared" si="5"/>
        <v>-16.986288703677289</v>
      </c>
    </row>
    <row r="30" spans="6:29">
      <c r="F30">
        <v>28</v>
      </c>
      <c r="G30">
        <v>350</v>
      </c>
      <c r="H30">
        <v>349</v>
      </c>
      <c r="I30">
        <v>348</v>
      </c>
      <c r="J30">
        <v>349</v>
      </c>
      <c r="K30">
        <v>350</v>
      </c>
      <c r="L30">
        <f t="shared" si="1"/>
        <v>349.2</v>
      </c>
      <c r="O30">
        <v>73</v>
      </c>
      <c r="P30">
        <v>347</v>
      </c>
      <c r="Q30">
        <v>345</v>
      </c>
      <c r="R30">
        <v>355</v>
      </c>
      <c r="S30">
        <v>345</v>
      </c>
      <c r="T30">
        <v>355</v>
      </c>
      <c r="U30">
        <f t="shared" si="12"/>
        <v>349.4</v>
      </c>
      <c r="V30">
        <f t="shared" si="2"/>
        <v>-4.7059361806038851</v>
      </c>
      <c r="W30">
        <f t="shared" si="6"/>
        <v>0</v>
      </c>
      <c r="X30">
        <f t="shared" si="7"/>
        <v>0</v>
      </c>
      <c r="Y30">
        <f t="shared" si="3"/>
        <v>3.5059361806038396</v>
      </c>
      <c r="Z30">
        <f t="shared" si="8"/>
        <v>0</v>
      </c>
      <c r="AA30">
        <f t="shared" si="9"/>
        <v>0</v>
      </c>
      <c r="AB30">
        <f t="shared" si="4"/>
        <v>16.986288703677289</v>
      </c>
      <c r="AC30">
        <f t="shared" si="5"/>
        <v>-16.986288703677289</v>
      </c>
    </row>
    <row r="31" spans="6:29">
      <c r="F31">
        <v>29</v>
      </c>
      <c r="G31">
        <v>352</v>
      </c>
      <c r="H31">
        <v>352</v>
      </c>
      <c r="I31">
        <v>364</v>
      </c>
      <c r="J31">
        <v>354</v>
      </c>
      <c r="K31">
        <v>361</v>
      </c>
      <c r="L31">
        <f t="shared" si="1"/>
        <v>356.6</v>
      </c>
      <c r="O31">
        <v>74</v>
      </c>
      <c r="P31">
        <v>346</v>
      </c>
      <c r="Q31">
        <v>344</v>
      </c>
      <c r="R31">
        <v>354</v>
      </c>
      <c r="S31">
        <v>344</v>
      </c>
      <c r="T31">
        <v>353</v>
      </c>
      <c r="U31">
        <f t="shared" si="12"/>
        <v>348.2</v>
      </c>
      <c r="V31">
        <f t="shared" si="2"/>
        <v>-5.9059361806038737</v>
      </c>
      <c r="W31">
        <f t="shared" si="6"/>
        <v>0</v>
      </c>
      <c r="X31">
        <f t="shared" si="7"/>
        <v>0</v>
      </c>
      <c r="Y31">
        <f t="shared" si="3"/>
        <v>2.305936180603851</v>
      </c>
      <c r="Z31">
        <f t="shared" si="8"/>
        <v>0</v>
      </c>
      <c r="AA31">
        <f t="shared" si="9"/>
        <v>0</v>
      </c>
      <c r="AB31">
        <f t="shared" si="4"/>
        <v>16.986288703677289</v>
      </c>
      <c r="AC31">
        <f t="shared" si="5"/>
        <v>-16.986288703677289</v>
      </c>
    </row>
    <row r="32" spans="6:29">
      <c r="F32">
        <v>30</v>
      </c>
      <c r="G32">
        <v>351</v>
      </c>
      <c r="H32">
        <v>357</v>
      </c>
      <c r="I32">
        <v>363</v>
      </c>
      <c r="J32">
        <v>353</v>
      </c>
      <c r="K32">
        <v>361</v>
      </c>
      <c r="L32">
        <f t="shared" si="1"/>
        <v>357</v>
      </c>
      <c r="O32">
        <v>75</v>
      </c>
      <c r="P32">
        <v>344</v>
      </c>
      <c r="Q32">
        <v>342</v>
      </c>
      <c r="R32">
        <v>353</v>
      </c>
      <c r="S32">
        <v>343</v>
      </c>
      <c r="T32">
        <v>352</v>
      </c>
      <c r="U32">
        <f t="shared" si="12"/>
        <v>346.8</v>
      </c>
      <c r="V32">
        <f t="shared" si="2"/>
        <v>-7.305936180603851</v>
      </c>
      <c r="W32">
        <f t="shared" si="6"/>
        <v>0</v>
      </c>
      <c r="X32">
        <f t="shared" si="7"/>
        <v>0</v>
      </c>
      <c r="Y32">
        <f t="shared" si="3"/>
        <v>0.90593618060387371</v>
      </c>
      <c r="Z32">
        <f t="shared" si="8"/>
        <v>0</v>
      </c>
      <c r="AA32">
        <f t="shared" si="9"/>
        <v>0</v>
      </c>
      <c r="AB32">
        <f t="shared" si="4"/>
        <v>16.986288703677289</v>
      </c>
      <c r="AC32">
        <f t="shared" si="5"/>
        <v>-16.986288703677289</v>
      </c>
    </row>
    <row r="33" spans="6:29">
      <c r="F33">
        <v>31</v>
      </c>
      <c r="G33">
        <v>352</v>
      </c>
      <c r="H33">
        <v>352</v>
      </c>
      <c r="I33">
        <v>364</v>
      </c>
      <c r="J33">
        <v>354</v>
      </c>
      <c r="K33">
        <v>362</v>
      </c>
      <c r="L33">
        <f t="shared" si="1"/>
        <v>356.8</v>
      </c>
      <c r="O33">
        <v>76</v>
      </c>
      <c r="P33">
        <v>347</v>
      </c>
      <c r="Q33">
        <v>347</v>
      </c>
      <c r="R33">
        <v>347</v>
      </c>
      <c r="S33">
        <v>357</v>
      </c>
      <c r="T33">
        <v>357</v>
      </c>
      <c r="U33">
        <f t="shared" si="12"/>
        <v>351</v>
      </c>
      <c r="V33">
        <f t="shared" si="2"/>
        <v>-3.1059361806038623</v>
      </c>
      <c r="W33">
        <f t="shared" si="6"/>
        <v>0</v>
      </c>
      <c r="X33">
        <f t="shared" si="7"/>
        <v>0</v>
      </c>
      <c r="Y33">
        <f t="shared" si="3"/>
        <v>5.1059361806038623</v>
      </c>
      <c r="Z33">
        <f t="shared" si="8"/>
        <v>0</v>
      </c>
      <c r="AA33">
        <f t="shared" si="9"/>
        <v>0</v>
      </c>
      <c r="AB33">
        <f t="shared" si="4"/>
        <v>16.986288703677289</v>
      </c>
      <c r="AC33">
        <f t="shared" si="5"/>
        <v>-16.986288703677289</v>
      </c>
    </row>
    <row r="34" spans="6:29">
      <c r="F34">
        <v>32</v>
      </c>
      <c r="G34">
        <v>349</v>
      </c>
      <c r="H34">
        <v>351</v>
      </c>
      <c r="I34">
        <v>363</v>
      </c>
      <c r="J34">
        <v>352</v>
      </c>
      <c r="K34">
        <v>362</v>
      </c>
      <c r="L34">
        <f t="shared" si="1"/>
        <v>355.4</v>
      </c>
      <c r="O34">
        <v>77</v>
      </c>
      <c r="P34">
        <v>345</v>
      </c>
      <c r="Q34">
        <v>343</v>
      </c>
      <c r="R34">
        <v>352</v>
      </c>
      <c r="S34">
        <v>343</v>
      </c>
      <c r="T34">
        <v>351</v>
      </c>
      <c r="U34">
        <f t="shared" si="12"/>
        <v>346.8</v>
      </c>
      <c r="V34">
        <f t="shared" si="2"/>
        <v>-7.305936180603851</v>
      </c>
      <c r="W34">
        <f t="shared" si="6"/>
        <v>0</v>
      </c>
      <c r="X34">
        <f t="shared" si="7"/>
        <v>0</v>
      </c>
      <c r="Y34">
        <f t="shared" si="3"/>
        <v>0.90593618060387371</v>
      </c>
      <c r="Z34">
        <f t="shared" si="8"/>
        <v>0</v>
      </c>
      <c r="AA34">
        <f t="shared" si="9"/>
        <v>0</v>
      </c>
      <c r="AB34">
        <f t="shared" si="4"/>
        <v>16.986288703677289</v>
      </c>
      <c r="AC34">
        <f t="shared" si="5"/>
        <v>-16.986288703677289</v>
      </c>
    </row>
    <row r="35" spans="6:29">
      <c r="F35">
        <v>33</v>
      </c>
      <c r="G35">
        <v>349</v>
      </c>
      <c r="H35">
        <v>351</v>
      </c>
      <c r="I35">
        <v>362</v>
      </c>
      <c r="J35">
        <v>351</v>
      </c>
      <c r="K35">
        <v>361</v>
      </c>
      <c r="L35">
        <f t="shared" si="1"/>
        <v>354.8</v>
      </c>
      <c r="O35">
        <v>78</v>
      </c>
      <c r="P35">
        <v>347</v>
      </c>
      <c r="Q35">
        <v>345</v>
      </c>
      <c r="R35">
        <v>356</v>
      </c>
      <c r="S35">
        <v>345</v>
      </c>
      <c r="T35">
        <v>355</v>
      </c>
      <c r="U35">
        <f t="shared" si="12"/>
        <v>349.6</v>
      </c>
      <c r="V35">
        <f t="shared" si="2"/>
        <v>-4.5059361806038396</v>
      </c>
      <c r="W35">
        <f t="shared" si="6"/>
        <v>0</v>
      </c>
      <c r="X35">
        <f t="shared" si="7"/>
        <v>0</v>
      </c>
      <c r="Y35">
        <f t="shared" si="3"/>
        <v>3.7059361806038851</v>
      </c>
      <c r="Z35">
        <f t="shared" si="8"/>
        <v>0</v>
      </c>
      <c r="AA35">
        <f t="shared" si="9"/>
        <v>0</v>
      </c>
      <c r="AB35">
        <f t="shared" si="4"/>
        <v>16.986288703677289</v>
      </c>
      <c r="AC35">
        <f t="shared" si="5"/>
        <v>-16.986288703677289</v>
      </c>
    </row>
    <row r="36" spans="6:29">
      <c r="F36">
        <v>34</v>
      </c>
      <c r="G36">
        <v>347</v>
      </c>
      <c r="H36">
        <v>348</v>
      </c>
      <c r="I36">
        <v>361</v>
      </c>
      <c r="J36">
        <v>349</v>
      </c>
      <c r="K36">
        <v>358</v>
      </c>
      <c r="L36">
        <f t="shared" si="1"/>
        <v>352.6</v>
      </c>
      <c r="O36">
        <v>79</v>
      </c>
      <c r="P36">
        <v>347</v>
      </c>
      <c r="Q36">
        <v>346</v>
      </c>
      <c r="R36">
        <v>357</v>
      </c>
      <c r="S36">
        <v>347</v>
      </c>
      <c r="T36">
        <v>356</v>
      </c>
      <c r="U36">
        <f t="shared" si="12"/>
        <v>350.6</v>
      </c>
      <c r="V36">
        <f t="shared" si="2"/>
        <v>-3.5059361806038396</v>
      </c>
      <c r="W36">
        <f t="shared" si="6"/>
        <v>0</v>
      </c>
      <c r="X36">
        <f t="shared" si="7"/>
        <v>0</v>
      </c>
      <c r="Y36">
        <f t="shared" si="3"/>
        <v>4.7059361806038851</v>
      </c>
      <c r="Z36">
        <f t="shared" si="8"/>
        <v>0</v>
      </c>
      <c r="AA36">
        <f t="shared" si="9"/>
        <v>0</v>
      </c>
      <c r="AB36">
        <f t="shared" si="4"/>
        <v>16.986288703677289</v>
      </c>
      <c r="AC36">
        <f t="shared" si="5"/>
        <v>-16.986288703677289</v>
      </c>
    </row>
    <row r="37" spans="6:29">
      <c r="F37">
        <v>35</v>
      </c>
      <c r="G37">
        <v>347</v>
      </c>
      <c r="H37">
        <v>348</v>
      </c>
      <c r="I37">
        <v>360</v>
      </c>
      <c r="J37">
        <v>349</v>
      </c>
      <c r="K37">
        <v>351</v>
      </c>
      <c r="L37">
        <f t="shared" si="1"/>
        <v>351</v>
      </c>
      <c r="O37">
        <v>80</v>
      </c>
      <c r="P37">
        <v>349</v>
      </c>
      <c r="Q37">
        <v>346</v>
      </c>
      <c r="R37">
        <v>357</v>
      </c>
      <c r="S37">
        <v>346</v>
      </c>
      <c r="T37">
        <v>357</v>
      </c>
      <c r="U37">
        <f t="shared" si="12"/>
        <v>351</v>
      </c>
      <c r="V37">
        <f t="shared" si="2"/>
        <v>-3.1059361806038623</v>
      </c>
      <c r="W37">
        <f t="shared" si="6"/>
        <v>0</v>
      </c>
      <c r="X37">
        <f t="shared" si="7"/>
        <v>0</v>
      </c>
      <c r="Y37">
        <f t="shared" si="3"/>
        <v>5.1059361806038623</v>
      </c>
      <c r="Z37">
        <f t="shared" si="8"/>
        <v>0</v>
      </c>
      <c r="AA37">
        <f t="shared" si="9"/>
        <v>0</v>
      </c>
      <c r="AB37">
        <f t="shared" si="4"/>
        <v>16.986288703677289</v>
      </c>
      <c r="AC37">
        <f t="shared" si="5"/>
        <v>-16.986288703677289</v>
      </c>
    </row>
    <row r="38" spans="6:29">
      <c r="F38">
        <v>36</v>
      </c>
      <c r="G38">
        <v>352</v>
      </c>
      <c r="H38">
        <v>351</v>
      </c>
      <c r="I38">
        <v>354</v>
      </c>
      <c r="J38">
        <v>349</v>
      </c>
      <c r="K38">
        <v>350</v>
      </c>
      <c r="L38">
        <f t="shared" si="1"/>
        <v>351.2</v>
      </c>
      <c r="O38">
        <v>81</v>
      </c>
      <c r="P38">
        <v>343</v>
      </c>
      <c r="Q38">
        <v>347</v>
      </c>
      <c r="R38">
        <v>355</v>
      </c>
      <c r="S38">
        <v>347</v>
      </c>
      <c r="T38">
        <v>355</v>
      </c>
      <c r="U38">
        <f t="shared" si="12"/>
        <v>349.4</v>
      </c>
      <c r="V38">
        <f t="shared" si="2"/>
        <v>-4.7059361806038851</v>
      </c>
      <c r="W38">
        <f t="shared" si="6"/>
        <v>0</v>
      </c>
      <c r="X38">
        <f t="shared" si="7"/>
        <v>0</v>
      </c>
      <c r="Y38">
        <f t="shared" si="3"/>
        <v>3.5059361806038396</v>
      </c>
      <c r="Z38">
        <f t="shared" si="8"/>
        <v>0</v>
      </c>
      <c r="AA38">
        <f t="shared" si="9"/>
        <v>0</v>
      </c>
      <c r="AB38">
        <f t="shared" si="4"/>
        <v>16.986288703677289</v>
      </c>
      <c r="AC38">
        <f t="shared" si="5"/>
        <v>-16.986288703677289</v>
      </c>
    </row>
    <row r="39" spans="6:29">
      <c r="F39">
        <v>37</v>
      </c>
      <c r="G39">
        <v>347</v>
      </c>
      <c r="H39">
        <v>343</v>
      </c>
      <c r="I39">
        <v>353</v>
      </c>
      <c r="J39">
        <v>344</v>
      </c>
      <c r="K39">
        <v>353</v>
      </c>
      <c r="L39">
        <f t="shared" si="1"/>
        <v>348</v>
      </c>
      <c r="O39">
        <v>82</v>
      </c>
      <c r="P39">
        <v>347</v>
      </c>
      <c r="Q39">
        <v>348</v>
      </c>
      <c r="R39">
        <v>358</v>
      </c>
      <c r="S39">
        <v>347</v>
      </c>
      <c r="T39">
        <v>357</v>
      </c>
      <c r="U39">
        <f t="shared" si="12"/>
        <v>351.4</v>
      </c>
      <c r="V39">
        <f t="shared" si="2"/>
        <v>-2.7059361806038851</v>
      </c>
      <c r="W39">
        <f t="shared" si="6"/>
        <v>0</v>
      </c>
      <c r="X39">
        <f t="shared" si="7"/>
        <v>0</v>
      </c>
      <c r="Y39">
        <f t="shared" si="3"/>
        <v>5.5059361806038396</v>
      </c>
      <c r="Z39">
        <f t="shared" si="8"/>
        <v>0</v>
      </c>
      <c r="AA39">
        <f t="shared" si="9"/>
        <v>0</v>
      </c>
      <c r="AB39">
        <f t="shared" si="4"/>
        <v>16.986288703677289</v>
      </c>
      <c r="AC39">
        <f t="shared" si="5"/>
        <v>-16.986288703677289</v>
      </c>
    </row>
    <row r="40" spans="6:29">
      <c r="F40">
        <v>38</v>
      </c>
      <c r="G40">
        <v>354</v>
      </c>
      <c r="H40">
        <v>354</v>
      </c>
      <c r="I40">
        <v>362</v>
      </c>
      <c r="J40">
        <v>355</v>
      </c>
      <c r="K40">
        <v>364</v>
      </c>
      <c r="L40">
        <f t="shared" si="1"/>
        <v>357.8</v>
      </c>
      <c r="O40">
        <v>83</v>
      </c>
      <c r="P40">
        <v>344</v>
      </c>
      <c r="Q40">
        <v>344</v>
      </c>
      <c r="R40">
        <v>346</v>
      </c>
      <c r="S40">
        <v>344</v>
      </c>
      <c r="T40">
        <v>348</v>
      </c>
      <c r="U40">
        <f t="shared" si="12"/>
        <v>345.2</v>
      </c>
      <c r="V40">
        <f t="shared" si="2"/>
        <v>-8.9059361806038737</v>
      </c>
      <c r="W40">
        <f t="shared" si="6"/>
        <v>0</v>
      </c>
      <c r="X40">
        <f t="shared" si="7"/>
        <v>0</v>
      </c>
      <c r="Y40">
        <f t="shared" si="3"/>
        <v>-0.69406381939614903</v>
      </c>
      <c r="Z40">
        <f t="shared" si="8"/>
        <v>-0.69406381939614903</v>
      </c>
      <c r="AA40">
        <f t="shared" si="9"/>
        <v>1</v>
      </c>
      <c r="AB40">
        <f t="shared" si="4"/>
        <v>16.986288703677289</v>
      </c>
      <c r="AC40">
        <f t="shared" si="5"/>
        <v>-16.986288703677289</v>
      </c>
    </row>
    <row r="41" spans="6:29">
      <c r="F41">
        <v>39</v>
      </c>
      <c r="G41">
        <v>352</v>
      </c>
      <c r="H41">
        <v>350</v>
      </c>
      <c r="I41">
        <v>360</v>
      </c>
      <c r="J41">
        <v>350</v>
      </c>
      <c r="K41">
        <v>361</v>
      </c>
      <c r="L41">
        <f t="shared" si="1"/>
        <v>354.6</v>
      </c>
      <c r="O41">
        <v>84</v>
      </c>
      <c r="P41">
        <v>351</v>
      </c>
      <c r="Q41">
        <v>350</v>
      </c>
      <c r="R41">
        <v>359</v>
      </c>
      <c r="S41">
        <v>349</v>
      </c>
      <c r="T41">
        <v>358</v>
      </c>
      <c r="U41">
        <f t="shared" si="12"/>
        <v>353.4</v>
      </c>
      <c r="V41">
        <f t="shared" si="2"/>
        <v>-0.70593618060388508</v>
      </c>
      <c r="W41">
        <f t="shared" si="6"/>
        <v>0</v>
      </c>
      <c r="X41">
        <f t="shared" si="7"/>
        <v>0</v>
      </c>
      <c r="Y41">
        <f t="shared" si="3"/>
        <v>7.5059361806038396</v>
      </c>
      <c r="Z41">
        <f t="shared" si="8"/>
        <v>0</v>
      </c>
      <c r="AA41">
        <f t="shared" si="9"/>
        <v>0</v>
      </c>
      <c r="AB41">
        <f t="shared" si="4"/>
        <v>16.986288703677289</v>
      </c>
      <c r="AC41">
        <f t="shared" si="5"/>
        <v>-16.986288703677289</v>
      </c>
    </row>
    <row r="42" spans="6:29">
      <c r="F42">
        <v>40</v>
      </c>
      <c r="G42">
        <v>350</v>
      </c>
      <c r="H42">
        <v>350</v>
      </c>
      <c r="I42">
        <v>352</v>
      </c>
      <c r="J42">
        <v>358</v>
      </c>
      <c r="K42">
        <v>352</v>
      </c>
      <c r="L42">
        <f t="shared" si="1"/>
        <v>352.4</v>
      </c>
      <c r="O42">
        <v>85</v>
      </c>
      <c r="P42">
        <v>345</v>
      </c>
      <c r="Q42">
        <v>345</v>
      </c>
      <c r="R42">
        <v>353</v>
      </c>
      <c r="S42">
        <v>344</v>
      </c>
      <c r="T42">
        <v>353</v>
      </c>
      <c r="U42">
        <f t="shared" si="12"/>
        <v>348</v>
      </c>
      <c r="V42">
        <f t="shared" si="2"/>
        <v>-6.1059361806038623</v>
      </c>
      <c r="W42">
        <f t="shared" si="6"/>
        <v>0</v>
      </c>
      <c r="X42">
        <f t="shared" si="7"/>
        <v>0</v>
      </c>
      <c r="Y42">
        <f t="shared" si="3"/>
        <v>2.1059361806038623</v>
      </c>
      <c r="Z42">
        <f t="shared" si="8"/>
        <v>0</v>
      </c>
      <c r="AA42">
        <f t="shared" si="9"/>
        <v>0</v>
      </c>
      <c r="AB42">
        <f t="shared" si="4"/>
        <v>16.986288703677289</v>
      </c>
      <c r="AC42">
        <f t="shared" si="5"/>
        <v>-16.986288703677289</v>
      </c>
    </row>
    <row r="43" spans="6:29">
      <c r="F43">
        <v>41</v>
      </c>
      <c r="G43">
        <v>351</v>
      </c>
      <c r="H43">
        <v>350</v>
      </c>
      <c r="I43">
        <v>360</v>
      </c>
      <c r="J43">
        <v>352</v>
      </c>
      <c r="K43">
        <v>360</v>
      </c>
      <c r="L43">
        <f t="shared" si="1"/>
        <v>354.6</v>
      </c>
    </row>
    <row r="44" spans="6:29">
      <c r="F44">
        <v>42</v>
      </c>
      <c r="G44">
        <v>331</v>
      </c>
      <c r="H44">
        <v>344</v>
      </c>
      <c r="I44">
        <v>336</v>
      </c>
      <c r="J44">
        <v>334</v>
      </c>
      <c r="K44">
        <v>336</v>
      </c>
      <c r="L44">
        <f t="shared" si="1"/>
        <v>336.2</v>
      </c>
      <c r="Y44" t="s">
        <v>171</v>
      </c>
    </row>
    <row r="45" spans="6:29">
      <c r="F45">
        <v>43</v>
      </c>
      <c r="G45">
        <v>348</v>
      </c>
      <c r="H45">
        <v>349</v>
      </c>
      <c r="I45">
        <v>359</v>
      </c>
      <c r="J45">
        <v>349</v>
      </c>
      <c r="K45">
        <v>358</v>
      </c>
      <c r="L45">
        <f t="shared" si="1"/>
        <v>352.6</v>
      </c>
      <c r="Y45">
        <f>N5-N6+Z5/AA5</f>
        <v>317.60000000000002</v>
      </c>
    </row>
    <row r="46" spans="6:29">
      <c r="F46">
        <v>44</v>
      </c>
      <c r="G46">
        <v>353</v>
      </c>
      <c r="H46">
        <v>351</v>
      </c>
      <c r="I46">
        <v>362</v>
      </c>
      <c r="J46">
        <v>352</v>
      </c>
      <c r="K46">
        <v>362</v>
      </c>
      <c r="L46">
        <f t="shared" si="1"/>
        <v>356</v>
      </c>
    </row>
    <row r="47" spans="6:29">
      <c r="F47">
        <v>45</v>
      </c>
      <c r="G47">
        <v>351</v>
      </c>
      <c r="H47">
        <v>349</v>
      </c>
      <c r="I47">
        <v>358</v>
      </c>
      <c r="J47">
        <v>351</v>
      </c>
      <c r="K47">
        <v>358</v>
      </c>
      <c r="L47">
        <f t="shared" si="1"/>
        <v>353.4</v>
      </c>
    </row>
  </sheetData>
  <mergeCells count="1">
    <mergeCell ref="F1:L1"/>
  </mergeCells>
  <phoneticPr fontId="1" type="noConversion"/>
  <conditionalFormatting sqref="W3:W42">
    <cfRule type="cellIs" dxfId="3" priority="2" operator="greaterThan">
      <formula>$N$7</formula>
    </cfRule>
  </conditionalFormatting>
  <conditionalFormatting sqref="Z3:Z42">
    <cfRule type="cellIs" dxfId="2" priority="1" operator="lessThan">
      <formula>-$N$7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2885C-1C5A-4D26-A9AC-666B4D4F8AB7}">
  <dimension ref="A1:AB47"/>
  <sheetViews>
    <sheetView topLeftCell="B1" workbookViewId="0">
      <selection activeCell="I8" sqref="I8"/>
    </sheetView>
  </sheetViews>
  <sheetFormatPr defaultRowHeight="16.5"/>
  <cols>
    <col min="10" max="10" width="12.625" customWidth="1"/>
    <col min="11" max="15" width="0" hidden="1" customWidth="1"/>
    <col min="17" max="17" width="13.25" customWidth="1"/>
    <col min="19" max="19" width="12.5" customWidth="1"/>
    <col min="20" max="24" width="0" hidden="1" customWidth="1"/>
  </cols>
  <sheetData>
    <row r="1" spans="1:28">
      <c r="A1" s="6" t="s">
        <v>162</v>
      </c>
      <c r="B1">
        <v>1.6</v>
      </c>
      <c r="J1" s="41" t="s">
        <v>90</v>
      </c>
      <c r="K1" s="41"/>
      <c r="L1" s="41"/>
      <c r="M1" s="41"/>
      <c r="N1" s="41"/>
      <c r="O1" s="41"/>
      <c r="P1" s="41"/>
      <c r="Q1" t="s">
        <v>67</v>
      </c>
      <c r="R1">
        <f>AVERAGE(P3:P47)</f>
        <v>354.39111111111112</v>
      </c>
      <c r="S1" s="41" t="s">
        <v>90</v>
      </c>
      <c r="T1" s="41"/>
      <c r="U1" s="41"/>
      <c r="V1" s="41"/>
      <c r="W1" s="41"/>
      <c r="X1" s="41"/>
      <c r="Y1" s="41"/>
      <c r="Z1" t="s">
        <v>180</v>
      </c>
      <c r="AA1">
        <f>R6</f>
        <v>350</v>
      </c>
    </row>
    <row r="2" spans="1:28">
      <c r="A2" t="s">
        <v>27</v>
      </c>
      <c r="B2">
        <v>500</v>
      </c>
      <c r="J2" t="s">
        <v>136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67</v>
      </c>
      <c r="Q2" t="s">
        <v>68</v>
      </c>
      <c r="R2">
        <f>_xlfn.VAR.S(P3:P47)</f>
        <v>26.341737373737384</v>
      </c>
      <c r="S2" t="s">
        <v>136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67</v>
      </c>
      <c r="Z2" t="s">
        <v>181</v>
      </c>
      <c r="AA2" t="s">
        <v>19</v>
      </c>
      <c r="AB2" t="s">
        <v>20</v>
      </c>
    </row>
    <row r="3" spans="1:28">
      <c r="A3" t="s">
        <v>172</v>
      </c>
      <c r="B3">
        <f>2*LN(1.0234*(2/PI())^0.5*B1^2*B2)</f>
        <v>13.90390884331558</v>
      </c>
      <c r="J3">
        <v>1</v>
      </c>
      <c r="K3">
        <v>355</v>
      </c>
      <c r="L3">
        <v>351</v>
      </c>
      <c r="M3">
        <v>356</v>
      </c>
      <c r="N3">
        <v>352</v>
      </c>
      <c r="O3">
        <v>359</v>
      </c>
      <c r="P3">
        <f>AVERAGE(K3:O3)</f>
        <v>354.6</v>
      </c>
      <c r="Q3" t="s">
        <v>8</v>
      </c>
      <c r="R3">
        <f>R2^0.5</f>
        <v>5.1324202257548421</v>
      </c>
      <c r="S3">
        <v>46</v>
      </c>
      <c r="T3">
        <v>351</v>
      </c>
      <c r="U3">
        <v>352</v>
      </c>
      <c r="V3">
        <v>361</v>
      </c>
      <c r="W3">
        <v>352</v>
      </c>
      <c r="X3">
        <v>360</v>
      </c>
      <c r="Y3">
        <f t="shared" ref="Y3:Y22" si="0">AVERAGE(T3:X3)</f>
        <v>355.2</v>
      </c>
      <c r="Z3">
        <f>$R$4*Y3+(1-R4)*AA1</f>
        <v>351.20864234030842</v>
      </c>
      <c r="AA3">
        <f>$R$6+$R$5*$R$3*($R$4/(2-$R$4)*(1-(1-$R$4)^(2*J3)))^0.5</f>
        <v>353.72781332635526</v>
      </c>
      <c r="AB3">
        <f>$R$6-$R$5*$R$3*($R$4/(2-$R$4)*(1-(1-$R$4)^(2*J3)))^0.5</f>
        <v>346.27218667364474</v>
      </c>
    </row>
    <row r="4" spans="1:28">
      <c r="A4" s="35" t="s">
        <v>173</v>
      </c>
      <c r="B4">
        <f>1.0234*B1^2/(B3-LN(B3))</f>
        <v>0.23243121929008978</v>
      </c>
      <c r="J4">
        <v>2</v>
      </c>
      <c r="K4">
        <v>353</v>
      </c>
      <c r="L4">
        <v>351</v>
      </c>
      <c r="M4">
        <v>359</v>
      </c>
      <c r="N4">
        <v>352</v>
      </c>
      <c r="O4">
        <v>354</v>
      </c>
      <c r="P4">
        <f t="shared" ref="P4:P47" si="1">AVERAGE(K4:O4)</f>
        <v>353.8</v>
      </c>
      <c r="Q4" s="35" t="s">
        <v>173</v>
      </c>
      <c r="R4">
        <f>B4</f>
        <v>0.23243121929008978</v>
      </c>
      <c r="S4">
        <v>47</v>
      </c>
      <c r="T4">
        <v>351</v>
      </c>
      <c r="U4">
        <v>353</v>
      </c>
      <c r="V4">
        <v>360</v>
      </c>
      <c r="W4">
        <v>353</v>
      </c>
      <c r="X4">
        <v>361</v>
      </c>
      <c r="Y4">
        <f t="shared" si="0"/>
        <v>355.6</v>
      </c>
      <c r="Z4">
        <f>$R$4*Y4+(1-$R$4)*Z3</f>
        <v>352.22933095548939</v>
      </c>
      <c r="AA4">
        <f t="shared" ref="AA4:AA42" si="2">$R$6+$R$5*$R$3*($R$4/(2-$R$4)*(1-(1-$R$4)^(2*J4)))^0.5</f>
        <v>354.69935462894261</v>
      </c>
      <c r="AB4">
        <f t="shared" ref="AB4:AB42" si="3">$R$6-$R$5*$R$3*($R$4/(2-$R$4)*(1-(1-$R$4)^(2*J4)))^0.5</f>
        <v>345.30064537105739</v>
      </c>
    </row>
    <row r="5" spans="1:28">
      <c r="A5" s="35" t="s">
        <v>174</v>
      </c>
      <c r="B5">
        <f>(B3-LN(B3))^0.5-B4</f>
        <v>3.1249098165539344</v>
      </c>
      <c r="J5">
        <v>3</v>
      </c>
      <c r="K5">
        <v>351</v>
      </c>
      <c r="L5">
        <v>351</v>
      </c>
      <c r="M5">
        <v>357</v>
      </c>
      <c r="N5">
        <v>352</v>
      </c>
      <c r="O5">
        <v>357</v>
      </c>
      <c r="P5">
        <f t="shared" si="1"/>
        <v>353.6</v>
      </c>
      <c r="Q5" s="35" t="s">
        <v>174</v>
      </c>
      <c r="R5">
        <f>B5</f>
        <v>3.1249098165539344</v>
      </c>
      <c r="S5">
        <v>48</v>
      </c>
      <c r="T5">
        <v>355</v>
      </c>
      <c r="U5">
        <v>355</v>
      </c>
      <c r="V5">
        <v>262</v>
      </c>
      <c r="W5">
        <v>252</v>
      </c>
      <c r="X5">
        <v>364</v>
      </c>
      <c r="Y5">
        <f t="shared" si="0"/>
        <v>317.60000000000002</v>
      </c>
      <c r="Z5">
        <f t="shared" ref="Z5:Z42" si="4">$R$4*Y5+(1-$R$4)*Z4</f>
        <v>344.18039333830495</v>
      </c>
      <c r="AA5">
        <f t="shared" si="2"/>
        <v>355.18725391628527</v>
      </c>
      <c r="AB5">
        <f t="shared" si="3"/>
        <v>344.81274608371473</v>
      </c>
    </row>
    <row r="6" spans="1:28">
      <c r="J6">
        <v>4</v>
      </c>
      <c r="K6">
        <v>353</v>
      </c>
      <c r="L6">
        <v>357</v>
      </c>
      <c r="M6">
        <v>362</v>
      </c>
      <c r="N6">
        <v>355</v>
      </c>
      <c r="O6">
        <v>361</v>
      </c>
      <c r="P6">
        <f t="shared" si="1"/>
        <v>357.6</v>
      </c>
      <c r="Q6" s="35" t="s">
        <v>137</v>
      </c>
      <c r="R6" s="35">
        <v>350</v>
      </c>
      <c r="S6">
        <v>49</v>
      </c>
      <c r="T6">
        <v>356</v>
      </c>
      <c r="U6">
        <v>355</v>
      </c>
      <c r="V6">
        <v>364</v>
      </c>
      <c r="W6">
        <v>356</v>
      </c>
      <c r="X6">
        <v>364</v>
      </c>
      <c r="Y6">
        <f t="shared" si="0"/>
        <v>359</v>
      </c>
      <c r="Z6">
        <f t="shared" si="4"/>
        <v>347.62493258408227</v>
      </c>
      <c r="AA6">
        <f t="shared" si="2"/>
        <v>355.45431251558244</v>
      </c>
      <c r="AB6">
        <f t="shared" si="3"/>
        <v>344.54568748441756</v>
      </c>
    </row>
    <row r="7" spans="1:28">
      <c r="A7" t="s">
        <v>164</v>
      </c>
      <c r="B7" s="6" t="s">
        <v>159</v>
      </c>
      <c r="C7" s="37" t="s">
        <v>176</v>
      </c>
      <c r="D7" t="s">
        <v>174</v>
      </c>
      <c r="E7" t="s">
        <v>175</v>
      </c>
      <c r="F7" t="s">
        <v>177</v>
      </c>
      <c r="G7" s="6" t="s">
        <v>178</v>
      </c>
      <c r="H7" s="6" t="s">
        <v>179</v>
      </c>
      <c r="I7" t="s">
        <v>33</v>
      </c>
      <c r="J7">
        <v>5</v>
      </c>
      <c r="K7">
        <v>350</v>
      </c>
      <c r="L7">
        <v>353</v>
      </c>
      <c r="M7">
        <v>356</v>
      </c>
      <c r="N7">
        <v>353</v>
      </c>
      <c r="O7">
        <v>357</v>
      </c>
      <c r="P7">
        <f t="shared" si="1"/>
        <v>353.8</v>
      </c>
      <c r="S7">
        <v>50</v>
      </c>
      <c r="T7">
        <v>351</v>
      </c>
      <c r="U7">
        <v>350</v>
      </c>
      <c r="V7">
        <v>359</v>
      </c>
      <c r="W7">
        <v>351</v>
      </c>
      <c r="X7">
        <v>359</v>
      </c>
      <c r="Y7">
        <f t="shared" si="0"/>
        <v>354</v>
      </c>
      <c r="Z7">
        <f t="shared" si="4"/>
        <v>349.10669727662054</v>
      </c>
      <c r="AA7">
        <f t="shared" si="2"/>
        <v>355.6057003924584</v>
      </c>
      <c r="AB7">
        <f t="shared" si="3"/>
        <v>344.3942996075416</v>
      </c>
    </row>
    <row r="8" spans="1:28">
      <c r="A8" t="s">
        <v>165</v>
      </c>
      <c r="B8">
        <v>0.5</v>
      </c>
      <c r="C8">
        <f>$B$4</f>
        <v>0.23243121929008978</v>
      </c>
      <c r="D8">
        <f>$B$5</f>
        <v>3.1249098165539344</v>
      </c>
      <c r="E8">
        <f>D8*(C8/(2*B8^2))^(1/2)</f>
        <v>2.1305891761285674</v>
      </c>
      <c r="F8">
        <f>D8+1.166*(B8*C8)^0.5-(2*B8^2/C8)^0.5</f>
        <v>2.0557158922452916</v>
      </c>
      <c r="G8">
        <f>_xlfn.NORM.DIST(F8,0,1,0)</f>
        <v>4.8222843048672359E-2</v>
      </c>
      <c r="H8">
        <f>_xlfn.NORM.DIST(F8,0,1,1)</f>
        <v>0.98009504541559711</v>
      </c>
      <c r="I8">
        <f>IF(E8&lt;1,-(1/C8)*LN(1-E8)-E8/(4*(1-E8)*B8^2)+3/4,1/(C8*F8)*G8^-1*H8)</f>
        <v>42.536115711179747</v>
      </c>
      <c r="J8">
        <v>6</v>
      </c>
      <c r="K8">
        <v>351</v>
      </c>
      <c r="L8">
        <v>351</v>
      </c>
      <c r="M8">
        <v>353</v>
      </c>
      <c r="N8">
        <v>351</v>
      </c>
      <c r="O8">
        <v>356</v>
      </c>
      <c r="P8">
        <f t="shared" si="1"/>
        <v>352.4</v>
      </c>
      <c r="S8">
        <v>51</v>
      </c>
      <c r="T8">
        <v>352</v>
      </c>
      <c r="U8">
        <v>351</v>
      </c>
      <c r="V8">
        <v>360</v>
      </c>
      <c r="W8">
        <v>351</v>
      </c>
      <c r="X8">
        <v>360</v>
      </c>
      <c r="Y8">
        <f t="shared" si="0"/>
        <v>354.8</v>
      </c>
      <c r="Z8">
        <f t="shared" si="4"/>
        <v>350.4299985704032</v>
      </c>
      <c r="AA8">
        <f t="shared" si="2"/>
        <v>355.69300808961503</v>
      </c>
      <c r="AB8">
        <f t="shared" si="3"/>
        <v>344.30699191038497</v>
      </c>
    </row>
    <row r="9" spans="1:28">
      <c r="A9" t="s">
        <v>166</v>
      </c>
      <c r="B9">
        <v>1</v>
      </c>
      <c r="C9">
        <f t="shared" ref="C9:C11" si="5">$B$4</f>
        <v>0.23243121929008978</v>
      </c>
      <c r="D9">
        <f t="shared" ref="D9:D11" si="6">$B$5</f>
        <v>3.1249098165539344</v>
      </c>
      <c r="E9">
        <f t="shared" ref="E9:E11" si="7">D9*(C9/(2*B9^2))^(1/2)</f>
        <v>1.0652945880642837</v>
      </c>
      <c r="F9">
        <f t="shared" ref="F9:F11" si="8">D9+1.166*(B9*C9)^0.5-(2*B9^2/C9)^0.5</f>
        <v>0.75367526364972015</v>
      </c>
      <c r="G9">
        <f t="shared" ref="G9:G11" si="9">_xlfn.NORM.DIST(F9,0,1,0)</f>
        <v>0.30030647732146876</v>
      </c>
      <c r="H9">
        <f t="shared" ref="H9:H11" si="10">_xlfn.NORM.DIST(F9,0,1,1)</f>
        <v>0.77447788063290701</v>
      </c>
      <c r="I9">
        <f t="shared" ref="I9:I11" si="11">IF(E9&lt;1,-(1/C9)*LN(1-E9)-E9/(4*(1-E9)*B9^2)+3/4,1/(C9*F9)*G9^-1*H9)</f>
        <v>14.721958768173613</v>
      </c>
      <c r="J9">
        <v>7</v>
      </c>
      <c r="K9">
        <v>351</v>
      </c>
      <c r="L9">
        <v>352</v>
      </c>
      <c r="M9">
        <v>360</v>
      </c>
      <c r="N9">
        <v>353</v>
      </c>
      <c r="O9">
        <v>362</v>
      </c>
      <c r="P9">
        <f t="shared" si="1"/>
        <v>355.6</v>
      </c>
      <c r="S9">
        <v>52</v>
      </c>
      <c r="T9">
        <v>355</v>
      </c>
      <c r="U9">
        <v>352</v>
      </c>
      <c r="V9">
        <v>362</v>
      </c>
      <c r="W9">
        <v>354</v>
      </c>
      <c r="X9">
        <v>362</v>
      </c>
      <c r="Y9">
        <f t="shared" si="0"/>
        <v>357</v>
      </c>
      <c r="Z9">
        <f t="shared" si="4"/>
        <v>351.95707201342196</v>
      </c>
      <c r="AA9">
        <f t="shared" si="2"/>
        <v>355.74382522154445</v>
      </c>
      <c r="AB9">
        <f t="shared" si="3"/>
        <v>344.25617477845555</v>
      </c>
    </row>
    <row r="10" spans="1:28">
      <c r="A10" t="s">
        <v>167</v>
      </c>
      <c r="B10">
        <v>1.5</v>
      </c>
      <c r="C10">
        <f t="shared" si="5"/>
        <v>0.23243121929008978</v>
      </c>
      <c r="D10">
        <f t="shared" si="6"/>
        <v>3.1249098165539344</v>
      </c>
      <c r="E10">
        <f t="shared" si="7"/>
        <v>0.71019639204285578</v>
      </c>
      <c r="F10">
        <f t="shared" si="8"/>
        <v>-0.58667439087168161</v>
      </c>
      <c r="G10">
        <f t="shared" si="9"/>
        <v>0.3358697128281809</v>
      </c>
      <c r="H10">
        <f t="shared" si="10"/>
        <v>0.27871120515544678</v>
      </c>
      <c r="I10">
        <f t="shared" si="11"/>
        <v>5.806390606293089</v>
      </c>
      <c r="J10">
        <v>8</v>
      </c>
      <c r="K10">
        <v>352</v>
      </c>
      <c r="L10">
        <v>350</v>
      </c>
      <c r="M10">
        <v>357</v>
      </c>
      <c r="N10">
        <v>350</v>
      </c>
      <c r="O10">
        <v>357</v>
      </c>
      <c r="P10">
        <f t="shared" si="1"/>
        <v>353.2</v>
      </c>
      <c r="S10">
        <v>53</v>
      </c>
      <c r="T10">
        <v>349</v>
      </c>
      <c r="U10">
        <v>347</v>
      </c>
      <c r="V10">
        <v>357</v>
      </c>
      <c r="W10">
        <v>348</v>
      </c>
      <c r="X10">
        <v>358</v>
      </c>
      <c r="Y10">
        <f t="shared" si="0"/>
        <v>351.8</v>
      </c>
      <c r="Z10">
        <f t="shared" si="4"/>
        <v>351.92056357382592</v>
      </c>
      <c r="AA10">
        <f t="shared" si="2"/>
        <v>355.77355535294885</v>
      </c>
      <c r="AB10">
        <f t="shared" si="3"/>
        <v>344.22644464705115</v>
      </c>
    </row>
    <row r="11" spans="1:28">
      <c r="A11" t="s">
        <v>168</v>
      </c>
      <c r="B11">
        <v>2</v>
      </c>
      <c r="C11">
        <f t="shared" si="5"/>
        <v>0.23243121929008978</v>
      </c>
      <c r="D11">
        <f t="shared" si="6"/>
        <v>3.1249098165539344</v>
      </c>
      <c r="E11">
        <f t="shared" si="7"/>
        <v>0.53264729403214184</v>
      </c>
      <c r="F11">
        <f t="shared" si="8"/>
        <v>-1.9468542564109463</v>
      </c>
      <c r="G11">
        <f t="shared" si="9"/>
        <v>5.9961098758501037E-2</v>
      </c>
      <c r="H11">
        <f t="shared" si="10"/>
        <v>2.5776105041290735E-2</v>
      </c>
      <c r="I11">
        <f t="shared" si="11"/>
        <v>3.9514396130233456</v>
      </c>
      <c r="J11">
        <v>9</v>
      </c>
      <c r="K11">
        <v>353</v>
      </c>
      <c r="L11">
        <v>353</v>
      </c>
      <c r="M11">
        <v>359</v>
      </c>
      <c r="N11">
        <v>352</v>
      </c>
      <c r="O11">
        <v>358</v>
      </c>
      <c r="P11">
        <f t="shared" si="1"/>
        <v>355</v>
      </c>
      <c r="S11">
        <v>54</v>
      </c>
      <c r="T11">
        <v>350</v>
      </c>
      <c r="U11">
        <v>349</v>
      </c>
      <c r="V11">
        <v>359</v>
      </c>
      <c r="W11">
        <v>350</v>
      </c>
      <c r="X11">
        <v>359</v>
      </c>
      <c r="Y11">
        <f t="shared" si="0"/>
        <v>353.4</v>
      </c>
      <c r="Z11">
        <f t="shared" si="4"/>
        <v>352.26443078622373</v>
      </c>
      <c r="AA11">
        <f t="shared" si="2"/>
        <v>355.79099976036076</v>
      </c>
      <c r="AB11">
        <f t="shared" si="3"/>
        <v>344.20900023963924</v>
      </c>
    </row>
    <row r="12" spans="1:28">
      <c r="J12">
        <v>10</v>
      </c>
      <c r="K12">
        <v>353</v>
      </c>
      <c r="L12">
        <v>353</v>
      </c>
      <c r="M12">
        <v>355</v>
      </c>
      <c r="N12">
        <v>351</v>
      </c>
      <c r="O12">
        <v>360</v>
      </c>
      <c r="P12">
        <f t="shared" si="1"/>
        <v>354.4</v>
      </c>
      <c r="S12">
        <v>55</v>
      </c>
      <c r="T12">
        <v>349</v>
      </c>
      <c r="U12">
        <v>348</v>
      </c>
      <c r="V12">
        <v>357</v>
      </c>
      <c r="W12">
        <v>349</v>
      </c>
      <c r="X12">
        <v>358</v>
      </c>
      <c r="Y12">
        <f t="shared" si="0"/>
        <v>352.2</v>
      </c>
      <c r="Z12">
        <f t="shared" si="4"/>
        <v>352.24945506002189</v>
      </c>
      <c r="AA12">
        <f t="shared" si="2"/>
        <v>355.80125278313545</v>
      </c>
      <c r="AB12">
        <f t="shared" si="3"/>
        <v>344.19874721686455</v>
      </c>
    </row>
    <row r="13" spans="1:28">
      <c r="J13">
        <v>11</v>
      </c>
      <c r="K13">
        <v>353</v>
      </c>
      <c r="L13">
        <v>353</v>
      </c>
      <c r="M13">
        <v>354</v>
      </c>
      <c r="N13">
        <v>351</v>
      </c>
      <c r="O13">
        <v>359</v>
      </c>
      <c r="P13">
        <f t="shared" si="1"/>
        <v>354</v>
      </c>
      <c r="S13">
        <v>56</v>
      </c>
      <c r="T13">
        <v>348</v>
      </c>
      <c r="U13">
        <v>347</v>
      </c>
      <c r="V13">
        <v>348</v>
      </c>
      <c r="W13">
        <v>349</v>
      </c>
      <c r="X13">
        <v>351</v>
      </c>
      <c r="Y13">
        <f t="shared" si="0"/>
        <v>348.6</v>
      </c>
      <c r="Z13">
        <f t="shared" si="4"/>
        <v>351.40120777067659</v>
      </c>
      <c r="AA13">
        <f t="shared" si="2"/>
        <v>355.80728499854229</v>
      </c>
      <c r="AB13">
        <f t="shared" si="3"/>
        <v>344.19271500145771</v>
      </c>
    </row>
    <row r="14" spans="1:28">
      <c r="J14">
        <v>12</v>
      </c>
      <c r="K14">
        <v>349</v>
      </c>
      <c r="L14">
        <v>350</v>
      </c>
      <c r="M14">
        <v>359</v>
      </c>
      <c r="N14">
        <v>352</v>
      </c>
      <c r="O14">
        <v>356</v>
      </c>
      <c r="P14">
        <f t="shared" si="1"/>
        <v>353.2</v>
      </c>
      <c r="S14">
        <v>57</v>
      </c>
      <c r="T14">
        <v>348</v>
      </c>
      <c r="U14">
        <v>347</v>
      </c>
      <c r="V14">
        <v>349</v>
      </c>
      <c r="W14">
        <v>350</v>
      </c>
      <c r="X14">
        <v>351</v>
      </c>
      <c r="Y14">
        <f t="shared" si="0"/>
        <v>349</v>
      </c>
      <c r="Z14">
        <f t="shared" si="4"/>
        <v>350.84309212076943</v>
      </c>
      <c r="AA14">
        <f t="shared" si="2"/>
        <v>355.81083601814407</v>
      </c>
      <c r="AB14">
        <f t="shared" si="3"/>
        <v>344.18916398185593</v>
      </c>
    </row>
    <row r="15" spans="1:28">
      <c r="J15">
        <v>13</v>
      </c>
      <c r="K15">
        <v>350</v>
      </c>
      <c r="L15">
        <v>351</v>
      </c>
      <c r="M15">
        <v>361</v>
      </c>
      <c r="N15">
        <v>350</v>
      </c>
      <c r="O15">
        <v>359</v>
      </c>
      <c r="P15">
        <f t="shared" si="1"/>
        <v>354.2</v>
      </c>
      <c r="S15">
        <v>58</v>
      </c>
      <c r="T15">
        <v>345</v>
      </c>
      <c r="U15">
        <v>346</v>
      </c>
      <c r="V15">
        <v>355</v>
      </c>
      <c r="W15">
        <v>346</v>
      </c>
      <c r="X15">
        <v>355</v>
      </c>
      <c r="Y15">
        <f t="shared" si="0"/>
        <v>349.4</v>
      </c>
      <c r="Z15">
        <f t="shared" si="4"/>
        <v>350.50767245959105</v>
      </c>
      <c r="AA15">
        <f t="shared" si="2"/>
        <v>355.81292712785267</v>
      </c>
      <c r="AB15">
        <f t="shared" si="3"/>
        <v>344.18707287214733</v>
      </c>
    </row>
    <row r="16" spans="1:28">
      <c r="J16">
        <v>14</v>
      </c>
      <c r="K16">
        <v>349</v>
      </c>
      <c r="L16">
        <v>351</v>
      </c>
      <c r="M16">
        <v>360</v>
      </c>
      <c r="N16">
        <v>351</v>
      </c>
      <c r="O16">
        <v>358</v>
      </c>
      <c r="P16">
        <f t="shared" si="1"/>
        <v>353.8</v>
      </c>
      <c r="S16">
        <v>59</v>
      </c>
      <c r="T16">
        <v>343</v>
      </c>
      <c r="U16">
        <v>346</v>
      </c>
      <c r="V16">
        <v>356</v>
      </c>
      <c r="W16">
        <v>346</v>
      </c>
      <c r="X16">
        <v>356</v>
      </c>
      <c r="Y16">
        <f t="shared" si="0"/>
        <v>349.4</v>
      </c>
      <c r="Z16">
        <f t="shared" si="4"/>
        <v>350.25021479923424</v>
      </c>
      <c r="AA16">
        <f t="shared" si="2"/>
        <v>355.81415877780336</v>
      </c>
      <c r="AB16">
        <f t="shared" si="3"/>
        <v>344.18584122219664</v>
      </c>
    </row>
    <row r="17" spans="10:28">
      <c r="J17">
        <v>15</v>
      </c>
      <c r="K17">
        <v>351</v>
      </c>
      <c r="L17">
        <v>351</v>
      </c>
      <c r="M17">
        <v>360</v>
      </c>
      <c r="N17">
        <v>351</v>
      </c>
      <c r="O17">
        <v>360</v>
      </c>
      <c r="P17">
        <f t="shared" si="1"/>
        <v>354.6</v>
      </c>
      <c r="S17">
        <v>60</v>
      </c>
      <c r="T17">
        <v>348</v>
      </c>
      <c r="U17">
        <v>350</v>
      </c>
      <c r="V17">
        <v>359</v>
      </c>
      <c r="W17">
        <v>349</v>
      </c>
      <c r="X17">
        <v>357</v>
      </c>
      <c r="Y17">
        <f t="shared" si="0"/>
        <v>352.6</v>
      </c>
      <c r="Z17">
        <f t="shared" si="4"/>
        <v>350.79637823851806</v>
      </c>
      <c r="AA17">
        <f t="shared" si="2"/>
        <v>355.81488429682059</v>
      </c>
      <c r="AB17">
        <f t="shared" si="3"/>
        <v>344.18511570317941</v>
      </c>
    </row>
    <row r="18" spans="10:28">
      <c r="J18">
        <v>16</v>
      </c>
      <c r="K18">
        <v>349</v>
      </c>
      <c r="L18">
        <v>350</v>
      </c>
      <c r="M18">
        <v>359</v>
      </c>
      <c r="N18">
        <v>351</v>
      </c>
      <c r="O18">
        <v>357</v>
      </c>
      <c r="P18">
        <f t="shared" si="1"/>
        <v>353.2</v>
      </c>
      <c r="S18">
        <v>61</v>
      </c>
      <c r="T18">
        <v>350</v>
      </c>
      <c r="U18">
        <v>351</v>
      </c>
      <c r="V18">
        <v>360</v>
      </c>
      <c r="W18">
        <v>350</v>
      </c>
      <c r="X18">
        <v>355</v>
      </c>
      <c r="Y18">
        <f t="shared" si="0"/>
        <v>353.2</v>
      </c>
      <c r="Z18">
        <f t="shared" si="4"/>
        <v>351.35505497525151</v>
      </c>
      <c r="AA18">
        <f t="shared" si="2"/>
        <v>355.81531170256102</v>
      </c>
      <c r="AB18">
        <f t="shared" si="3"/>
        <v>344.18468829743898</v>
      </c>
    </row>
    <row r="19" spans="10:28">
      <c r="J19">
        <v>17</v>
      </c>
      <c r="K19">
        <v>369</v>
      </c>
      <c r="L19">
        <v>366</v>
      </c>
      <c r="M19">
        <v>374</v>
      </c>
      <c r="N19">
        <v>369</v>
      </c>
      <c r="O19">
        <v>374</v>
      </c>
      <c r="P19">
        <f t="shared" si="1"/>
        <v>370.4</v>
      </c>
      <c r="S19">
        <v>62</v>
      </c>
      <c r="T19">
        <v>350</v>
      </c>
      <c r="U19">
        <v>351</v>
      </c>
      <c r="V19">
        <v>359</v>
      </c>
      <c r="W19">
        <v>351</v>
      </c>
      <c r="X19">
        <v>354</v>
      </c>
      <c r="Y19">
        <f t="shared" si="0"/>
        <v>353</v>
      </c>
      <c r="Z19">
        <f t="shared" si="4"/>
        <v>351.73739155301894</v>
      </c>
      <c r="AA19">
        <f t="shared" si="2"/>
        <v>355.81556349900558</v>
      </c>
      <c r="AB19">
        <f t="shared" si="3"/>
        <v>344.18443650099442</v>
      </c>
    </row>
    <row r="20" spans="10:28">
      <c r="J20">
        <v>18</v>
      </c>
      <c r="K20">
        <v>356</v>
      </c>
      <c r="L20">
        <v>351</v>
      </c>
      <c r="M20">
        <v>361</v>
      </c>
      <c r="N20">
        <v>357</v>
      </c>
      <c r="O20">
        <v>361</v>
      </c>
      <c r="P20">
        <f t="shared" si="1"/>
        <v>357.2</v>
      </c>
      <c r="S20">
        <v>63</v>
      </c>
      <c r="T20">
        <v>348</v>
      </c>
      <c r="U20">
        <v>347</v>
      </c>
      <c r="V20">
        <v>356</v>
      </c>
      <c r="W20">
        <v>344</v>
      </c>
      <c r="X20">
        <v>355</v>
      </c>
      <c r="Y20">
        <f t="shared" si="0"/>
        <v>350</v>
      </c>
      <c r="Z20">
        <f t="shared" si="4"/>
        <v>351.33356751596642</v>
      </c>
      <c r="AA20">
        <f t="shared" si="2"/>
        <v>355.81571184275697</v>
      </c>
      <c r="AB20">
        <f t="shared" si="3"/>
        <v>344.18428815724303</v>
      </c>
    </row>
    <row r="21" spans="10:28">
      <c r="J21">
        <v>19</v>
      </c>
      <c r="K21">
        <v>355</v>
      </c>
      <c r="L21">
        <v>354</v>
      </c>
      <c r="M21">
        <v>366</v>
      </c>
      <c r="N21">
        <v>356</v>
      </c>
      <c r="O21">
        <v>366</v>
      </c>
      <c r="P21">
        <f t="shared" si="1"/>
        <v>359.4</v>
      </c>
      <c r="S21">
        <v>64</v>
      </c>
      <c r="T21">
        <v>347</v>
      </c>
      <c r="U21">
        <v>349</v>
      </c>
      <c r="V21">
        <v>358</v>
      </c>
      <c r="W21">
        <v>348</v>
      </c>
      <c r="X21">
        <v>357</v>
      </c>
      <c r="Y21">
        <f t="shared" si="0"/>
        <v>351.8</v>
      </c>
      <c r="Z21">
        <f t="shared" si="4"/>
        <v>351.44198098694687</v>
      </c>
      <c r="AA21">
        <f t="shared" si="2"/>
        <v>355.81579923946208</v>
      </c>
      <c r="AB21">
        <f t="shared" si="3"/>
        <v>344.18420076053792</v>
      </c>
    </row>
    <row r="22" spans="10:28">
      <c r="J22">
        <v>20</v>
      </c>
      <c r="K22">
        <v>353</v>
      </c>
      <c r="L22">
        <v>352</v>
      </c>
      <c r="M22">
        <v>363</v>
      </c>
      <c r="N22">
        <v>353</v>
      </c>
      <c r="O22">
        <v>362</v>
      </c>
      <c r="P22">
        <f t="shared" si="1"/>
        <v>356.6</v>
      </c>
      <c r="S22">
        <v>65</v>
      </c>
      <c r="T22">
        <v>349</v>
      </c>
      <c r="U22">
        <v>348</v>
      </c>
      <c r="V22">
        <v>359</v>
      </c>
      <c r="W22">
        <v>349</v>
      </c>
      <c r="X22">
        <v>357</v>
      </c>
      <c r="Y22">
        <f t="shared" si="0"/>
        <v>352.4</v>
      </c>
      <c r="Z22">
        <f t="shared" si="4"/>
        <v>351.66465451425387</v>
      </c>
      <c r="AA22">
        <f t="shared" si="2"/>
        <v>355.81585072965026</v>
      </c>
      <c r="AB22">
        <f t="shared" si="3"/>
        <v>344.18414927034974</v>
      </c>
    </row>
    <row r="23" spans="10:28">
      <c r="J23">
        <v>21</v>
      </c>
      <c r="K23">
        <v>354</v>
      </c>
      <c r="L23">
        <v>353</v>
      </c>
      <c r="M23">
        <v>364</v>
      </c>
      <c r="N23">
        <v>354</v>
      </c>
      <c r="O23">
        <v>364</v>
      </c>
      <c r="P23">
        <f t="shared" si="1"/>
        <v>357.8</v>
      </c>
      <c r="S23">
        <v>66</v>
      </c>
      <c r="T23">
        <v>347</v>
      </c>
      <c r="U23">
        <v>347</v>
      </c>
      <c r="V23">
        <v>343</v>
      </c>
      <c r="W23">
        <v>341</v>
      </c>
      <c r="X23">
        <v>343</v>
      </c>
      <c r="Y23">
        <f t="shared" ref="Y23:Y42" si="12">AVERAGE(T23:X23)</f>
        <v>344.2</v>
      </c>
      <c r="Z23">
        <f t="shared" si="4"/>
        <v>349.92963576392651</v>
      </c>
      <c r="AA23">
        <f t="shared" si="2"/>
        <v>355.81588106549054</v>
      </c>
      <c r="AB23">
        <f t="shared" si="3"/>
        <v>344.18411893450946</v>
      </c>
    </row>
    <row r="24" spans="10:28">
      <c r="J24">
        <v>22</v>
      </c>
      <c r="K24">
        <v>354</v>
      </c>
      <c r="L24">
        <v>354</v>
      </c>
      <c r="M24">
        <v>360</v>
      </c>
      <c r="N24">
        <v>356</v>
      </c>
      <c r="O24">
        <v>360</v>
      </c>
      <c r="P24">
        <f t="shared" si="1"/>
        <v>356.8</v>
      </c>
      <c r="S24">
        <v>67</v>
      </c>
      <c r="T24">
        <v>348</v>
      </c>
      <c r="U24">
        <v>347</v>
      </c>
      <c r="V24">
        <v>356</v>
      </c>
      <c r="W24">
        <v>346</v>
      </c>
      <c r="X24">
        <v>355</v>
      </c>
      <c r="Y24">
        <f t="shared" si="12"/>
        <v>350.4</v>
      </c>
      <c r="Z24">
        <f t="shared" si="4"/>
        <v>350.0389630968275</v>
      </c>
      <c r="AA24">
        <f t="shared" si="2"/>
        <v>355.81589893813572</v>
      </c>
      <c r="AB24">
        <f t="shared" si="3"/>
        <v>344.18410106186428</v>
      </c>
    </row>
    <row r="25" spans="10:28">
      <c r="J25">
        <v>23</v>
      </c>
      <c r="K25">
        <v>358</v>
      </c>
      <c r="L25">
        <v>356</v>
      </c>
      <c r="M25">
        <v>366</v>
      </c>
      <c r="N25">
        <v>357</v>
      </c>
      <c r="O25">
        <v>366</v>
      </c>
      <c r="P25">
        <f t="shared" si="1"/>
        <v>360.6</v>
      </c>
      <c r="S25">
        <v>68</v>
      </c>
      <c r="T25">
        <v>345</v>
      </c>
      <c r="U25">
        <v>346</v>
      </c>
      <c r="V25">
        <v>355</v>
      </c>
      <c r="W25">
        <v>347</v>
      </c>
      <c r="X25">
        <v>353</v>
      </c>
      <c r="Y25">
        <f t="shared" si="12"/>
        <v>349.2</v>
      </c>
      <c r="Z25">
        <f t="shared" si="4"/>
        <v>349.8439618812925</v>
      </c>
      <c r="AA25">
        <f t="shared" si="2"/>
        <v>355.81590946799042</v>
      </c>
      <c r="AB25">
        <f t="shared" si="3"/>
        <v>344.18409053200958</v>
      </c>
    </row>
    <row r="26" spans="10:28">
      <c r="J26">
        <v>24</v>
      </c>
      <c r="K26">
        <v>358</v>
      </c>
      <c r="L26">
        <v>355</v>
      </c>
      <c r="M26">
        <v>365</v>
      </c>
      <c r="N26">
        <v>357</v>
      </c>
      <c r="O26">
        <v>366</v>
      </c>
      <c r="P26">
        <f t="shared" si="1"/>
        <v>360.2</v>
      </c>
      <c r="S26">
        <v>69</v>
      </c>
      <c r="T26">
        <v>345</v>
      </c>
      <c r="U26">
        <v>345</v>
      </c>
      <c r="V26">
        <v>353</v>
      </c>
      <c r="W26">
        <v>345</v>
      </c>
      <c r="X26">
        <v>353</v>
      </c>
      <c r="Y26">
        <f t="shared" si="12"/>
        <v>348.2</v>
      </c>
      <c r="Z26">
        <f t="shared" si="4"/>
        <v>349.46185381675724</v>
      </c>
      <c r="AA26">
        <f t="shared" si="2"/>
        <v>355.81591567176997</v>
      </c>
      <c r="AB26">
        <f t="shared" si="3"/>
        <v>344.18408432823003</v>
      </c>
    </row>
    <row r="27" spans="10:28">
      <c r="J27">
        <v>25</v>
      </c>
      <c r="K27">
        <v>356</v>
      </c>
      <c r="L27">
        <v>353</v>
      </c>
      <c r="M27">
        <v>365</v>
      </c>
      <c r="N27">
        <v>356</v>
      </c>
      <c r="O27">
        <v>364</v>
      </c>
      <c r="P27">
        <f t="shared" si="1"/>
        <v>358.8</v>
      </c>
      <c r="S27">
        <v>70</v>
      </c>
      <c r="T27">
        <v>347</v>
      </c>
      <c r="U27">
        <v>345</v>
      </c>
      <c r="V27">
        <v>353</v>
      </c>
      <c r="W27">
        <v>345</v>
      </c>
      <c r="X27">
        <v>353</v>
      </c>
      <c r="Y27">
        <f t="shared" si="12"/>
        <v>348.6</v>
      </c>
      <c r="Z27">
        <f t="shared" si="4"/>
        <v>349.26153208327855</v>
      </c>
      <c r="AA27">
        <f t="shared" si="2"/>
        <v>355.81591932679703</v>
      </c>
      <c r="AB27">
        <f t="shared" si="3"/>
        <v>344.18408067320297</v>
      </c>
    </row>
    <row r="28" spans="10:28">
      <c r="J28">
        <v>26</v>
      </c>
      <c r="K28">
        <v>333</v>
      </c>
      <c r="L28">
        <v>346</v>
      </c>
      <c r="M28">
        <v>338</v>
      </c>
      <c r="N28">
        <v>335</v>
      </c>
      <c r="O28">
        <v>338</v>
      </c>
      <c r="P28">
        <f t="shared" si="1"/>
        <v>338</v>
      </c>
      <c r="S28">
        <v>71</v>
      </c>
      <c r="T28">
        <v>349</v>
      </c>
      <c r="U28">
        <v>346</v>
      </c>
      <c r="V28">
        <v>356</v>
      </c>
      <c r="W28">
        <v>347</v>
      </c>
      <c r="X28">
        <v>356</v>
      </c>
      <c r="Y28">
        <f t="shared" si="12"/>
        <v>350.8</v>
      </c>
      <c r="Z28">
        <f t="shared" si="4"/>
        <v>349.61912005700083</v>
      </c>
      <c r="AA28">
        <f t="shared" si="2"/>
        <v>355.81592148019837</v>
      </c>
      <c r="AB28">
        <f t="shared" si="3"/>
        <v>344.18407851980163</v>
      </c>
    </row>
    <row r="29" spans="10:28">
      <c r="J29">
        <v>27</v>
      </c>
      <c r="K29">
        <v>351</v>
      </c>
      <c r="L29">
        <v>349</v>
      </c>
      <c r="M29">
        <v>361</v>
      </c>
      <c r="N29">
        <v>351</v>
      </c>
      <c r="O29">
        <v>361</v>
      </c>
      <c r="P29">
        <f t="shared" si="1"/>
        <v>354.6</v>
      </c>
      <c r="S29">
        <v>72</v>
      </c>
      <c r="T29">
        <v>342</v>
      </c>
      <c r="U29">
        <v>342</v>
      </c>
      <c r="V29">
        <v>347</v>
      </c>
      <c r="W29">
        <v>340</v>
      </c>
      <c r="X29">
        <v>348</v>
      </c>
      <c r="Y29">
        <f t="shared" si="12"/>
        <v>343.8</v>
      </c>
      <c r="Z29">
        <f t="shared" si="4"/>
        <v>348.26657488695673</v>
      </c>
      <c r="AA29">
        <f t="shared" si="2"/>
        <v>355.81592274889988</v>
      </c>
      <c r="AB29">
        <f t="shared" si="3"/>
        <v>344.18407725110012</v>
      </c>
    </row>
    <row r="30" spans="10:28">
      <c r="J30">
        <v>28</v>
      </c>
      <c r="K30">
        <v>350</v>
      </c>
      <c r="L30">
        <v>349</v>
      </c>
      <c r="M30">
        <v>348</v>
      </c>
      <c r="N30">
        <v>349</v>
      </c>
      <c r="O30">
        <v>350</v>
      </c>
      <c r="P30">
        <f t="shared" si="1"/>
        <v>349.2</v>
      </c>
      <c r="S30">
        <v>73</v>
      </c>
      <c r="T30">
        <v>347</v>
      </c>
      <c r="U30">
        <v>345</v>
      </c>
      <c r="V30">
        <v>355</v>
      </c>
      <c r="W30">
        <v>345</v>
      </c>
      <c r="X30">
        <v>355</v>
      </c>
      <c r="Y30">
        <f t="shared" si="12"/>
        <v>349.4</v>
      </c>
      <c r="Z30">
        <f t="shared" si="4"/>
        <v>348.53001826795537</v>
      </c>
      <c r="AA30">
        <f t="shared" si="2"/>
        <v>355.81592349637026</v>
      </c>
      <c r="AB30">
        <f t="shared" si="3"/>
        <v>344.18407650362974</v>
      </c>
    </row>
    <row r="31" spans="10:28">
      <c r="J31">
        <v>29</v>
      </c>
      <c r="K31">
        <v>352</v>
      </c>
      <c r="L31">
        <v>352</v>
      </c>
      <c r="M31">
        <v>364</v>
      </c>
      <c r="N31">
        <v>354</v>
      </c>
      <c r="O31">
        <v>361</v>
      </c>
      <c r="P31">
        <f t="shared" si="1"/>
        <v>356.6</v>
      </c>
      <c r="S31">
        <v>74</v>
      </c>
      <c r="T31">
        <v>346</v>
      </c>
      <c r="U31">
        <v>344</v>
      </c>
      <c r="V31">
        <v>354</v>
      </c>
      <c r="W31">
        <v>344</v>
      </c>
      <c r="X31">
        <v>353</v>
      </c>
      <c r="Y31">
        <f t="shared" si="12"/>
        <v>348.2</v>
      </c>
      <c r="Z31">
        <f t="shared" si="4"/>
        <v>348.45331171954649</v>
      </c>
      <c r="AA31">
        <f t="shared" si="2"/>
        <v>355.81592393675123</v>
      </c>
      <c r="AB31">
        <f t="shared" si="3"/>
        <v>344.18407606324877</v>
      </c>
    </row>
    <row r="32" spans="10:28">
      <c r="J32">
        <v>30</v>
      </c>
      <c r="K32">
        <v>351</v>
      </c>
      <c r="L32">
        <v>357</v>
      </c>
      <c r="M32">
        <v>363</v>
      </c>
      <c r="N32">
        <v>353</v>
      </c>
      <c r="O32">
        <v>361</v>
      </c>
      <c r="P32">
        <f t="shared" si="1"/>
        <v>357</v>
      </c>
      <c r="S32">
        <v>75</v>
      </c>
      <c r="T32">
        <v>344</v>
      </c>
      <c r="U32">
        <v>342</v>
      </c>
      <c r="V32">
        <v>353</v>
      </c>
      <c r="W32">
        <v>343</v>
      </c>
      <c r="X32">
        <v>352</v>
      </c>
      <c r="Y32">
        <f t="shared" si="12"/>
        <v>346.8</v>
      </c>
      <c r="Z32">
        <f t="shared" si="4"/>
        <v>348.06903046070568</v>
      </c>
      <c r="AA32">
        <f t="shared" si="2"/>
        <v>355.81592419620688</v>
      </c>
      <c r="AB32">
        <f t="shared" si="3"/>
        <v>344.18407580379312</v>
      </c>
    </row>
    <row r="33" spans="10:28">
      <c r="J33">
        <v>31</v>
      </c>
      <c r="K33">
        <v>352</v>
      </c>
      <c r="L33">
        <v>352</v>
      </c>
      <c r="M33">
        <v>364</v>
      </c>
      <c r="N33">
        <v>354</v>
      </c>
      <c r="O33">
        <v>362</v>
      </c>
      <c r="P33">
        <f t="shared" si="1"/>
        <v>356.8</v>
      </c>
      <c r="S33">
        <v>76</v>
      </c>
      <c r="T33">
        <v>347</v>
      </c>
      <c r="U33">
        <v>347</v>
      </c>
      <c r="V33">
        <v>347</v>
      </c>
      <c r="W33">
        <v>357</v>
      </c>
      <c r="X33">
        <v>357</v>
      </c>
      <c r="Y33">
        <f t="shared" si="12"/>
        <v>351</v>
      </c>
      <c r="Z33">
        <f t="shared" si="4"/>
        <v>348.75027928442597</v>
      </c>
      <c r="AA33">
        <f t="shared" si="2"/>
        <v>355.81592434906827</v>
      </c>
      <c r="AB33">
        <f t="shared" si="3"/>
        <v>344.18407565093173</v>
      </c>
    </row>
    <row r="34" spans="10:28">
      <c r="J34">
        <v>32</v>
      </c>
      <c r="K34">
        <v>349</v>
      </c>
      <c r="L34">
        <v>351</v>
      </c>
      <c r="M34">
        <v>363</v>
      </c>
      <c r="N34">
        <v>352</v>
      </c>
      <c r="O34">
        <v>362</v>
      </c>
      <c r="P34">
        <f t="shared" si="1"/>
        <v>355.4</v>
      </c>
      <c r="S34">
        <v>77</v>
      </c>
      <c r="T34">
        <v>345</v>
      </c>
      <c r="U34">
        <v>343</v>
      </c>
      <c r="V34">
        <v>352</v>
      </c>
      <c r="W34">
        <v>343</v>
      </c>
      <c r="X34">
        <v>351</v>
      </c>
      <c r="Y34">
        <f t="shared" si="12"/>
        <v>346.8</v>
      </c>
      <c r="Z34">
        <f t="shared" si="4"/>
        <v>348.29697349239063</v>
      </c>
      <c r="AA34">
        <f t="shared" si="2"/>
        <v>355.81592443912831</v>
      </c>
      <c r="AB34">
        <f t="shared" si="3"/>
        <v>344.18407556087169</v>
      </c>
    </row>
    <row r="35" spans="10:28">
      <c r="J35">
        <v>33</v>
      </c>
      <c r="K35">
        <v>349</v>
      </c>
      <c r="L35">
        <v>351</v>
      </c>
      <c r="M35">
        <v>362</v>
      </c>
      <c r="N35">
        <v>351</v>
      </c>
      <c r="O35">
        <v>361</v>
      </c>
      <c r="P35">
        <f t="shared" si="1"/>
        <v>354.8</v>
      </c>
      <c r="S35">
        <v>78</v>
      </c>
      <c r="T35">
        <v>347</v>
      </c>
      <c r="U35">
        <v>345</v>
      </c>
      <c r="V35">
        <v>356</v>
      </c>
      <c r="W35">
        <v>345</v>
      </c>
      <c r="X35">
        <v>355</v>
      </c>
      <c r="Y35">
        <f t="shared" si="12"/>
        <v>349.6</v>
      </c>
      <c r="Z35">
        <f t="shared" si="4"/>
        <v>348.5998375323216</v>
      </c>
      <c r="AA35">
        <f t="shared" si="2"/>
        <v>355.81592449218829</v>
      </c>
      <c r="AB35">
        <f t="shared" si="3"/>
        <v>344.18407550781171</v>
      </c>
    </row>
    <row r="36" spans="10:28">
      <c r="J36">
        <v>34</v>
      </c>
      <c r="K36">
        <v>347</v>
      </c>
      <c r="L36">
        <v>348</v>
      </c>
      <c r="M36">
        <v>361</v>
      </c>
      <c r="N36">
        <v>349</v>
      </c>
      <c r="O36">
        <v>358</v>
      </c>
      <c r="P36">
        <f t="shared" si="1"/>
        <v>352.6</v>
      </c>
      <c r="S36">
        <v>79</v>
      </c>
      <c r="T36">
        <v>347</v>
      </c>
      <c r="U36">
        <v>346</v>
      </c>
      <c r="V36">
        <v>357</v>
      </c>
      <c r="W36">
        <v>347</v>
      </c>
      <c r="X36">
        <v>356</v>
      </c>
      <c r="Y36">
        <f t="shared" si="12"/>
        <v>350.6</v>
      </c>
      <c r="Z36">
        <f t="shared" si="4"/>
        <v>349.06473773346238</v>
      </c>
      <c r="AA36">
        <f t="shared" si="2"/>
        <v>355.81592452344921</v>
      </c>
      <c r="AB36">
        <f t="shared" si="3"/>
        <v>344.18407547655079</v>
      </c>
    </row>
    <row r="37" spans="10:28">
      <c r="J37">
        <v>35</v>
      </c>
      <c r="K37">
        <v>347</v>
      </c>
      <c r="L37">
        <v>348</v>
      </c>
      <c r="M37">
        <v>360</v>
      </c>
      <c r="N37">
        <v>349</v>
      </c>
      <c r="O37">
        <v>351</v>
      </c>
      <c r="P37">
        <f t="shared" si="1"/>
        <v>351</v>
      </c>
      <c r="S37">
        <v>80</v>
      </c>
      <c r="T37">
        <v>349</v>
      </c>
      <c r="U37">
        <v>346</v>
      </c>
      <c r="V37">
        <v>357</v>
      </c>
      <c r="W37">
        <v>346</v>
      </c>
      <c r="X37">
        <v>357</v>
      </c>
      <c r="Y37">
        <f t="shared" si="12"/>
        <v>351</v>
      </c>
      <c r="Z37">
        <f t="shared" si="4"/>
        <v>349.5145531017198</v>
      </c>
      <c r="AA37">
        <f t="shared" si="2"/>
        <v>355.81592454186693</v>
      </c>
      <c r="AB37">
        <f t="shared" si="3"/>
        <v>344.18407545813307</v>
      </c>
    </row>
    <row r="38" spans="10:28">
      <c r="J38">
        <v>36</v>
      </c>
      <c r="K38">
        <v>352</v>
      </c>
      <c r="L38">
        <v>351</v>
      </c>
      <c r="M38">
        <v>354</v>
      </c>
      <c r="N38">
        <v>349</v>
      </c>
      <c r="O38">
        <v>350</v>
      </c>
      <c r="P38">
        <f t="shared" si="1"/>
        <v>351.2</v>
      </c>
      <c r="S38">
        <v>81</v>
      </c>
      <c r="T38">
        <v>343</v>
      </c>
      <c r="U38">
        <v>347</v>
      </c>
      <c r="V38">
        <v>355</v>
      </c>
      <c r="W38">
        <v>347</v>
      </c>
      <c r="X38">
        <v>355</v>
      </c>
      <c r="Y38">
        <f t="shared" si="12"/>
        <v>349.4</v>
      </c>
      <c r="Z38">
        <f t="shared" si="4"/>
        <v>349.48792738461356</v>
      </c>
      <c r="AA38">
        <f t="shared" si="2"/>
        <v>355.81592455271795</v>
      </c>
      <c r="AB38">
        <f t="shared" si="3"/>
        <v>344.18407544728205</v>
      </c>
    </row>
    <row r="39" spans="10:28">
      <c r="J39">
        <v>37</v>
      </c>
      <c r="K39">
        <v>347</v>
      </c>
      <c r="L39">
        <v>343</v>
      </c>
      <c r="M39">
        <v>353</v>
      </c>
      <c r="N39">
        <v>344</v>
      </c>
      <c r="O39">
        <v>353</v>
      </c>
      <c r="P39">
        <f t="shared" si="1"/>
        <v>348</v>
      </c>
      <c r="S39">
        <v>82</v>
      </c>
      <c r="T39">
        <v>347</v>
      </c>
      <c r="U39">
        <v>348</v>
      </c>
      <c r="V39">
        <v>358</v>
      </c>
      <c r="W39">
        <v>347</v>
      </c>
      <c r="X39">
        <v>357</v>
      </c>
      <c r="Y39">
        <f t="shared" si="12"/>
        <v>351.4</v>
      </c>
      <c r="Z39">
        <f t="shared" si="4"/>
        <v>349.93235275397905</v>
      </c>
      <c r="AA39">
        <f t="shared" si="2"/>
        <v>355.81592455911095</v>
      </c>
      <c r="AB39">
        <f t="shared" si="3"/>
        <v>344.18407544088905</v>
      </c>
    </row>
    <row r="40" spans="10:28">
      <c r="J40">
        <v>38</v>
      </c>
      <c r="K40">
        <v>354</v>
      </c>
      <c r="L40">
        <v>354</v>
      </c>
      <c r="M40">
        <v>362</v>
      </c>
      <c r="N40">
        <v>355</v>
      </c>
      <c r="O40">
        <v>364</v>
      </c>
      <c r="P40">
        <f t="shared" si="1"/>
        <v>357.8</v>
      </c>
      <c r="S40">
        <v>83</v>
      </c>
      <c r="T40">
        <v>344</v>
      </c>
      <c r="U40">
        <v>344</v>
      </c>
      <c r="V40">
        <v>346</v>
      </c>
      <c r="W40">
        <v>344</v>
      </c>
      <c r="X40">
        <v>348</v>
      </c>
      <c r="Y40">
        <f t="shared" si="12"/>
        <v>345.2</v>
      </c>
      <c r="Z40">
        <f t="shared" si="4"/>
        <v>348.83240623326088</v>
      </c>
      <c r="AA40">
        <f t="shared" si="2"/>
        <v>355.81592456287746</v>
      </c>
      <c r="AB40">
        <f t="shared" si="3"/>
        <v>344.18407543712254</v>
      </c>
    </row>
    <row r="41" spans="10:28">
      <c r="J41">
        <v>39</v>
      </c>
      <c r="K41">
        <v>352</v>
      </c>
      <c r="L41">
        <v>350</v>
      </c>
      <c r="M41">
        <v>360</v>
      </c>
      <c r="N41">
        <v>350</v>
      </c>
      <c r="O41">
        <v>361</v>
      </c>
      <c r="P41">
        <f t="shared" si="1"/>
        <v>354.6</v>
      </c>
      <c r="S41">
        <v>84</v>
      </c>
      <c r="T41">
        <v>351</v>
      </c>
      <c r="U41">
        <v>350</v>
      </c>
      <c r="V41">
        <v>359</v>
      </c>
      <c r="W41">
        <v>349</v>
      </c>
      <c r="X41">
        <v>358</v>
      </c>
      <c r="Y41">
        <f t="shared" si="12"/>
        <v>353.4</v>
      </c>
      <c r="Z41">
        <f t="shared" si="4"/>
        <v>349.89405762168587</v>
      </c>
      <c r="AA41">
        <f t="shared" si="2"/>
        <v>355.81592456509657</v>
      </c>
      <c r="AB41">
        <f t="shared" si="3"/>
        <v>344.18407543490343</v>
      </c>
    </row>
    <row r="42" spans="10:28">
      <c r="J42">
        <v>40</v>
      </c>
      <c r="K42">
        <v>350</v>
      </c>
      <c r="L42">
        <v>350</v>
      </c>
      <c r="M42">
        <v>352</v>
      </c>
      <c r="N42">
        <v>358</v>
      </c>
      <c r="O42">
        <v>352</v>
      </c>
      <c r="P42">
        <f t="shared" si="1"/>
        <v>352.4</v>
      </c>
      <c r="S42">
        <v>85</v>
      </c>
      <c r="T42">
        <v>345</v>
      </c>
      <c r="U42">
        <v>345</v>
      </c>
      <c r="V42">
        <v>353</v>
      </c>
      <c r="W42">
        <v>344</v>
      </c>
      <c r="X42">
        <v>353</v>
      </c>
      <c r="Y42">
        <f t="shared" si="12"/>
        <v>348</v>
      </c>
      <c r="Z42">
        <f t="shared" si="4"/>
        <v>349.45381949927173</v>
      </c>
      <c r="AA42">
        <f t="shared" si="2"/>
        <v>355.81592456640396</v>
      </c>
      <c r="AB42">
        <f t="shared" si="3"/>
        <v>344.18407543359604</v>
      </c>
    </row>
    <row r="43" spans="10:28">
      <c r="J43">
        <v>41</v>
      </c>
      <c r="K43">
        <v>351</v>
      </c>
      <c r="L43">
        <v>350</v>
      </c>
      <c r="M43">
        <v>360</v>
      </c>
      <c r="N43">
        <v>352</v>
      </c>
      <c r="O43">
        <v>360</v>
      </c>
      <c r="P43">
        <f t="shared" si="1"/>
        <v>354.6</v>
      </c>
    </row>
    <row r="44" spans="10:28">
      <c r="J44">
        <v>42</v>
      </c>
      <c r="K44">
        <v>331</v>
      </c>
      <c r="L44">
        <v>344</v>
      </c>
      <c r="M44">
        <v>336</v>
      </c>
      <c r="N44">
        <v>334</v>
      </c>
      <c r="O44">
        <v>336</v>
      </c>
      <c r="P44">
        <f t="shared" si="1"/>
        <v>336.2</v>
      </c>
    </row>
    <row r="45" spans="10:28">
      <c r="J45">
        <v>43</v>
      </c>
      <c r="K45">
        <v>348</v>
      </c>
      <c r="L45">
        <v>349</v>
      </c>
      <c r="M45">
        <v>359</v>
      </c>
      <c r="N45">
        <v>349</v>
      </c>
      <c r="O45">
        <v>358</v>
      </c>
      <c r="P45">
        <f t="shared" si="1"/>
        <v>352.6</v>
      </c>
    </row>
    <row r="46" spans="10:28">
      <c r="J46">
        <v>44</v>
      </c>
      <c r="K46">
        <v>353</v>
      </c>
      <c r="L46">
        <v>351</v>
      </c>
      <c r="M46">
        <v>362</v>
      </c>
      <c r="N46">
        <v>352</v>
      </c>
      <c r="O46">
        <v>362</v>
      </c>
      <c r="P46">
        <f t="shared" si="1"/>
        <v>356</v>
      </c>
    </row>
    <row r="47" spans="10:28">
      <c r="J47">
        <v>45</v>
      </c>
      <c r="K47">
        <v>351</v>
      </c>
      <c r="L47">
        <v>349</v>
      </c>
      <c r="M47">
        <v>358</v>
      </c>
      <c r="N47">
        <v>351</v>
      </c>
      <c r="O47">
        <v>358</v>
      </c>
      <c r="P47">
        <f t="shared" si="1"/>
        <v>353.4</v>
      </c>
    </row>
  </sheetData>
  <mergeCells count="2">
    <mergeCell ref="J1:P1"/>
    <mergeCell ref="S1:Y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CC26-5BFF-4507-8A19-6905026C419E}">
  <dimension ref="A1:W87"/>
  <sheetViews>
    <sheetView workbookViewId="0">
      <selection activeCell="J7" sqref="J7"/>
    </sheetView>
  </sheetViews>
  <sheetFormatPr defaultRowHeight="16.5"/>
  <cols>
    <col min="6" max="6" width="14.875" customWidth="1"/>
    <col min="7" max="7" width="9.625" bestFit="1" customWidth="1"/>
    <col min="23" max="23" width="12.25" customWidth="1"/>
  </cols>
  <sheetData>
    <row r="1" spans="1:23">
      <c r="A1" s="41" t="s">
        <v>90</v>
      </c>
      <c r="B1" s="41"/>
      <c r="C1" s="41"/>
      <c r="D1" s="41"/>
      <c r="E1" s="41"/>
      <c r="F1" t="s">
        <v>128</v>
      </c>
      <c r="G1">
        <f>AVERAGE(A3:E87)</f>
        <v>352.2776470588235</v>
      </c>
      <c r="I1" t="str" cm="1">
        <f t="array" ref="I1:Q2">TRANSPOSE(F1:G9)</f>
        <v>average X_bar</v>
      </c>
      <c r="J1" t="str">
        <v>mu_0</v>
      </c>
      <c r="K1" t="str">
        <v>sample variance</v>
      </c>
      <c r="L1" t="str">
        <v>standard error σ_x</v>
      </c>
      <c r="M1" t="str">
        <v>σ^~</v>
      </c>
      <c r="N1" t="str">
        <v>USL</v>
      </c>
      <c r="O1" t="str">
        <v>LSL</v>
      </c>
      <c r="P1" t="str">
        <v>Z_U</v>
      </c>
      <c r="Q1" t="str">
        <v>Z_L</v>
      </c>
      <c r="S1" t="str" cm="1">
        <f t="array" ref="S1:W2">TRANSPOSE(F11:G15)</f>
        <v>C_p</v>
      </c>
      <c r="T1" t="str">
        <v>C_pk</v>
      </c>
      <c r="U1" t="str">
        <v>C_pm</v>
      </c>
      <c r="V1" t="str">
        <v>C*_pm</v>
      </c>
      <c r="W1" t="str">
        <v>out-of-spec%</v>
      </c>
    </row>
    <row r="2" spans="1:23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137</v>
      </c>
      <c r="G2">
        <v>350</v>
      </c>
      <c r="I2">
        <v>352.2776470588235</v>
      </c>
      <c r="J2">
        <v>350</v>
      </c>
      <c r="K2">
        <v>82.620843507214218</v>
      </c>
      <c r="L2">
        <v>9.0896008442183103</v>
      </c>
      <c r="M2">
        <v>9.3706200238715027</v>
      </c>
      <c r="N2">
        <v>360</v>
      </c>
      <c r="O2">
        <v>335</v>
      </c>
      <c r="P2">
        <v>0.84958108431004531</v>
      </c>
      <c r="Q2">
        <v>-1.900814717272588</v>
      </c>
      <c r="S2">
        <v>0.45839930026377224</v>
      </c>
      <c r="T2">
        <v>0.2831936947700151</v>
      </c>
      <c r="U2">
        <v>0.44465218481297403</v>
      </c>
      <c r="V2">
        <v>0.35572174785037924</v>
      </c>
      <c r="W2" s="39">
        <v>0.22644215892385064</v>
      </c>
    </row>
    <row r="3" spans="1:23">
      <c r="A3">
        <v>355</v>
      </c>
      <c r="B3">
        <v>351</v>
      </c>
      <c r="C3">
        <v>356</v>
      </c>
      <c r="D3">
        <v>352</v>
      </c>
      <c r="E3">
        <v>359</v>
      </c>
      <c r="F3" t="s">
        <v>68</v>
      </c>
      <c r="G3">
        <f>_xlfn.VAR.S(A3:E87)</f>
        <v>82.620843507214218</v>
      </c>
    </row>
    <row r="4" spans="1:23">
      <c r="A4">
        <v>353</v>
      </c>
      <c r="B4">
        <v>351</v>
      </c>
      <c r="C4">
        <v>359</v>
      </c>
      <c r="D4">
        <v>352</v>
      </c>
      <c r="E4">
        <v>354</v>
      </c>
      <c r="F4" t="s">
        <v>182</v>
      </c>
      <c r="G4">
        <f>G3^0.5</f>
        <v>9.0896008442183103</v>
      </c>
    </row>
    <row r="5" spans="1:23">
      <c r="A5">
        <v>351</v>
      </c>
      <c r="B5">
        <v>351</v>
      </c>
      <c r="C5">
        <v>357</v>
      </c>
      <c r="D5">
        <v>352</v>
      </c>
      <c r="E5">
        <v>357</v>
      </c>
      <c r="F5" s="35" t="s">
        <v>183</v>
      </c>
      <c r="G5">
        <f>(G3+(G2-G1)^2)^0.5</f>
        <v>9.3706200238715027</v>
      </c>
    </row>
    <row r="6" spans="1:23">
      <c r="A6">
        <v>353</v>
      </c>
      <c r="B6">
        <v>357</v>
      </c>
      <c r="C6">
        <v>362</v>
      </c>
      <c r="D6">
        <v>355</v>
      </c>
      <c r="E6">
        <v>361</v>
      </c>
      <c r="F6" s="35" t="s">
        <v>188</v>
      </c>
      <c r="G6" s="35">
        <v>360</v>
      </c>
      <c r="J6">
        <f>(360+335)/2</f>
        <v>347.5</v>
      </c>
    </row>
    <row r="7" spans="1:23">
      <c r="A7">
        <v>350</v>
      </c>
      <c r="B7">
        <v>353</v>
      </c>
      <c r="C7">
        <v>356</v>
      </c>
      <c r="D7">
        <v>353</v>
      </c>
      <c r="E7">
        <v>357</v>
      </c>
      <c r="F7" s="35" t="s">
        <v>189</v>
      </c>
      <c r="G7" s="35">
        <v>335</v>
      </c>
    </row>
    <row r="8" spans="1:23">
      <c r="A8">
        <v>351</v>
      </c>
      <c r="B8">
        <v>351</v>
      </c>
      <c r="C8">
        <v>353</v>
      </c>
      <c r="D8">
        <v>351</v>
      </c>
      <c r="E8">
        <v>356</v>
      </c>
      <c r="F8" s="35" t="s">
        <v>190</v>
      </c>
      <c r="G8">
        <f>(G6-G1)/G4</f>
        <v>0.84958108431004531</v>
      </c>
    </row>
    <row r="9" spans="1:23">
      <c r="A9">
        <v>351</v>
      </c>
      <c r="B9">
        <v>352</v>
      </c>
      <c r="C9">
        <v>360</v>
      </c>
      <c r="D9">
        <v>353</v>
      </c>
      <c r="E9">
        <v>362</v>
      </c>
      <c r="F9" s="35" t="s">
        <v>191</v>
      </c>
      <c r="G9">
        <f>(G7-G1)/G4</f>
        <v>-1.900814717272588</v>
      </c>
      <c r="J9" t="s">
        <v>197</v>
      </c>
      <c r="K9">
        <v>352.2776470588235</v>
      </c>
      <c r="L9">
        <f>(3*K9+O9)/4</f>
        <v>351.08323529411763</v>
      </c>
      <c r="M9">
        <f>(K9+O9)/2</f>
        <v>349.88882352941175</v>
      </c>
      <c r="N9">
        <f>(K9+3*O9)/4</f>
        <v>348.69441176470588</v>
      </c>
      <c r="O9">
        <f>(G6+G7)/2</f>
        <v>347.5</v>
      </c>
    </row>
    <row r="10" spans="1:23">
      <c r="A10">
        <v>352</v>
      </c>
      <c r="B10">
        <v>350</v>
      </c>
      <c r="C10">
        <v>357</v>
      </c>
      <c r="D10">
        <v>350</v>
      </c>
      <c r="E10">
        <v>357</v>
      </c>
      <c r="J10" s="6" t="s">
        <v>86</v>
      </c>
      <c r="K10">
        <v>1.286903547967694</v>
      </c>
      <c r="L10">
        <v>1.4859689883044254</v>
      </c>
      <c r="M10">
        <v>1.6851594189663541</v>
      </c>
      <c r="N10">
        <v>1.8839209614901338</v>
      </c>
      <c r="O10">
        <v>2.0833136421102711</v>
      </c>
    </row>
    <row r="11" spans="1:23">
      <c r="A11">
        <v>353</v>
      </c>
      <c r="B11">
        <v>353</v>
      </c>
      <c r="C11">
        <v>359</v>
      </c>
      <c r="D11">
        <v>352</v>
      </c>
      <c r="E11">
        <v>358</v>
      </c>
      <c r="F11" t="s">
        <v>184</v>
      </c>
      <c r="G11">
        <f>(G6-G7)/(6*G4)</f>
        <v>0.45839930026377224</v>
      </c>
      <c r="H11" t="s">
        <v>193</v>
      </c>
      <c r="I11" t="s">
        <v>194</v>
      </c>
      <c r="J11" t="s">
        <v>185</v>
      </c>
      <c r="K11">
        <f>MIN((K9-$G$7)/(3*K10),($G$6-K9)/(3*K10))</f>
        <v>2.0002413165492738</v>
      </c>
      <c r="L11">
        <f t="shared" ref="L11:O11" si="0">MIN((L9-$G$7)/(3*L10),($G$6-L9)/(3*L10))</f>
        <v>2.0002132785774362</v>
      </c>
      <c r="M11">
        <f t="shared" si="0"/>
        <v>2.0000435086017476</v>
      </c>
      <c r="N11">
        <f t="shared" si="0"/>
        <v>2.0003649244307451</v>
      </c>
      <c r="O11">
        <f t="shared" si="0"/>
        <v>2.0000189037528138</v>
      </c>
    </row>
    <row r="12" spans="1:23">
      <c r="A12">
        <v>353</v>
      </c>
      <c r="B12">
        <v>353</v>
      </c>
      <c r="C12">
        <v>355</v>
      </c>
      <c r="D12">
        <v>351</v>
      </c>
      <c r="E12">
        <v>360</v>
      </c>
      <c r="F12" t="s">
        <v>185</v>
      </c>
      <c r="G12">
        <f>MIN((G1-G7)/(3*G4),(G6-G1)/(3*G4))</f>
        <v>0.2831936947700151</v>
      </c>
      <c r="H12">
        <f>(G1-G7)/(3*G4)</f>
        <v>0.63360490575752937</v>
      </c>
      <c r="I12">
        <f>(G6-G1)/(3*G4)</f>
        <v>0.2831936947700151</v>
      </c>
    </row>
    <row r="13" spans="1:23">
      <c r="A13">
        <v>353</v>
      </c>
      <c r="B13">
        <v>353</v>
      </c>
      <c r="C13">
        <v>354</v>
      </c>
      <c r="D13">
        <v>351</v>
      </c>
      <c r="E13">
        <v>359</v>
      </c>
      <c r="F13" t="s">
        <v>186</v>
      </c>
      <c r="G13">
        <f>(G6-G7)/(6*G5)</f>
        <v>0.44465218481297403</v>
      </c>
      <c r="H13" t="s">
        <v>195</v>
      </c>
      <c r="I13" t="s">
        <v>196</v>
      </c>
      <c r="K13" s="6" t="s">
        <v>86</v>
      </c>
      <c r="L13">
        <f>(G6-G7)/2</f>
        <v>12.5</v>
      </c>
    </row>
    <row r="14" spans="1:23">
      <c r="A14">
        <v>349</v>
      </c>
      <c r="B14">
        <v>350</v>
      </c>
      <c r="C14">
        <v>359</v>
      </c>
      <c r="D14">
        <v>352</v>
      </c>
      <c r="E14">
        <v>356</v>
      </c>
      <c r="F14" t="s">
        <v>187</v>
      </c>
      <c r="G14">
        <f>MIN(G6-G2,G2-G7)/(3*G5)</f>
        <v>0.35572174785037924</v>
      </c>
      <c r="H14">
        <f>(G6-G2)/(3*G5)</f>
        <v>0.35572174785037924</v>
      </c>
      <c r="I14">
        <f>(G2-G7)/(3*G5)</f>
        <v>0.53358262177556881</v>
      </c>
    </row>
    <row r="15" spans="1:23">
      <c r="A15">
        <v>350</v>
      </c>
      <c r="B15">
        <v>351</v>
      </c>
      <c r="C15">
        <v>361</v>
      </c>
      <c r="D15">
        <v>350</v>
      </c>
      <c r="E15">
        <v>359</v>
      </c>
      <c r="F15" t="s">
        <v>192</v>
      </c>
      <c r="G15" s="39">
        <f>1-_xlfn.NORM.S.DIST(G8,1)+_xlfn.NORM.S.DIST(G9,1)</f>
        <v>0.22644215892385064</v>
      </c>
    </row>
    <row r="16" spans="1:23">
      <c r="A16">
        <v>349</v>
      </c>
      <c r="B16">
        <v>351</v>
      </c>
      <c r="C16">
        <v>360</v>
      </c>
      <c r="D16">
        <v>351</v>
      </c>
      <c r="E16">
        <v>358</v>
      </c>
    </row>
    <row r="17" spans="1:5">
      <c r="A17">
        <v>351</v>
      </c>
      <c r="B17">
        <v>351</v>
      </c>
      <c r="C17">
        <v>360</v>
      </c>
      <c r="D17">
        <v>351</v>
      </c>
      <c r="E17">
        <v>360</v>
      </c>
    </row>
    <row r="18" spans="1:5">
      <c r="A18">
        <v>349</v>
      </c>
      <c r="B18">
        <v>350</v>
      </c>
      <c r="C18">
        <v>359</v>
      </c>
      <c r="D18">
        <v>351</v>
      </c>
      <c r="E18">
        <v>357</v>
      </c>
    </row>
    <row r="19" spans="1:5">
      <c r="A19">
        <v>369</v>
      </c>
      <c r="B19">
        <v>366</v>
      </c>
      <c r="C19">
        <v>374</v>
      </c>
      <c r="D19">
        <v>369</v>
      </c>
      <c r="E19">
        <v>374</v>
      </c>
    </row>
    <row r="20" spans="1:5">
      <c r="A20">
        <v>356</v>
      </c>
      <c r="B20">
        <v>351</v>
      </c>
      <c r="C20">
        <v>361</v>
      </c>
      <c r="D20">
        <v>357</v>
      </c>
      <c r="E20">
        <v>361</v>
      </c>
    </row>
    <row r="21" spans="1:5">
      <c r="A21">
        <v>355</v>
      </c>
      <c r="B21">
        <v>354</v>
      </c>
      <c r="C21">
        <v>366</v>
      </c>
      <c r="D21">
        <v>356</v>
      </c>
      <c r="E21">
        <v>366</v>
      </c>
    </row>
    <row r="22" spans="1:5">
      <c r="A22">
        <v>353</v>
      </c>
      <c r="B22">
        <v>352</v>
      </c>
      <c r="C22">
        <v>363</v>
      </c>
      <c r="D22">
        <v>353</v>
      </c>
      <c r="E22">
        <v>362</v>
      </c>
    </row>
    <row r="23" spans="1:5">
      <c r="A23">
        <v>354</v>
      </c>
      <c r="B23">
        <v>353</v>
      </c>
      <c r="C23">
        <v>364</v>
      </c>
      <c r="D23">
        <v>354</v>
      </c>
      <c r="E23">
        <v>364</v>
      </c>
    </row>
    <row r="24" spans="1:5">
      <c r="A24">
        <v>354</v>
      </c>
      <c r="B24">
        <v>354</v>
      </c>
      <c r="C24">
        <v>360</v>
      </c>
      <c r="D24">
        <v>356</v>
      </c>
      <c r="E24">
        <v>360</v>
      </c>
    </row>
    <row r="25" spans="1:5">
      <c r="A25">
        <v>358</v>
      </c>
      <c r="B25">
        <v>356</v>
      </c>
      <c r="C25">
        <v>366</v>
      </c>
      <c r="D25">
        <v>357</v>
      </c>
      <c r="E25">
        <v>366</v>
      </c>
    </row>
    <row r="26" spans="1:5">
      <c r="A26">
        <v>358</v>
      </c>
      <c r="B26">
        <v>355</v>
      </c>
      <c r="C26">
        <v>365</v>
      </c>
      <c r="D26">
        <v>357</v>
      </c>
      <c r="E26">
        <v>366</v>
      </c>
    </row>
    <row r="27" spans="1:5">
      <c r="A27">
        <v>356</v>
      </c>
      <c r="B27">
        <v>353</v>
      </c>
      <c r="C27">
        <v>365</v>
      </c>
      <c r="D27">
        <v>356</v>
      </c>
      <c r="E27">
        <v>364</v>
      </c>
    </row>
    <row r="28" spans="1:5">
      <c r="A28">
        <v>333</v>
      </c>
      <c r="B28">
        <v>346</v>
      </c>
      <c r="C28">
        <v>338</v>
      </c>
      <c r="D28">
        <v>335</v>
      </c>
      <c r="E28">
        <v>338</v>
      </c>
    </row>
    <row r="29" spans="1:5">
      <c r="A29">
        <v>351</v>
      </c>
      <c r="B29">
        <v>349</v>
      </c>
      <c r="C29">
        <v>361</v>
      </c>
      <c r="D29">
        <v>351</v>
      </c>
      <c r="E29">
        <v>361</v>
      </c>
    </row>
    <row r="30" spans="1:5">
      <c r="A30">
        <v>350</v>
      </c>
      <c r="B30">
        <v>349</v>
      </c>
      <c r="C30">
        <v>348</v>
      </c>
      <c r="D30">
        <v>349</v>
      </c>
      <c r="E30">
        <v>350</v>
      </c>
    </row>
    <row r="31" spans="1:5">
      <c r="A31">
        <v>352</v>
      </c>
      <c r="B31">
        <v>352</v>
      </c>
      <c r="C31">
        <v>364</v>
      </c>
      <c r="D31">
        <v>354</v>
      </c>
      <c r="E31">
        <v>361</v>
      </c>
    </row>
    <row r="32" spans="1:5">
      <c r="A32">
        <v>351</v>
      </c>
      <c r="B32">
        <v>357</v>
      </c>
      <c r="C32">
        <v>363</v>
      </c>
      <c r="D32">
        <v>353</v>
      </c>
      <c r="E32">
        <v>361</v>
      </c>
    </row>
    <row r="33" spans="1:5">
      <c r="A33">
        <v>352</v>
      </c>
      <c r="B33">
        <v>352</v>
      </c>
      <c r="C33">
        <v>364</v>
      </c>
      <c r="D33">
        <v>354</v>
      </c>
      <c r="E33">
        <v>362</v>
      </c>
    </row>
    <row r="34" spans="1:5">
      <c r="A34">
        <v>349</v>
      </c>
      <c r="B34">
        <v>351</v>
      </c>
      <c r="C34">
        <v>363</v>
      </c>
      <c r="D34">
        <v>352</v>
      </c>
      <c r="E34">
        <v>362</v>
      </c>
    </row>
    <row r="35" spans="1:5">
      <c r="A35">
        <v>349</v>
      </c>
      <c r="B35">
        <v>351</v>
      </c>
      <c r="C35">
        <v>362</v>
      </c>
      <c r="D35">
        <v>351</v>
      </c>
      <c r="E35">
        <v>361</v>
      </c>
    </row>
    <row r="36" spans="1:5">
      <c r="A36">
        <v>347</v>
      </c>
      <c r="B36">
        <v>348</v>
      </c>
      <c r="C36">
        <v>361</v>
      </c>
      <c r="D36">
        <v>349</v>
      </c>
      <c r="E36">
        <v>358</v>
      </c>
    </row>
    <row r="37" spans="1:5">
      <c r="A37">
        <v>347</v>
      </c>
      <c r="B37">
        <v>348</v>
      </c>
      <c r="C37">
        <v>360</v>
      </c>
      <c r="D37">
        <v>349</v>
      </c>
      <c r="E37">
        <v>351</v>
      </c>
    </row>
    <row r="38" spans="1:5">
      <c r="A38">
        <v>352</v>
      </c>
      <c r="B38">
        <v>351</v>
      </c>
      <c r="C38">
        <v>354</v>
      </c>
      <c r="D38">
        <v>349</v>
      </c>
      <c r="E38">
        <v>350</v>
      </c>
    </row>
    <row r="39" spans="1:5">
      <c r="A39">
        <v>347</v>
      </c>
      <c r="B39">
        <v>343</v>
      </c>
      <c r="C39">
        <v>353</v>
      </c>
      <c r="D39">
        <v>344</v>
      </c>
      <c r="E39">
        <v>353</v>
      </c>
    </row>
    <row r="40" spans="1:5">
      <c r="A40">
        <v>354</v>
      </c>
      <c r="B40">
        <v>354</v>
      </c>
      <c r="C40">
        <v>362</v>
      </c>
      <c r="D40">
        <v>355</v>
      </c>
      <c r="E40">
        <v>364</v>
      </c>
    </row>
    <row r="41" spans="1:5">
      <c r="A41">
        <v>352</v>
      </c>
      <c r="B41">
        <v>350</v>
      </c>
      <c r="C41">
        <v>360</v>
      </c>
      <c r="D41">
        <v>350</v>
      </c>
      <c r="E41">
        <v>361</v>
      </c>
    </row>
    <row r="42" spans="1:5">
      <c r="A42">
        <v>350</v>
      </c>
      <c r="B42">
        <v>350</v>
      </c>
      <c r="C42">
        <v>352</v>
      </c>
      <c r="D42">
        <v>358</v>
      </c>
      <c r="E42">
        <v>352</v>
      </c>
    </row>
    <row r="43" spans="1:5">
      <c r="A43">
        <v>351</v>
      </c>
      <c r="B43">
        <v>350</v>
      </c>
      <c r="C43">
        <v>360</v>
      </c>
      <c r="D43">
        <v>352</v>
      </c>
      <c r="E43">
        <v>360</v>
      </c>
    </row>
    <row r="44" spans="1:5">
      <c r="A44">
        <v>331</v>
      </c>
      <c r="B44">
        <v>344</v>
      </c>
      <c r="C44">
        <v>336</v>
      </c>
      <c r="D44">
        <v>334</v>
      </c>
      <c r="E44">
        <v>336</v>
      </c>
    </row>
    <row r="45" spans="1:5">
      <c r="A45">
        <v>348</v>
      </c>
      <c r="B45">
        <v>349</v>
      </c>
      <c r="C45">
        <v>359</v>
      </c>
      <c r="D45">
        <v>349</v>
      </c>
      <c r="E45">
        <v>358</v>
      </c>
    </row>
    <row r="46" spans="1:5">
      <c r="A46">
        <v>353</v>
      </c>
      <c r="B46">
        <v>351</v>
      </c>
      <c r="C46">
        <v>362</v>
      </c>
      <c r="D46">
        <v>352</v>
      </c>
      <c r="E46">
        <v>362</v>
      </c>
    </row>
    <row r="47" spans="1:5">
      <c r="A47">
        <v>351</v>
      </c>
      <c r="B47">
        <v>349</v>
      </c>
      <c r="C47">
        <v>358</v>
      </c>
      <c r="D47">
        <v>351</v>
      </c>
      <c r="E47">
        <v>358</v>
      </c>
    </row>
    <row r="48" spans="1:5">
      <c r="A48">
        <v>351</v>
      </c>
      <c r="B48">
        <v>352</v>
      </c>
      <c r="C48">
        <v>361</v>
      </c>
      <c r="D48">
        <v>352</v>
      </c>
      <c r="E48">
        <v>360</v>
      </c>
    </row>
    <row r="49" spans="1:5">
      <c r="A49">
        <v>351</v>
      </c>
      <c r="B49">
        <v>353</v>
      </c>
      <c r="C49">
        <v>360</v>
      </c>
      <c r="D49">
        <v>353</v>
      </c>
      <c r="E49">
        <v>361</v>
      </c>
    </row>
    <row r="50" spans="1:5">
      <c r="A50">
        <v>355</v>
      </c>
      <c r="B50">
        <v>355</v>
      </c>
      <c r="C50">
        <v>262</v>
      </c>
      <c r="D50">
        <v>252</v>
      </c>
      <c r="E50">
        <v>364</v>
      </c>
    </row>
    <row r="51" spans="1:5">
      <c r="A51">
        <v>356</v>
      </c>
      <c r="B51">
        <v>355</v>
      </c>
      <c r="C51">
        <v>364</v>
      </c>
      <c r="D51">
        <v>356</v>
      </c>
      <c r="E51">
        <v>364</v>
      </c>
    </row>
    <row r="52" spans="1:5">
      <c r="A52">
        <v>351</v>
      </c>
      <c r="B52">
        <v>350</v>
      </c>
      <c r="C52">
        <v>359</v>
      </c>
      <c r="D52">
        <v>351</v>
      </c>
      <c r="E52">
        <v>359</v>
      </c>
    </row>
    <row r="53" spans="1:5">
      <c r="A53">
        <v>352</v>
      </c>
      <c r="B53">
        <v>351</v>
      </c>
      <c r="C53">
        <v>360</v>
      </c>
      <c r="D53">
        <v>351</v>
      </c>
      <c r="E53">
        <v>360</v>
      </c>
    </row>
    <row r="54" spans="1:5">
      <c r="A54">
        <v>355</v>
      </c>
      <c r="B54">
        <v>352</v>
      </c>
      <c r="C54">
        <v>362</v>
      </c>
      <c r="D54">
        <v>354</v>
      </c>
      <c r="E54">
        <v>362</v>
      </c>
    </row>
    <row r="55" spans="1:5">
      <c r="A55">
        <v>349</v>
      </c>
      <c r="B55">
        <v>347</v>
      </c>
      <c r="C55">
        <v>357</v>
      </c>
      <c r="D55">
        <v>348</v>
      </c>
      <c r="E55">
        <v>358</v>
      </c>
    </row>
    <row r="56" spans="1:5">
      <c r="A56">
        <v>350</v>
      </c>
      <c r="B56">
        <v>349</v>
      </c>
      <c r="C56">
        <v>359</v>
      </c>
      <c r="D56">
        <v>350</v>
      </c>
      <c r="E56">
        <v>359</v>
      </c>
    </row>
    <row r="57" spans="1:5">
      <c r="A57">
        <v>349</v>
      </c>
      <c r="B57">
        <v>348</v>
      </c>
      <c r="C57">
        <v>357</v>
      </c>
      <c r="D57">
        <v>349</v>
      </c>
      <c r="E57">
        <v>358</v>
      </c>
    </row>
    <row r="58" spans="1:5">
      <c r="A58">
        <v>348</v>
      </c>
      <c r="B58">
        <v>347</v>
      </c>
      <c r="C58">
        <v>348</v>
      </c>
      <c r="D58">
        <v>349</v>
      </c>
      <c r="E58">
        <v>351</v>
      </c>
    </row>
    <row r="59" spans="1:5">
      <c r="A59">
        <v>348</v>
      </c>
      <c r="B59">
        <v>347</v>
      </c>
      <c r="C59">
        <v>349</v>
      </c>
      <c r="D59">
        <v>350</v>
      </c>
      <c r="E59">
        <v>351</v>
      </c>
    </row>
    <row r="60" spans="1:5">
      <c r="A60">
        <v>345</v>
      </c>
      <c r="B60">
        <v>346</v>
      </c>
      <c r="C60">
        <v>355</v>
      </c>
      <c r="D60">
        <v>346</v>
      </c>
      <c r="E60">
        <v>355</v>
      </c>
    </row>
    <row r="61" spans="1:5">
      <c r="A61">
        <v>343</v>
      </c>
      <c r="B61">
        <v>346</v>
      </c>
      <c r="C61">
        <v>356</v>
      </c>
      <c r="D61">
        <v>346</v>
      </c>
      <c r="E61">
        <v>356</v>
      </c>
    </row>
    <row r="62" spans="1:5">
      <c r="A62">
        <v>348</v>
      </c>
      <c r="B62">
        <v>350</v>
      </c>
      <c r="C62">
        <v>359</v>
      </c>
      <c r="D62">
        <v>349</v>
      </c>
      <c r="E62">
        <v>357</v>
      </c>
    </row>
    <row r="63" spans="1:5">
      <c r="A63">
        <v>350</v>
      </c>
      <c r="B63">
        <v>351</v>
      </c>
      <c r="C63">
        <v>360</v>
      </c>
      <c r="D63">
        <v>350</v>
      </c>
      <c r="E63">
        <v>355</v>
      </c>
    </row>
    <row r="64" spans="1:5">
      <c r="A64">
        <v>350</v>
      </c>
      <c r="B64">
        <v>351</v>
      </c>
      <c r="C64">
        <v>359</v>
      </c>
      <c r="D64">
        <v>351</v>
      </c>
      <c r="E64">
        <v>354</v>
      </c>
    </row>
    <row r="65" spans="1:5">
      <c r="A65">
        <v>348</v>
      </c>
      <c r="B65">
        <v>347</v>
      </c>
      <c r="C65">
        <v>356</v>
      </c>
      <c r="D65">
        <v>344</v>
      </c>
      <c r="E65">
        <v>355</v>
      </c>
    </row>
    <row r="66" spans="1:5">
      <c r="A66">
        <v>347</v>
      </c>
      <c r="B66">
        <v>349</v>
      </c>
      <c r="C66">
        <v>358</v>
      </c>
      <c r="D66">
        <v>348</v>
      </c>
      <c r="E66">
        <v>357</v>
      </c>
    </row>
    <row r="67" spans="1:5">
      <c r="A67">
        <v>349</v>
      </c>
      <c r="B67">
        <v>348</v>
      </c>
      <c r="C67">
        <v>359</v>
      </c>
      <c r="D67">
        <v>349</v>
      </c>
      <c r="E67">
        <v>357</v>
      </c>
    </row>
    <row r="68" spans="1:5">
      <c r="A68">
        <v>347</v>
      </c>
      <c r="B68">
        <v>347</v>
      </c>
      <c r="C68">
        <v>343</v>
      </c>
      <c r="D68">
        <v>341</v>
      </c>
      <c r="E68">
        <v>343</v>
      </c>
    </row>
    <row r="69" spans="1:5">
      <c r="A69">
        <v>348</v>
      </c>
      <c r="B69">
        <v>347</v>
      </c>
      <c r="C69">
        <v>356</v>
      </c>
      <c r="D69">
        <v>346</v>
      </c>
      <c r="E69">
        <v>355</v>
      </c>
    </row>
    <row r="70" spans="1:5">
      <c r="A70">
        <v>345</v>
      </c>
      <c r="B70">
        <v>346</v>
      </c>
      <c r="C70">
        <v>355</v>
      </c>
      <c r="D70">
        <v>347</v>
      </c>
      <c r="E70">
        <v>353</v>
      </c>
    </row>
    <row r="71" spans="1:5">
      <c r="A71">
        <v>345</v>
      </c>
      <c r="B71">
        <v>345</v>
      </c>
      <c r="C71">
        <v>353</v>
      </c>
      <c r="D71">
        <v>345</v>
      </c>
      <c r="E71">
        <v>353</v>
      </c>
    </row>
    <row r="72" spans="1:5">
      <c r="A72">
        <v>347</v>
      </c>
      <c r="B72">
        <v>345</v>
      </c>
      <c r="C72">
        <v>353</v>
      </c>
      <c r="D72">
        <v>345</v>
      </c>
      <c r="E72">
        <v>353</v>
      </c>
    </row>
    <row r="73" spans="1:5">
      <c r="A73">
        <v>349</v>
      </c>
      <c r="B73">
        <v>346</v>
      </c>
      <c r="C73">
        <v>356</v>
      </c>
      <c r="D73">
        <v>347</v>
      </c>
      <c r="E73">
        <v>356</v>
      </c>
    </row>
    <row r="74" spans="1:5">
      <c r="A74">
        <v>342</v>
      </c>
      <c r="B74">
        <v>342</v>
      </c>
      <c r="C74">
        <v>347</v>
      </c>
      <c r="D74">
        <v>340</v>
      </c>
      <c r="E74">
        <v>348</v>
      </c>
    </row>
    <row r="75" spans="1:5">
      <c r="A75">
        <v>347</v>
      </c>
      <c r="B75">
        <v>345</v>
      </c>
      <c r="C75">
        <v>355</v>
      </c>
      <c r="D75">
        <v>345</v>
      </c>
      <c r="E75">
        <v>355</v>
      </c>
    </row>
    <row r="76" spans="1:5">
      <c r="A76">
        <v>346</v>
      </c>
      <c r="B76">
        <v>344</v>
      </c>
      <c r="C76">
        <v>354</v>
      </c>
      <c r="D76">
        <v>344</v>
      </c>
      <c r="E76">
        <v>353</v>
      </c>
    </row>
    <row r="77" spans="1:5">
      <c r="A77">
        <v>344</v>
      </c>
      <c r="B77">
        <v>342</v>
      </c>
      <c r="C77">
        <v>353</v>
      </c>
      <c r="D77">
        <v>343</v>
      </c>
      <c r="E77">
        <v>352</v>
      </c>
    </row>
    <row r="78" spans="1:5">
      <c r="A78">
        <v>347</v>
      </c>
      <c r="B78">
        <v>347</v>
      </c>
      <c r="C78">
        <v>347</v>
      </c>
      <c r="D78">
        <v>357</v>
      </c>
      <c r="E78">
        <v>357</v>
      </c>
    </row>
    <row r="79" spans="1:5">
      <c r="A79">
        <v>345</v>
      </c>
      <c r="B79">
        <v>343</v>
      </c>
      <c r="C79">
        <v>352</v>
      </c>
      <c r="D79">
        <v>343</v>
      </c>
      <c r="E79">
        <v>351</v>
      </c>
    </row>
    <row r="80" spans="1:5">
      <c r="A80">
        <v>347</v>
      </c>
      <c r="B80">
        <v>345</v>
      </c>
      <c r="C80">
        <v>356</v>
      </c>
      <c r="D80">
        <v>345</v>
      </c>
      <c r="E80">
        <v>355</v>
      </c>
    </row>
    <row r="81" spans="1:5">
      <c r="A81">
        <v>347</v>
      </c>
      <c r="B81">
        <v>346</v>
      </c>
      <c r="C81">
        <v>357</v>
      </c>
      <c r="D81">
        <v>347</v>
      </c>
      <c r="E81">
        <v>356</v>
      </c>
    </row>
    <row r="82" spans="1:5">
      <c r="A82">
        <v>349</v>
      </c>
      <c r="B82">
        <v>346</v>
      </c>
      <c r="C82">
        <v>357</v>
      </c>
      <c r="D82">
        <v>346</v>
      </c>
      <c r="E82">
        <v>357</v>
      </c>
    </row>
    <row r="83" spans="1:5">
      <c r="A83">
        <v>343</v>
      </c>
      <c r="B83">
        <v>347</v>
      </c>
      <c r="C83">
        <v>355</v>
      </c>
      <c r="D83">
        <v>347</v>
      </c>
      <c r="E83">
        <v>355</v>
      </c>
    </row>
    <row r="84" spans="1:5">
      <c r="A84">
        <v>347</v>
      </c>
      <c r="B84">
        <v>348</v>
      </c>
      <c r="C84">
        <v>358</v>
      </c>
      <c r="D84">
        <v>347</v>
      </c>
      <c r="E84">
        <v>357</v>
      </c>
    </row>
    <row r="85" spans="1:5">
      <c r="A85">
        <v>344</v>
      </c>
      <c r="B85">
        <v>344</v>
      </c>
      <c r="C85">
        <v>346</v>
      </c>
      <c r="D85">
        <v>344</v>
      </c>
      <c r="E85">
        <v>348</v>
      </c>
    </row>
    <row r="86" spans="1:5">
      <c r="A86">
        <v>351</v>
      </c>
      <c r="B86">
        <v>350</v>
      </c>
      <c r="C86">
        <v>359</v>
      </c>
      <c r="D86">
        <v>349</v>
      </c>
      <c r="E86">
        <v>358</v>
      </c>
    </row>
    <row r="87" spans="1:5">
      <c r="A87">
        <v>345</v>
      </c>
      <c r="B87">
        <v>345</v>
      </c>
      <c r="C87">
        <v>353</v>
      </c>
      <c r="D87">
        <v>344</v>
      </c>
      <c r="E87">
        <v>353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6217-AEDC-49F7-A28D-88B444970B12}">
  <dimension ref="A1:W87"/>
  <sheetViews>
    <sheetView workbookViewId="0">
      <selection activeCell="Y27" sqref="Y27"/>
    </sheetView>
  </sheetViews>
  <sheetFormatPr defaultRowHeight="16.5"/>
  <cols>
    <col min="1" max="1" width="12.5" customWidth="1"/>
    <col min="2" max="7" width="0" hidden="1" customWidth="1"/>
    <col min="11" max="12" width="0" hidden="1" customWidth="1"/>
    <col min="15" max="16" width="11.5" customWidth="1"/>
    <col min="18" max="18" width="11.5" customWidth="1"/>
    <col min="23" max="23" width="12.25" bestFit="1" customWidth="1"/>
  </cols>
  <sheetData>
    <row r="1" spans="1:23">
      <c r="B1" s="41" t="s">
        <v>90</v>
      </c>
      <c r="C1" s="41"/>
      <c r="D1" s="41"/>
      <c r="E1" s="41"/>
      <c r="F1" s="41"/>
      <c r="G1" s="36"/>
    </row>
    <row r="2" spans="1:23">
      <c r="A2" t="s">
        <v>127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200</v>
      </c>
      <c r="H2" t="s">
        <v>197</v>
      </c>
      <c r="I2" s="6" t="s">
        <v>198</v>
      </c>
      <c r="J2" s="6" t="s">
        <v>199</v>
      </c>
      <c r="K2" t="s">
        <v>188</v>
      </c>
      <c r="L2" t="s">
        <v>189</v>
      </c>
      <c r="M2" t="s">
        <v>190</v>
      </c>
      <c r="N2" t="s">
        <v>191</v>
      </c>
      <c r="O2" t="s">
        <v>229</v>
      </c>
      <c r="P2" t="s">
        <v>230</v>
      </c>
      <c r="R2" t="s">
        <v>127</v>
      </c>
      <c r="S2" t="s">
        <v>184</v>
      </c>
      <c r="T2" t="s">
        <v>185</v>
      </c>
      <c r="U2" t="s">
        <v>186</v>
      </c>
      <c r="V2" t="s">
        <v>187</v>
      </c>
      <c r="W2" t="s">
        <v>192</v>
      </c>
    </row>
    <row r="3" spans="1:23">
      <c r="A3">
        <v>1</v>
      </c>
      <c r="B3">
        <v>355</v>
      </c>
      <c r="C3">
        <v>351</v>
      </c>
      <c r="D3">
        <v>356</v>
      </c>
      <c r="E3">
        <v>352</v>
      </c>
      <c r="F3">
        <v>359</v>
      </c>
      <c r="G3">
        <v>350</v>
      </c>
      <c r="H3">
        <f>AVERAGE(B3:F3)</f>
        <v>354.6</v>
      </c>
      <c r="I3">
        <f>(_xlfn.VAR.S(B3:F3))^0.5</f>
        <v>3.2093613071762426</v>
      </c>
      <c r="J3">
        <f>SQRT(I3^2+(G3-H3)^2)</f>
        <v>5.6089214649520818</v>
      </c>
      <c r="K3">
        <v>360</v>
      </c>
      <c r="L3">
        <v>335</v>
      </c>
      <c r="M3">
        <f>(K3-H3)/I3</f>
        <v>1.6825777726943336</v>
      </c>
      <c r="N3">
        <f>(L3-H3)/I3</f>
        <v>-6.1071341379276136</v>
      </c>
      <c r="O3">
        <f>347.5</f>
        <v>347.5</v>
      </c>
      <c r="P3">
        <v>350</v>
      </c>
      <c r="R3">
        <v>1</v>
      </c>
      <c r="S3">
        <f>(K3-L3)/(6*I3)</f>
        <v>1.2982853184369914</v>
      </c>
      <c r="T3">
        <f>MIN((H3-L3)/(3*I3),(K3-H3)/(3*I3))</f>
        <v>0.56085925756477795</v>
      </c>
      <c r="U3">
        <f>(K3-L3)/(6*J3)</f>
        <v>0.74286414825069469</v>
      </c>
      <c r="V3">
        <f>MIN(K3-G3,G3-L3)/(3*J3)</f>
        <v>0.59429131860055573</v>
      </c>
      <c r="W3">
        <f>1-_xlfn.NORM.S.DIST(M3,1)+_xlfn.NORM.S.DIST(N3,1)</f>
        <v>4.6228429290179084E-2</v>
      </c>
    </row>
    <row r="4" spans="1:23">
      <c r="A4">
        <v>2</v>
      </c>
      <c r="B4">
        <v>353</v>
      </c>
      <c r="C4">
        <v>351</v>
      </c>
      <c r="D4">
        <v>359</v>
      </c>
      <c r="E4">
        <v>352</v>
      </c>
      <c r="F4">
        <v>354</v>
      </c>
      <c r="G4">
        <v>350</v>
      </c>
      <c r="H4">
        <f t="shared" ref="H4:H67" si="0">AVERAGE(B4:F4)</f>
        <v>353.8</v>
      </c>
      <c r="I4">
        <f t="shared" ref="I4:I67" si="1">(_xlfn.VAR.S(B4:F4))^0.5</f>
        <v>3.1144823004794873</v>
      </c>
      <c r="J4">
        <f t="shared" ref="J4:J67" si="2">SQRT(I4^2+(G4-H4)^2)</f>
        <v>4.9132473986153071</v>
      </c>
      <c r="K4">
        <v>360</v>
      </c>
      <c r="L4">
        <v>335</v>
      </c>
      <c r="M4">
        <f t="shared" ref="M4:M67" si="3">(K4-H4)/I4</f>
        <v>1.9907000271105966</v>
      </c>
      <c r="N4">
        <f t="shared" ref="N4:N67" si="4">(L4-H4)/I4</f>
        <v>-6.0363162112385984</v>
      </c>
      <c r="O4">
        <f t="shared" ref="O4:O67" si="5">347.5</f>
        <v>347.5</v>
      </c>
      <c r="P4">
        <v>350</v>
      </c>
      <c r="R4">
        <v>2</v>
      </c>
      <c r="S4">
        <f t="shared" ref="S4:S67" si="6">(K4-L4)/(6*I4)</f>
        <v>1.3378360397248659</v>
      </c>
      <c r="T4">
        <f t="shared" ref="T4:T67" si="7">MIN((H4-L4)/(3*I4),(K4-H4)/(3*I4))</f>
        <v>0.66356667570353223</v>
      </c>
      <c r="U4">
        <f t="shared" ref="U4:U67" si="8">(K4-L4)/(6*J4)</f>
        <v>0.84804739688885855</v>
      </c>
      <c r="V4">
        <f t="shared" ref="V4:V67" si="9">MIN(K4-G4,G4-L4)/(3*J4)</f>
        <v>0.67843791751108684</v>
      </c>
      <c r="W4">
        <f t="shared" ref="W4:W67" si="10">1-_xlfn.NORM.S.DIST(M4,1)+_xlfn.NORM.S.DIST(N4,1)</f>
        <v>2.3256938660168647E-2</v>
      </c>
    </row>
    <row r="5" spans="1:23">
      <c r="A5">
        <v>3</v>
      </c>
      <c r="B5">
        <v>351</v>
      </c>
      <c r="C5">
        <v>351</v>
      </c>
      <c r="D5">
        <v>357</v>
      </c>
      <c r="E5">
        <v>352</v>
      </c>
      <c r="F5">
        <v>357</v>
      </c>
      <c r="G5">
        <v>350</v>
      </c>
      <c r="H5">
        <f t="shared" si="0"/>
        <v>353.6</v>
      </c>
      <c r="I5">
        <f t="shared" si="1"/>
        <v>3.1304951684997055</v>
      </c>
      <c r="J5">
        <f t="shared" si="2"/>
        <v>4.7707441767506422</v>
      </c>
      <c r="K5">
        <v>360</v>
      </c>
      <c r="L5">
        <v>335</v>
      </c>
      <c r="M5">
        <f t="shared" si="3"/>
        <v>2.0444050079998006</v>
      </c>
      <c r="N5">
        <f t="shared" si="4"/>
        <v>-5.9415520544994482</v>
      </c>
      <c r="O5">
        <f t="shared" si="5"/>
        <v>347.5</v>
      </c>
      <c r="P5">
        <v>350</v>
      </c>
      <c r="R5">
        <v>3</v>
      </c>
      <c r="S5">
        <f t="shared" si="6"/>
        <v>1.330992843749875</v>
      </c>
      <c r="T5">
        <f t="shared" si="7"/>
        <v>0.68146833599993351</v>
      </c>
      <c r="U5">
        <f t="shared" si="8"/>
        <v>0.87337876697982719</v>
      </c>
      <c r="V5">
        <f t="shared" si="9"/>
        <v>0.69870301358386178</v>
      </c>
      <c r="W5">
        <f t="shared" si="10"/>
        <v>2.045677790392901E-2</v>
      </c>
    </row>
    <row r="6" spans="1:23">
      <c r="A6">
        <v>4</v>
      </c>
      <c r="B6">
        <v>353</v>
      </c>
      <c r="C6">
        <v>357</v>
      </c>
      <c r="D6">
        <v>362</v>
      </c>
      <c r="E6">
        <v>355</v>
      </c>
      <c r="F6">
        <v>361</v>
      </c>
      <c r="G6">
        <v>350</v>
      </c>
      <c r="H6">
        <f t="shared" si="0"/>
        <v>357.6</v>
      </c>
      <c r="I6">
        <f t="shared" si="1"/>
        <v>3.8470768123342691</v>
      </c>
      <c r="J6">
        <f t="shared" si="2"/>
        <v>8.5182157756187618</v>
      </c>
      <c r="K6">
        <v>360</v>
      </c>
      <c r="L6">
        <v>335</v>
      </c>
      <c r="M6">
        <f t="shared" si="3"/>
        <v>0.62385029389203772</v>
      </c>
      <c r="N6">
        <f t="shared" si="4"/>
        <v>-5.8745902674834163</v>
      </c>
      <c r="O6">
        <f t="shared" si="5"/>
        <v>347.5</v>
      </c>
      <c r="P6">
        <v>350</v>
      </c>
      <c r="R6">
        <v>4</v>
      </c>
      <c r="S6">
        <f t="shared" si="6"/>
        <v>1.083073426895909</v>
      </c>
      <c r="T6">
        <f t="shared" si="7"/>
        <v>0.20795009796401254</v>
      </c>
      <c r="U6">
        <f t="shared" si="8"/>
        <v>0.48914781879471714</v>
      </c>
      <c r="V6">
        <f t="shared" si="9"/>
        <v>0.39131825503577372</v>
      </c>
      <c r="W6">
        <f t="shared" si="10"/>
        <v>0.26636295534086596</v>
      </c>
    </row>
    <row r="7" spans="1:23">
      <c r="A7">
        <v>5</v>
      </c>
      <c r="B7">
        <v>350</v>
      </c>
      <c r="C7">
        <v>353</v>
      </c>
      <c r="D7">
        <v>356</v>
      </c>
      <c r="E7">
        <v>353</v>
      </c>
      <c r="F7">
        <v>357</v>
      </c>
      <c r="G7">
        <v>350</v>
      </c>
      <c r="H7">
        <f t="shared" si="0"/>
        <v>353.8</v>
      </c>
      <c r="I7">
        <f t="shared" si="1"/>
        <v>2.7748873851023217</v>
      </c>
      <c r="J7">
        <f t="shared" si="2"/>
        <v>4.7053161424074457</v>
      </c>
      <c r="K7">
        <v>360</v>
      </c>
      <c r="L7">
        <v>335</v>
      </c>
      <c r="M7">
        <f t="shared" si="3"/>
        <v>2.2343249074849822</v>
      </c>
      <c r="N7">
        <f t="shared" si="4"/>
        <v>-6.7750497194706076</v>
      </c>
      <c r="O7">
        <f t="shared" si="5"/>
        <v>347.5</v>
      </c>
      <c r="P7">
        <v>350</v>
      </c>
      <c r="R7">
        <v>5</v>
      </c>
      <c r="S7">
        <f t="shared" si="6"/>
        <v>1.5015624378259314</v>
      </c>
      <c r="T7">
        <f t="shared" si="7"/>
        <v>0.74477496916166064</v>
      </c>
      <c r="U7">
        <f t="shared" si="8"/>
        <v>0.88552321258796818</v>
      </c>
      <c r="V7">
        <f t="shared" si="9"/>
        <v>0.70841857007037456</v>
      </c>
      <c r="W7">
        <f t="shared" si="10"/>
        <v>1.2730851321492468E-2</v>
      </c>
    </row>
    <row r="8" spans="1:23">
      <c r="A8">
        <v>6</v>
      </c>
      <c r="B8">
        <v>351</v>
      </c>
      <c r="C8">
        <v>351</v>
      </c>
      <c r="D8">
        <v>353</v>
      </c>
      <c r="E8">
        <v>351</v>
      </c>
      <c r="F8">
        <v>356</v>
      </c>
      <c r="G8">
        <v>350</v>
      </c>
      <c r="H8">
        <f t="shared" si="0"/>
        <v>352.4</v>
      </c>
      <c r="I8">
        <f t="shared" si="1"/>
        <v>2.1908902300206643</v>
      </c>
      <c r="J8">
        <f t="shared" si="2"/>
        <v>3.2496153618543668</v>
      </c>
      <c r="K8">
        <v>360</v>
      </c>
      <c r="L8">
        <v>335</v>
      </c>
      <c r="M8">
        <f t="shared" si="3"/>
        <v>3.4689095308660627</v>
      </c>
      <c r="N8">
        <f t="shared" si="4"/>
        <v>-7.9419770838248986</v>
      </c>
      <c r="O8">
        <f t="shared" si="5"/>
        <v>347.5</v>
      </c>
      <c r="P8">
        <v>350</v>
      </c>
      <c r="R8">
        <v>6</v>
      </c>
      <c r="S8">
        <f t="shared" si="6"/>
        <v>1.901814435781827</v>
      </c>
      <c r="T8">
        <f t="shared" si="7"/>
        <v>1.1563031769553542</v>
      </c>
      <c r="U8">
        <f t="shared" si="8"/>
        <v>1.2822030310347228</v>
      </c>
      <c r="V8">
        <f t="shared" si="9"/>
        <v>1.0257624248277784</v>
      </c>
      <c r="W8">
        <f t="shared" si="10"/>
        <v>2.6128769756305752E-4</v>
      </c>
    </row>
    <row r="9" spans="1:23">
      <c r="A9">
        <v>7</v>
      </c>
      <c r="B9">
        <v>351</v>
      </c>
      <c r="C9">
        <v>352</v>
      </c>
      <c r="D9">
        <v>360</v>
      </c>
      <c r="E9">
        <v>353</v>
      </c>
      <c r="F9">
        <v>362</v>
      </c>
      <c r="G9">
        <v>350</v>
      </c>
      <c r="H9">
        <f t="shared" si="0"/>
        <v>355.6</v>
      </c>
      <c r="I9">
        <f t="shared" si="1"/>
        <v>5.0299105359837171</v>
      </c>
      <c r="J9">
        <f t="shared" si="2"/>
        <v>7.5272837066235425</v>
      </c>
      <c r="K9">
        <v>360</v>
      </c>
      <c r="L9">
        <v>335</v>
      </c>
      <c r="M9">
        <f t="shared" si="3"/>
        <v>0.87476704973629393</v>
      </c>
      <c r="N9">
        <f t="shared" si="4"/>
        <v>-4.0955002783108565</v>
      </c>
      <c r="O9">
        <f t="shared" si="5"/>
        <v>347.5</v>
      </c>
      <c r="P9">
        <v>350</v>
      </c>
      <c r="R9">
        <v>7</v>
      </c>
      <c r="S9">
        <f t="shared" si="6"/>
        <v>0.82837788800785839</v>
      </c>
      <c r="T9">
        <f t="shared" si="7"/>
        <v>0.29158901657876468</v>
      </c>
      <c r="U9">
        <f t="shared" si="8"/>
        <v>0.55354186570651753</v>
      </c>
      <c r="V9">
        <f t="shared" si="9"/>
        <v>0.44283349256521404</v>
      </c>
      <c r="W9">
        <f t="shared" si="10"/>
        <v>0.19087139748098914</v>
      </c>
    </row>
    <row r="10" spans="1:23">
      <c r="A10">
        <v>8</v>
      </c>
      <c r="B10">
        <v>352</v>
      </c>
      <c r="C10">
        <v>350</v>
      </c>
      <c r="D10">
        <v>357</v>
      </c>
      <c r="E10">
        <v>350</v>
      </c>
      <c r="F10">
        <v>357</v>
      </c>
      <c r="G10">
        <v>350</v>
      </c>
      <c r="H10">
        <f t="shared" si="0"/>
        <v>353.2</v>
      </c>
      <c r="I10">
        <f t="shared" si="1"/>
        <v>3.5637059362410923</v>
      </c>
      <c r="J10">
        <f t="shared" si="2"/>
        <v>4.7895720059312117</v>
      </c>
      <c r="K10">
        <v>360</v>
      </c>
      <c r="L10">
        <v>335</v>
      </c>
      <c r="M10">
        <f t="shared" si="3"/>
        <v>1.9081260131054698</v>
      </c>
      <c r="N10">
        <f t="shared" si="4"/>
        <v>-5.1070431527234517</v>
      </c>
      <c r="O10">
        <f t="shared" si="5"/>
        <v>347.5</v>
      </c>
      <c r="P10">
        <v>350</v>
      </c>
      <c r="R10">
        <v>8</v>
      </c>
      <c r="S10">
        <f t="shared" si="6"/>
        <v>1.1691948609714868</v>
      </c>
      <c r="T10">
        <f t="shared" si="7"/>
        <v>0.63604200436849001</v>
      </c>
      <c r="U10">
        <f t="shared" si="8"/>
        <v>0.86994551110346308</v>
      </c>
      <c r="V10">
        <f t="shared" si="9"/>
        <v>0.69595640888277044</v>
      </c>
      <c r="W10">
        <f t="shared" si="10"/>
        <v>2.8187629275044378E-2</v>
      </c>
    </row>
    <row r="11" spans="1:23">
      <c r="A11">
        <v>9</v>
      </c>
      <c r="B11">
        <v>353</v>
      </c>
      <c r="C11">
        <v>353</v>
      </c>
      <c r="D11">
        <v>359</v>
      </c>
      <c r="E11">
        <v>352</v>
      </c>
      <c r="F11">
        <v>358</v>
      </c>
      <c r="G11">
        <v>350</v>
      </c>
      <c r="H11">
        <f t="shared" si="0"/>
        <v>355</v>
      </c>
      <c r="I11">
        <f t="shared" si="1"/>
        <v>3.2403703492039302</v>
      </c>
      <c r="J11">
        <f t="shared" si="2"/>
        <v>5.9581876439064922</v>
      </c>
      <c r="K11">
        <v>360</v>
      </c>
      <c r="L11">
        <v>335</v>
      </c>
      <c r="M11">
        <f t="shared" si="3"/>
        <v>1.543033499620919</v>
      </c>
      <c r="N11">
        <f t="shared" si="4"/>
        <v>-6.1721339984836758</v>
      </c>
      <c r="O11">
        <f t="shared" si="5"/>
        <v>347.5</v>
      </c>
      <c r="P11">
        <v>350</v>
      </c>
      <c r="R11">
        <v>9</v>
      </c>
      <c r="S11">
        <f t="shared" si="6"/>
        <v>1.2858612496840993</v>
      </c>
      <c r="T11">
        <f t="shared" si="7"/>
        <v>0.51434449987363973</v>
      </c>
      <c r="U11">
        <f t="shared" si="8"/>
        <v>0.69931779858057419</v>
      </c>
      <c r="V11">
        <f t="shared" si="9"/>
        <v>0.55945423886445933</v>
      </c>
      <c r="W11">
        <f t="shared" si="10"/>
        <v>6.1411324387568071E-2</v>
      </c>
    </row>
    <row r="12" spans="1:23">
      <c r="A12">
        <v>10</v>
      </c>
      <c r="B12">
        <v>353</v>
      </c>
      <c r="C12">
        <v>353</v>
      </c>
      <c r="D12">
        <v>355</v>
      </c>
      <c r="E12">
        <v>351</v>
      </c>
      <c r="F12">
        <v>360</v>
      </c>
      <c r="G12">
        <v>350</v>
      </c>
      <c r="H12">
        <f t="shared" si="0"/>
        <v>354.4</v>
      </c>
      <c r="I12">
        <f t="shared" si="1"/>
        <v>3.4351128074635335</v>
      </c>
      <c r="J12">
        <f t="shared" si="2"/>
        <v>5.5821142947811273</v>
      </c>
      <c r="K12">
        <v>360</v>
      </c>
      <c r="L12">
        <v>335</v>
      </c>
      <c r="M12">
        <f t="shared" si="3"/>
        <v>1.6302230272708362</v>
      </c>
      <c r="N12">
        <f t="shared" si="4"/>
        <v>-5.6475583444739383</v>
      </c>
      <c r="O12">
        <f t="shared" si="5"/>
        <v>347.5</v>
      </c>
      <c r="P12">
        <v>350</v>
      </c>
      <c r="R12">
        <v>10</v>
      </c>
      <c r="S12">
        <f t="shared" si="6"/>
        <v>1.2129635619574624</v>
      </c>
      <c r="T12">
        <f t="shared" si="7"/>
        <v>0.54340767575694537</v>
      </c>
      <c r="U12">
        <f t="shared" si="8"/>
        <v>0.74643162906252181</v>
      </c>
      <c r="V12">
        <f t="shared" si="9"/>
        <v>0.59714530325001747</v>
      </c>
      <c r="W12">
        <f t="shared" si="10"/>
        <v>5.1527192541733005E-2</v>
      </c>
    </row>
    <row r="13" spans="1:23">
      <c r="A13">
        <v>11</v>
      </c>
      <c r="B13">
        <v>353</v>
      </c>
      <c r="C13">
        <v>353</v>
      </c>
      <c r="D13">
        <v>354</v>
      </c>
      <c r="E13">
        <v>351</v>
      </c>
      <c r="F13">
        <v>359</v>
      </c>
      <c r="G13">
        <v>350</v>
      </c>
      <c r="H13">
        <f t="shared" si="0"/>
        <v>354</v>
      </c>
      <c r="I13">
        <f t="shared" si="1"/>
        <v>3</v>
      </c>
      <c r="J13">
        <f t="shared" si="2"/>
        <v>5</v>
      </c>
      <c r="K13">
        <v>360</v>
      </c>
      <c r="L13">
        <v>335</v>
      </c>
      <c r="M13">
        <f t="shared" si="3"/>
        <v>2</v>
      </c>
      <c r="N13">
        <f t="shared" si="4"/>
        <v>-6.333333333333333</v>
      </c>
      <c r="O13">
        <f t="shared" si="5"/>
        <v>347.5</v>
      </c>
      <c r="P13">
        <v>350</v>
      </c>
      <c r="R13">
        <v>11</v>
      </c>
      <c r="S13">
        <f t="shared" si="6"/>
        <v>1.3888888888888888</v>
      </c>
      <c r="T13">
        <f t="shared" si="7"/>
        <v>0.66666666666666663</v>
      </c>
      <c r="U13">
        <f t="shared" si="8"/>
        <v>0.83333333333333337</v>
      </c>
      <c r="V13">
        <f t="shared" si="9"/>
        <v>0.66666666666666663</v>
      </c>
      <c r="W13">
        <f t="shared" si="10"/>
        <v>2.2750132068139434E-2</v>
      </c>
    </row>
    <row r="14" spans="1:23">
      <c r="A14">
        <v>12</v>
      </c>
      <c r="B14">
        <v>349</v>
      </c>
      <c r="C14">
        <v>350</v>
      </c>
      <c r="D14">
        <v>359</v>
      </c>
      <c r="E14">
        <v>352</v>
      </c>
      <c r="F14">
        <v>356</v>
      </c>
      <c r="G14">
        <v>350</v>
      </c>
      <c r="H14">
        <f t="shared" si="0"/>
        <v>353.2</v>
      </c>
      <c r="I14">
        <f t="shared" si="1"/>
        <v>4.2071367935925261</v>
      </c>
      <c r="J14">
        <f t="shared" si="2"/>
        <v>5.2858301145609978</v>
      </c>
      <c r="K14">
        <v>360</v>
      </c>
      <c r="L14">
        <v>335</v>
      </c>
      <c r="M14">
        <f t="shared" si="3"/>
        <v>1.6163011410411989</v>
      </c>
      <c r="N14">
        <f t="shared" si="4"/>
        <v>-4.3259824657279049</v>
      </c>
      <c r="O14">
        <f t="shared" si="5"/>
        <v>347.5</v>
      </c>
      <c r="P14">
        <v>350</v>
      </c>
      <c r="R14">
        <v>12</v>
      </c>
      <c r="S14">
        <f t="shared" si="6"/>
        <v>0.99038060112818393</v>
      </c>
      <c r="T14">
        <f t="shared" si="7"/>
        <v>0.53876704701373301</v>
      </c>
      <c r="U14">
        <f t="shared" si="8"/>
        <v>0.78827101445970693</v>
      </c>
      <c r="V14">
        <f t="shared" si="9"/>
        <v>0.6306168115677655</v>
      </c>
      <c r="W14">
        <f t="shared" si="10"/>
        <v>5.3022202804315986E-2</v>
      </c>
    </row>
    <row r="15" spans="1:23">
      <c r="A15">
        <v>13</v>
      </c>
      <c r="B15">
        <v>350</v>
      </c>
      <c r="C15">
        <v>351</v>
      </c>
      <c r="D15">
        <v>361</v>
      </c>
      <c r="E15">
        <v>350</v>
      </c>
      <c r="F15">
        <v>359</v>
      </c>
      <c r="G15">
        <v>350</v>
      </c>
      <c r="H15">
        <f t="shared" si="0"/>
        <v>354.2</v>
      </c>
      <c r="I15">
        <f t="shared" si="1"/>
        <v>5.3572380943915494</v>
      </c>
      <c r="J15">
        <f t="shared" si="2"/>
        <v>6.8073489700469967</v>
      </c>
      <c r="K15">
        <v>360</v>
      </c>
      <c r="L15">
        <v>335</v>
      </c>
      <c r="M15">
        <f t="shared" si="3"/>
        <v>1.0826474197725104</v>
      </c>
      <c r="N15">
        <f t="shared" si="4"/>
        <v>-3.5839362861434734</v>
      </c>
      <c r="O15">
        <f t="shared" si="5"/>
        <v>347.5</v>
      </c>
      <c r="P15">
        <v>350</v>
      </c>
      <c r="R15">
        <v>13</v>
      </c>
      <c r="S15">
        <f t="shared" si="6"/>
        <v>0.77776395098599727</v>
      </c>
      <c r="T15">
        <f t="shared" si="7"/>
        <v>0.36088247325750344</v>
      </c>
      <c r="U15">
        <f t="shared" si="8"/>
        <v>0.61208360038546705</v>
      </c>
      <c r="V15">
        <f t="shared" si="9"/>
        <v>0.48966688030837358</v>
      </c>
      <c r="W15">
        <f t="shared" si="10"/>
        <v>0.1396517027298099</v>
      </c>
    </row>
    <row r="16" spans="1:23">
      <c r="A16">
        <v>14</v>
      </c>
      <c r="B16">
        <v>349</v>
      </c>
      <c r="C16">
        <v>351</v>
      </c>
      <c r="D16">
        <v>360</v>
      </c>
      <c r="E16">
        <v>351</v>
      </c>
      <c r="F16">
        <v>358</v>
      </c>
      <c r="G16">
        <v>350</v>
      </c>
      <c r="H16">
        <f t="shared" si="0"/>
        <v>353.8</v>
      </c>
      <c r="I16">
        <f t="shared" si="1"/>
        <v>4.8682645778552338</v>
      </c>
      <c r="J16">
        <f t="shared" si="2"/>
        <v>6.1757590626578107</v>
      </c>
      <c r="K16">
        <v>360</v>
      </c>
      <c r="L16">
        <v>335</v>
      </c>
      <c r="M16">
        <f t="shared" si="3"/>
        <v>1.2735544465275273</v>
      </c>
      <c r="N16">
        <f t="shared" si="4"/>
        <v>-3.8617457410834795</v>
      </c>
      <c r="O16">
        <f t="shared" si="5"/>
        <v>347.5</v>
      </c>
      <c r="P16">
        <v>350</v>
      </c>
      <c r="R16">
        <v>14</v>
      </c>
      <c r="S16">
        <f t="shared" si="6"/>
        <v>0.85588336460183445</v>
      </c>
      <c r="T16">
        <f t="shared" si="7"/>
        <v>0.4245181488425091</v>
      </c>
      <c r="U16">
        <f t="shared" si="8"/>
        <v>0.67468089742372372</v>
      </c>
      <c r="V16">
        <f t="shared" si="9"/>
        <v>0.53974471793897905</v>
      </c>
      <c r="W16">
        <f t="shared" si="10"/>
        <v>0.10146697239602272</v>
      </c>
    </row>
    <row r="17" spans="1:23">
      <c r="A17">
        <v>15</v>
      </c>
      <c r="B17">
        <v>351</v>
      </c>
      <c r="C17">
        <v>351</v>
      </c>
      <c r="D17">
        <v>360</v>
      </c>
      <c r="E17">
        <v>351</v>
      </c>
      <c r="F17">
        <v>360</v>
      </c>
      <c r="G17">
        <v>350</v>
      </c>
      <c r="H17">
        <f t="shared" si="0"/>
        <v>354.6</v>
      </c>
      <c r="I17">
        <f t="shared" si="1"/>
        <v>4.9295030175464953</v>
      </c>
      <c r="J17">
        <f t="shared" si="2"/>
        <v>6.7424031324150455</v>
      </c>
      <c r="K17">
        <v>360</v>
      </c>
      <c r="L17">
        <v>335</v>
      </c>
      <c r="M17">
        <f t="shared" si="3"/>
        <v>1.0954451150103275</v>
      </c>
      <c r="N17">
        <f t="shared" si="4"/>
        <v>-3.9760600470745437</v>
      </c>
      <c r="O17">
        <f t="shared" si="5"/>
        <v>347.5</v>
      </c>
      <c r="P17">
        <v>350</v>
      </c>
      <c r="R17">
        <v>15</v>
      </c>
      <c r="S17">
        <f t="shared" si="6"/>
        <v>0.84525086034747843</v>
      </c>
      <c r="T17">
        <f t="shared" si="7"/>
        <v>0.36514837167010916</v>
      </c>
      <c r="U17">
        <f t="shared" si="8"/>
        <v>0.61797946293582395</v>
      </c>
      <c r="V17">
        <f t="shared" si="9"/>
        <v>0.49438357034865915</v>
      </c>
      <c r="W17">
        <f t="shared" si="10"/>
        <v>0.13669587236643924</v>
      </c>
    </row>
    <row r="18" spans="1:23">
      <c r="A18">
        <v>16</v>
      </c>
      <c r="B18">
        <v>349</v>
      </c>
      <c r="C18">
        <v>350</v>
      </c>
      <c r="D18">
        <v>359</v>
      </c>
      <c r="E18">
        <v>351</v>
      </c>
      <c r="F18">
        <v>357</v>
      </c>
      <c r="G18">
        <v>350</v>
      </c>
      <c r="H18">
        <f t="shared" si="0"/>
        <v>353.2</v>
      </c>
      <c r="I18">
        <f t="shared" si="1"/>
        <v>4.4944410108488464</v>
      </c>
      <c r="J18">
        <f t="shared" si="2"/>
        <v>5.5172456896534818</v>
      </c>
      <c r="K18">
        <v>360</v>
      </c>
      <c r="L18">
        <v>335</v>
      </c>
      <c r="M18">
        <f t="shared" si="3"/>
        <v>1.5129801422659508</v>
      </c>
      <c r="N18">
        <f t="shared" si="4"/>
        <v>-4.0494468513588586</v>
      </c>
      <c r="O18">
        <f t="shared" si="5"/>
        <v>347.5</v>
      </c>
      <c r="P18">
        <v>350</v>
      </c>
      <c r="R18">
        <v>16</v>
      </c>
      <c r="S18">
        <f t="shared" si="6"/>
        <v>0.92707116560413494</v>
      </c>
      <c r="T18">
        <f t="shared" si="7"/>
        <v>0.50432671408865026</v>
      </c>
      <c r="U18">
        <f t="shared" si="8"/>
        <v>0.75520774332751528</v>
      </c>
      <c r="V18">
        <f t="shared" si="9"/>
        <v>0.60416619466201227</v>
      </c>
      <c r="W18">
        <f t="shared" si="10"/>
        <v>6.5168020929569193E-2</v>
      </c>
    </row>
    <row r="19" spans="1:23">
      <c r="A19">
        <v>17</v>
      </c>
      <c r="B19">
        <v>369</v>
      </c>
      <c r="C19">
        <v>366</v>
      </c>
      <c r="D19">
        <v>374</v>
      </c>
      <c r="E19">
        <v>369</v>
      </c>
      <c r="F19">
        <v>374</v>
      </c>
      <c r="G19">
        <v>350</v>
      </c>
      <c r="H19">
        <f t="shared" si="0"/>
        <v>370.4</v>
      </c>
      <c r="I19">
        <f t="shared" si="1"/>
        <v>3.5071355833500366</v>
      </c>
      <c r="J19">
        <f t="shared" si="2"/>
        <v>20.699275349634807</v>
      </c>
      <c r="K19">
        <v>360</v>
      </c>
      <c r="L19">
        <v>335</v>
      </c>
      <c r="M19">
        <f t="shared" si="3"/>
        <v>-2.9653829322634389</v>
      </c>
      <c r="N19">
        <f t="shared" si="4"/>
        <v>-10.093707288665952</v>
      </c>
      <c r="O19">
        <f t="shared" si="5"/>
        <v>347.5</v>
      </c>
      <c r="P19">
        <v>350</v>
      </c>
      <c r="R19">
        <v>17</v>
      </c>
      <c r="S19">
        <f t="shared" si="6"/>
        <v>1.1880540594004187</v>
      </c>
      <c r="T19">
        <f t="shared" si="7"/>
        <v>-0.98846097742114625</v>
      </c>
      <c r="U19">
        <f t="shared" si="8"/>
        <v>0.20129529156392317</v>
      </c>
      <c r="V19">
        <f t="shared" si="9"/>
        <v>0.16103623325113856</v>
      </c>
      <c r="W19">
        <f t="shared" si="10"/>
        <v>0.99848846811338177</v>
      </c>
    </row>
    <row r="20" spans="1:23">
      <c r="A20">
        <v>18</v>
      </c>
      <c r="B20">
        <v>356</v>
      </c>
      <c r="C20">
        <v>351</v>
      </c>
      <c r="D20">
        <v>361</v>
      </c>
      <c r="E20">
        <v>357</v>
      </c>
      <c r="F20">
        <v>361</v>
      </c>
      <c r="G20">
        <v>350</v>
      </c>
      <c r="H20">
        <f t="shared" si="0"/>
        <v>357.2</v>
      </c>
      <c r="I20">
        <f t="shared" si="1"/>
        <v>4.1472882706655438</v>
      </c>
      <c r="J20">
        <f t="shared" si="2"/>
        <v>8.3090312311363839</v>
      </c>
      <c r="K20">
        <v>360</v>
      </c>
      <c r="L20">
        <v>335</v>
      </c>
      <c r="M20">
        <f t="shared" si="3"/>
        <v>0.67513995103857971</v>
      </c>
      <c r="N20">
        <f t="shared" si="4"/>
        <v>-5.3528953260915717</v>
      </c>
      <c r="O20">
        <f t="shared" si="5"/>
        <v>347.5</v>
      </c>
      <c r="P20">
        <v>350</v>
      </c>
      <c r="R20">
        <v>18</v>
      </c>
      <c r="S20">
        <f t="shared" si="6"/>
        <v>1.0046725461883588</v>
      </c>
      <c r="T20">
        <f t="shared" si="7"/>
        <v>0.22504665034619326</v>
      </c>
      <c r="U20">
        <f t="shared" si="8"/>
        <v>0.5014623908323923</v>
      </c>
      <c r="V20">
        <f t="shared" si="9"/>
        <v>0.40116991266591379</v>
      </c>
      <c r="W20">
        <f t="shared" si="10"/>
        <v>0.24979346999829402</v>
      </c>
    </row>
    <row r="21" spans="1:23">
      <c r="A21">
        <v>19</v>
      </c>
      <c r="B21">
        <v>355</v>
      </c>
      <c r="C21">
        <v>354</v>
      </c>
      <c r="D21">
        <v>366</v>
      </c>
      <c r="E21">
        <v>356</v>
      </c>
      <c r="F21">
        <v>366</v>
      </c>
      <c r="G21">
        <v>350</v>
      </c>
      <c r="H21">
        <f t="shared" si="0"/>
        <v>359.4</v>
      </c>
      <c r="I21">
        <f t="shared" si="1"/>
        <v>6.06630035524124</v>
      </c>
      <c r="J21">
        <f t="shared" si="2"/>
        <v>11.187493016757578</v>
      </c>
      <c r="K21">
        <v>360</v>
      </c>
      <c r="L21">
        <v>335</v>
      </c>
      <c r="M21">
        <f t="shared" si="3"/>
        <v>9.8907071009371808E-2</v>
      </c>
      <c r="N21">
        <f t="shared" si="4"/>
        <v>-4.0222208877142975</v>
      </c>
      <c r="O21">
        <f t="shared" si="5"/>
        <v>347.5</v>
      </c>
      <c r="P21">
        <v>350</v>
      </c>
      <c r="R21">
        <v>19</v>
      </c>
      <c r="S21">
        <f t="shared" si="6"/>
        <v>0.68685465978727811</v>
      </c>
      <c r="T21">
        <f t="shared" si="7"/>
        <v>3.2969023669790598E-2</v>
      </c>
      <c r="U21">
        <f t="shared" si="8"/>
        <v>0.37243971106176149</v>
      </c>
      <c r="V21">
        <f t="shared" si="9"/>
        <v>0.29795176884940916</v>
      </c>
      <c r="W21">
        <f t="shared" si="10"/>
        <v>0.46063485326867681</v>
      </c>
    </row>
    <row r="22" spans="1:23">
      <c r="A22">
        <v>20</v>
      </c>
      <c r="B22">
        <v>353</v>
      </c>
      <c r="C22">
        <v>352</v>
      </c>
      <c r="D22">
        <v>363</v>
      </c>
      <c r="E22">
        <v>353</v>
      </c>
      <c r="F22">
        <v>362</v>
      </c>
      <c r="G22">
        <v>350</v>
      </c>
      <c r="H22">
        <f t="shared" si="0"/>
        <v>356.6</v>
      </c>
      <c r="I22">
        <f t="shared" si="1"/>
        <v>5.4129474410897434</v>
      </c>
      <c r="J22">
        <f t="shared" si="2"/>
        <v>8.5358069331493382</v>
      </c>
      <c r="K22">
        <v>360</v>
      </c>
      <c r="L22">
        <v>335</v>
      </c>
      <c r="M22">
        <f t="shared" si="3"/>
        <v>0.62812359384658711</v>
      </c>
      <c r="N22">
        <f t="shared" si="4"/>
        <v>-3.9904322432607024</v>
      </c>
      <c r="O22">
        <f t="shared" si="5"/>
        <v>347.5</v>
      </c>
      <c r="P22">
        <v>350</v>
      </c>
      <c r="R22">
        <v>20</v>
      </c>
      <c r="S22">
        <f t="shared" si="6"/>
        <v>0.76975930618454813</v>
      </c>
      <c r="T22">
        <f t="shared" si="7"/>
        <v>0.20937453128219569</v>
      </c>
      <c r="U22">
        <f t="shared" si="8"/>
        <v>0.48813975050034897</v>
      </c>
      <c r="V22">
        <f t="shared" si="9"/>
        <v>0.39051180040027916</v>
      </c>
      <c r="W22">
        <f t="shared" si="10"/>
        <v>0.26499446554153488</v>
      </c>
    </row>
    <row r="23" spans="1:23">
      <c r="A23">
        <v>21</v>
      </c>
      <c r="B23">
        <v>354</v>
      </c>
      <c r="C23">
        <v>353</v>
      </c>
      <c r="D23">
        <v>364</v>
      </c>
      <c r="E23">
        <v>354</v>
      </c>
      <c r="F23">
        <v>364</v>
      </c>
      <c r="G23">
        <v>350</v>
      </c>
      <c r="H23">
        <f t="shared" si="0"/>
        <v>357.8</v>
      </c>
      <c r="I23">
        <f t="shared" si="1"/>
        <v>5.6745043836444422</v>
      </c>
      <c r="J23">
        <f t="shared" si="2"/>
        <v>9.6457244414300032</v>
      </c>
      <c r="K23">
        <v>360</v>
      </c>
      <c r="L23">
        <v>335</v>
      </c>
      <c r="M23">
        <f t="shared" si="3"/>
        <v>0.38769905726763082</v>
      </c>
      <c r="N23">
        <f t="shared" si="4"/>
        <v>-4.0179720480463788</v>
      </c>
      <c r="O23">
        <f t="shared" si="5"/>
        <v>347.5</v>
      </c>
      <c r="P23">
        <v>350</v>
      </c>
      <c r="R23">
        <v>21</v>
      </c>
      <c r="S23">
        <f t="shared" si="6"/>
        <v>0.73427851755233486</v>
      </c>
      <c r="T23">
        <f t="shared" si="7"/>
        <v>0.12923301908921028</v>
      </c>
      <c r="U23">
        <f t="shared" si="8"/>
        <v>0.43197031928158086</v>
      </c>
      <c r="V23">
        <f t="shared" si="9"/>
        <v>0.34557625542526471</v>
      </c>
      <c r="W23">
        <f t="shared" si="10"/>
        <v>0.34914872733925467</v>
      </c>
    </row>
    <row r="24" spans="1:23">
      <c r="A24">
        <v>22</v>
      </c>
      <c r="B24">
        <v>354</v>
      </c>
      <c r="C24">
        <v>354</v>
      </c>
      <c r="D24">
        <v>360</v>
      </c>
      <c r="E24">
        <v>356</v>
      </c>
      <c r="F24">
        <v>360</v>
      </c>
      <c r="G24">
        <v>350</v>
      </c>
      <c r="H24">
        <f t="shared" si="0"/>
        <v>356.8</v>
      </c>
      <c r="I24">
        <f t="shared" si="1"/>
        <v>3.03315017762062</v>
      </c>
      <c r="J24">
        <f t="shared" si="2"/>
        <v>7.4458041875945247</v>
      </c>
      <c r="K24">
        <v>360</v>
      </c>
      <c r="L24">
        <v>335</v>
      </c>
      <c r="M24">
        <f t="shared" si="3"/>
        <v>1.0550087574332556</v>
      </c>
      <c r="N24">
        <f t="shared" si="4"/>
        <v>-7.187247160014083</v>
      </c>
      <c r="O24">
        <f t="shared" si="5"/>
        <v>347.5</v>
      </c>
      <c r="P24">
        <v>350</v>
      </c>
      <c r="R24">
        <v>22</v>
      </c>
      <c r="S24">
        <f t="shared" si="6"/>
        <v>1.3737093195745562</v>
      </c>
      <c r="T24">
        <f t="shared" si="7"/>
        <v>0.35166958581108515</v>
      </c>
      <c r="U24">
        <f t="shared" si="8"/>
        <v>0.55959928057317998</v>
      </c>
      <c r="V24">
        <f t="shared" si="9"/>
        <v>0.44767942445854397</v>
      </c>
      <c r="W24">
        <f t="shared" si="10"/>
        <v>0.14571065977136125</v>
      </c>
    </row>
    <row r="25" spans="1:23">
      <c r="A25">
        <v>23</v>
      </c>
      <c r="B25">
        <v>358</v>
      </c>
      <c r="C25">
        <v>356</v>
      </c>
      <c r="D25">
        <v>366</v>
      </c>
      <c r="E25">
        <v>357</v>
      </c>
      <c r="F25">
        <v>366</v>
      </c>
      <c r="G25">
        <v>350</v>
      </c>
      <c r="H25">
        <f t="shared" si="0"/>
        <v>360.6</v>
      </c>
      <c r="I25">
        <f t="shared" si="1"/>
        <v>4.9799598391954927</v>
      </c>
      <c r="J25">
        <f t="shared" si="2"/>
        <v>11.711532777565901</v>
      </c>
      <c r="K25">
        <v>360</v>
      </c>
      <c r="L25">
        <v>335</v>
      </c>
      <c r="M25">
        <f t="shared" si="3"/>
        <v>-0.1204828993353794</v>
      </c>
      <c r="N25">
        <f t="shared" si="4"/>
        <v>-5.1406037049759972</v>
      </c>
      <c r="O25">
        <f t="shared" si="5"/>
        <v>347.5</v>
      </c>
      <c r="P25">
        <v>350</v>
      </c>
      <c r="R25">
        <v>23</v>
      </c>
      <c r="S25">
        <f t="shared" si="6"/>
        <v>0.83668680094010306</v>
      </c>
      <c r="T25">
        <f t="shared" si="7"/>
        <v>-4.016096644512647E-2</v>
      </c>
      <c r="U25">
        <f t="shared" si="8"/>
        <v>0.35577466637399935</v>
      </c>
      <c r="V25">
        <f t="shared" si="9"/>
        <v>0.28461973309919947</v>
      </c>
      <c r="W25">
        <f t="shared" si="10"/>
        <v>0.54794982427109074</v>
      </c>
    </row>
    <row r="26" spans="1:23">
      <c r="A26">
        <v>24</v>
      </c>
      <c r="B26">
        <v>358</v>
      </c>
      <c r="C26">
        <v>355</v>
      </c>
      <c r="D26">
        <v>365</v>
      </c>
      <c r="E26">
        <v>357</v>
      </c>
      <c r="F26">
        <v>366</v>
      </c>
      <c r="G26">
        <v>350</v>
      </c>
      <c r="H26">
        <f t="shared" si="0"/>
        <v>360.2</v>
      </c>
      <c r="I26">
        <f t="shared" si="1"/>
        <v>4.9699094559156709</v>
      </c>
      <c r="J26">
        <f t="shared" si="2"/>
        <v>11.346365056704272</v>
      </c>
      <c r="K26">
        <v>360</v>
      </c>
      <c r="L26">
        <v>335</v>
      </c>
      <c r="M26">
        <f t="shared" si="3"/>
        <v>-4.0242181829274401E-2</v>
      </c>
      <c r="N26">
        <f t="shared" si="4"/>
        <v>-5.0705149104888605</v>
      </c>
      <c r="O26">
        <f t="shared" si="5"/>
        <v>347.5</v>
      </c>
      <c r="P26">
        <v>350</v>
      </c>
      <c r="R26">
        <v>24</v>
      </c>
      <c r="S26">
        <f t="shared" si="6"/>
        <v>0.83837878810993094</v>
      </c>
      <c r="T26">
        <f t="shared" si="7"/>
        <v>-1.3414060609758133E-2</v>
      </c>
      <c r="U26">
        <f t="shared" si="8"/>
        <v>0.36722480246699729</v>
      </c>
      <c r="V26">
        <f t="shared" si="9"/>
        <v>0.2937798419735978</v>
      </c>
      <c r="W26">
        <f t="shared" si="10"/>
        <v>0.51605017406359666</v>
      </c>
    </row>
    <row r="27" spans="1:23">
      <c r="A27">
        <v>25</v>
      </c>
      <c r="B27">
        <v>356</v>
      </c>
      <c r="C27">
        <v>353</v>
      </c>
      <c r="D27">
        <v>365</v>
      </c>
      <c r="E27">
        <v>356</v>
      </c>
      <c r="F27">
        <v>364</v>
      </c>
      <c r="G27">
        <v>350</v>
      </c>
      <c r="H27">
        <f t="shared" si="0"/>
        <v>358.8</v>
      </c>
      <c r="I27">
        <f t="shared" si="1"/>
        <v>5.3572380943915494</v>
      </c>
      <c r="J27">
        <f t="shared" si="2"/>
        <v>10.302426898551632</v>
      </c>
      <c r="K27">
        <v>360</v>
      </c>
      <c r="L27">
        <v>335</v>
      </c>
      <c r="M27">
        <f t="shared" si="3"/>
        <v>0.22399601788396512</v>
      </c>
      <c r="N27">
        <f t="shared" si="4"/>
        <v>-4.4425876880320185</v>
      </c>
      <c r="O27">
        <f t="shared" si="5"/>
        <v>347.5</v>
      </c>
      <c r="P27">
        <v>350</v>
      </c>
      <c r="R27">
        <v>25</v>
      </c>
      <c r="S27">
        <f t="shared" si="6"/>
        <v>0.77776395098599727</v>
      </c>
      <c r="T27">
        <f t="shared" si="7"/>
        <v>7.466533929465502E-2</v>
      </c>
      <c r="U27">
        <f t="shared" si="8"/>
        <v>0.40443545076281373</v>
      </c>
      <c r="V27">
        <f t="shared" si="9"/>
        <v>0.323548360610251</v>
      </c>
      <c r="W27">
        <f t="shared" si="10"/>
        <v>0.41138464506177924</v>
      </c>
    </row>
    <row r="28" spans="1:23">
      <c r="A28">
        <v>26</v>
      </c>
      <c r="B28">
        <v>333</v>
      </c>
      <c r="C28">
        <v>346</v>
      </c>
      <c r="D28">
        <v>338</v>
      </c>
      <c r="E28">
        <v>335</v>
      </c>
      <c r="F28">
        <v>338</v>
      </c>
      <c r="G28">
        <v>350</v>
      </c>
      <c r="H28">
        <f t="shared" si="0"/>
        <v>338</v>
      </c>
      <c r="I28">
        <f t="shared" si="1"/>
        <v>4.9497474683058327</v>
      </c>
      <c r="J28">
        <f t="shared" si="2"/>
        <v>12.98075498574717</v>
      </c>
      <c r="K28">
        <v>360</v>
      </c>
      <c r="L28">
        <v>335</v>
      </c>
      <c r="M28">
        <f t="shared" si="3"/>
        <v>4.4446711960297272</v>
      </c>
      <c r="N28">
        <f t="shared" si="4"/>
        <v>-0.60609152673132649</v>
      </c>
      <c r="O28">
        <f t="shared" si="5"/>
        <v>347.5</v>
      </c>
      <c r="P28">
        <v>350</v>
      </c>
      <c r="R28">
        <v>26</v>
      </c>
      <c r="S28">
        <f t="shared" si="6"/>
        <v>0.84179378712684239</v>
      </c>
      <c r="T28">
        <f t="shared" si="7"/>
        <v>0.20203050891044216</v>
      </c>
      <c r="U28">
        <f t="shared" si="8"/>
        <v>0.32098800657139387</v>
      </c>
      <c r="V28">
        <f t="shared" si="9"/>
        <v>0.25679040525711511</v>
      </c>
      <c r="W28">
        <f t="shared" si="10"/>
        <v>0.27223138995682772</v>
      </c>
    </row>
    <row r="29" spans="1:23">
      <c r="A29">
        <v>27</v>
      </c>
      <c r="B29">
        <v>351</v>
      </c>
      <c r="C29">
        <v>349</v>
      </c>
      <c r="D29">
        <v>361</v>
      </c>
      <c r="E29">
        <v>351</v>
      </c>
      <c r="F29">
        <v>361</v>
      </c>
      <c r="G29">
        <v>350</v>
      </c>
      <c r="H29">
        <f t="shared" si="0"/>
        <v>354.6</v>
      </c>
      <c r="I29">
        <f t="shared" si="1"/>
        <v>5.8991524815010496</v>
      </c>
      <c r="J29">
        <f t="shared" si="2"/>
        <v>7.4806416837060308</v>
      </c>
      <c r="K29">
        <v>360</v>
      </c>
      <c r="L29">
        <v>335</v>
      </c>
      <c r="M29">
        <f t="shared" si="3"/>
        <v>0.9153857298880903</v>
      </c>
      <c r="N29">
        <f t="shared" si="4"/>
        <v>-3.322511167741975</v>
      </c>
      <c r="O29">
        <f t="shared" si="5"/>
        <v>347.5</v>
      </c>
      <c r="P29">
        <v>350</v>
      </c>
      <c r="R29">
        <v>27</v>
      </c>
      <c r="S29">
        <f t="shared" si="6"/>
        <v>0.70631614960501088</v>
      </c>
      <c r="T29">
        <f t="shared" si="7"/>
        <v>0.30512857662936338</v>
      </c>
      <c r="U29">
        <f t="shared" si="8"/>
        <v>0.55699321566788818</v>
      </c>
      <c r="V29">
        <f t="shared" si="9"/>
        <v>0.44559457253431051</v>
      </c>
      <c r="W29">
        <f t="shared" si="10"/>
        <v>0.18044063907916255</v>
      </c>
    </row>
    <row r="30" spans="1:23">
      <c r="A30">
        <v>28</v>
      </c>
      <c r="B30">
        <v>350</v>
      </c>
      <c r="C30">
        <v>349</v>
      </c>
      <c r="D30">
        <v>348</v>
      </c>
      <c r="E30">
        <v>349</v>
      </c>
      <c r="F30">
        <v>350</v>
      </c>
      <c r="G30">
        <v>350</v>
      </c>
      <c r="H30">
        <f t="shared" si="0"/>
        <v>349.2</v>
      </c>
      <c r="I30">
        <f t="shared" si="1"/>
        <v>0.83666002653407556</v>
      </c>
      <c r="J30">
        <f t="shared" si="2"/>
        <v>1.1575836902790304</v>
      </c>
      <c r="K30">
        <v>360</v>
      </c>
      <c r="L30">
        <v>335</v>
      </c>
      <c r="M30">
        <f t="shared" si="3"/>
        <v>12.908468980811465</v>
      </c>
      <c r="N30">
        <f t="shared" si="4"/>
        <v>-16.972246252548377</v>
      </c>
      <c r="O30">
        <f t="shared" si="5"/>
        <v>347.5</v>
      </c>
      <c r="P30">
        <v>350</v>
      </c>
      <c r="R30">
        <v>28</v>
      </c>
      <c r="S30">
        <f t="shared" si="6"/>
        <v>4.9801192055599737</v>
      </c>
      <c r="T30">
        <f t="shared" si="7"/>
        <v>4.3028229936038214</v>
      </c>
      <c r="U30">
        <f t="shared" si="8"/>
        <v>3.5994517732556424</v>
      </c>
      <c r="V30">
        <f t="shared" si="9"/>
        <v>2.879561418604514</v>
      </c>
      <c r="W30">
        <f t="shared" si="10"/>
        <v>6.5896467169892424E-65</v>
      </c>
    </row>
    <row r="31" spans="1:23">
      <c r="A31">
        <v>29</v>
      </c>
      <c r="B31">
        <v>352</v>
      </c>
      <c r="C31">
        <v>352</v>
      </c>
      <c r="D31">
        <v>364</v>
      </c>
      <c r="E31">
        <v>354</v>
      </c>
      <c r="F31">
        <v>361</v>
      </c>
      <c r="G31">
        <v>350</v>
      </c>
      <c r="H31">
        <f t="shared" si="0"/>
        <v>356.6</v>
      </c>
      <c r="I31">
        <f t="shared" si="1"/>
        <v>5.5497747702046434</v>
      </c>
      <c r="J31">
        <f t="shared" si="2"/>
        <v>8.6232244549240562</v>
      </c>
      <c r="K31">
        <v>360</v>
      </c>
      <c r="L31">
        <v>335</v>
      </c>
      <c r="M31">
        <f t="shared" si="3"/>
        <v>0.61263747463297602</v>
      </c>
      <c r="N31">
        <f t="shared" si="4"/>
        <v>-3.8920498388448186</v>
      </c>
      <c r="O31">
        <f t="shared" si="5"/>
        <v>347.5</v>
      </c>
      <c r="P31">
        <v>350</v>
      </c>
      <c r="R31">
        <v>29</v>
      </c>
      <c r="S31">
        <f t="shared" si="6"/>
        <v>0.75078121891296568</v>
      </c>
      <c r="T31">
        <f t="shared" si="7"/>
        <v>0.2042124915443253</v>
      </c>
      <c r="U31">
        <f t="shared" si="8"/>
        <v>0.4831912573361587</v>
      </c>
      <c r="V31">
        <f t="shared" si="9"/>
        <v>0.38655300586892699</v>
      </c>
      <c r="W31">
        <f t="shared" si="10"/>
        <v>0.27010773723604692</v>
      </c>
    </row>
    <row r="32" spans="1:23">
      <c r="A32">
        <v>30</v>
      </c>
      <c r="B32">
        <v>351</v>
      </c>
      <c r="C32">
        <v>357</v>
      </c>
      <c r="D32">
        <v>363</v>
      </c>
      <c r="E32">
        <v>353</v>
      </c>
      <c r="F32">
        <v>361</v>
      </c>
      <c r="G32">
        <v>350</v>
      </c>
      <c r="H32">
        <f t="shared" si="0"/>
        <v>357</v>
      </c>
      <c r="I32">
        <f t="shared" si="1"/>
        <v>5.0990195135927845</v>
      </c>
      <c r="J32">
        <f t="shared" si="2"/>
        <v>8.6602540378443873</v>
      </c>
      <c r="K32">
        <v>360</v>
      </c>
      <c r="L32">
        <v>335</v>
      </c>
      <c r="M32">
        <f t="shared" si="3"/>
        <v>0.58834840541455213</v>
      </c>
      <c r="N32">
        <f t="shared" si="4"/>
        <v>-4.3145549730400488</v>
      </c>
      <c r="O32">
        <f t="shared" si="5"/>
        <v>347.5</v>
      </c>
      <c r="P32">
        <v>350</v>
      </c>
      <c r="R32">
        <v>30</v>
      </c>
      <c r="S32">
        <f t="shared" si="6"/>
        <v>0.81715056307576683</v>
      </c>
      <c r="T32">
        <f t="shared" si="7"/>
        <v>0.19611613513818404</v>
      </c>
      <c r="U32">
        <f t="shared" si="8"/>
        <v>0.48112522432468813</v>
      </c>
      <c r="V32">
        <f t="shared" si="9"/>
        <v>0.38490017945975052</v>
      </c>
      <c r="W32">
        <f t="shared" si="10"/>
        <v>0.27815722687416394</v>
      </c>
    </row>
    <row r="33" spans="1:23">
      <c r="A33">
        <v>31</v>
      </c>
      <c r="B33">
        <v>352</v>
      </c>
      <c r="C33">
        <v>352</v>
      </c>
      <c r="D33">
        <v>364</v>
      </c>
      <c r="E33">
        <v>354</v>
      </c>
      <c r="F33">
        <v>362</v>
      </c>
      <c r="G33">
        <v>350</v>
      </c>
      <c r="H33">
        <f t="shared" si="0"/>
        <v>356.8</v>
      </c>
      <c r="I33">
        <f t="shared" si="1"/>
        <v>5.7619441163551732</v>
      </c>
      <c r="J33">
        <f t="shared" si="2"/>
        <v>8.9129119820628855</v>
      </c>
      <c r="K33">
        <v>360</v>
      </c>
      <c r="L33">
        <v>335</v>
      </c>
      <c r="M33">
        <f t="shared" si="3"/>
        <v>0.55536810760049671</v>
      </c>
      <c r="N33">
        <f t="shared" si="4"/>
        <v>-3.7834452330283992</v>
      </c>
      <c r="O33">
        <f t="shared" si="5"/>
        <v>347.5</v>
      </c>
      <c r="P33">
        <v>350</v>
      </c>
      <c r="R33">
        <v>31</v>
      </c>
      <c r="S33">
        <f t="shared" si="6"/>
        <v>0.72313555677148267</v>
      </c>
      <c r="T33">
        <f t="shared" si="7"/>
        <v>0.18512270253349891</v>
      </c>
      <c r="U33">
        <f t="shared" si="8"/>
        <v>0.46748657173458319</v>
      </c>
      <c r="V33">
        <f t="shared" si="9"/>
        <v>0.37398925738766653</v>
      </c>
      <c r="W33">
        <f t="shared" si="10"/>
        <v>0.28939878728743934</v>
      </c>
    </row>
    <row r="34" spans="1:23">
      <c r="A34">
        <v>32</v>
      </c>
      <c r="B34">
        <v>349</v>
      </c>
      <c r="C34">
        <v>351</v>
      </c>
      <c r="D34">
        <v>363</v>
      </c>
      <c r="E34">
        <v>352</v>
      </c>
      <c r="F34">
        <v>362</v>
      </c>
      <c r="G34">
        <v>350</v>
      </c>
      <c r="H34">
        <f t="shared" si="0"/>
        <v>355.4</v>
      </c>
      <c r="I34">
        <f t="shared" si="1"/>
        <v>6.58027355054484</v>
      </c>
      <c r="J34">
        <f t="shared" si="2"/>
        <v>8.5123439780121526</v>
      </c>
      <c r="K34">
        <v>360</v>
      </c>
      <c r="L34">
        <v>335</v>
      </c>
      <c r="M34">
        <f t="shared" si="3"/>
        <v>0.69905908389160321</v>
      </c>
      <c r="N34">
        <f t="shared" si="4"/>
        <v>-3.1001750676931779</v>
      </c>
      <c r="O34">
        <f t="shared" si="5"/>
        <v>347.5</v>
      </c>
      <c r="P34">
        <v>350</v>
      </c>
      <c r="R34">
        <v>32</v>
      </c>
      <c r="S34">
        <f t="shared" si="6"/>
        <v>0.63320569193079679</v>
      </c>
      <c r="T34">
        <f t="shared" si="7"/>
        <v>0.23301969463053437</v>
      </c>
      <c r="U34">
        <f t="shared" si="8"/>
        <v>0.48948523196776278</v>
      </c>
      <c r="V34">
        <f t="shared" si="9"/>
        <v>0.39158818557421021</v>
      </c>
      <c r="W34">
        <f t="shared" si="10"/>
        <v>0.24322458516663897</v>
      </c>
    </row>
    <row r="35" spans="1:23">
      <c r="A35">
        <v>33</v>
      </c>
      <c r="B35">
        <v>349</v>
      </c>
      <c r="C35">
        <v>351</v>
      </c>
      <c r="D35">
        <v>362</v>
      </c>
      <c r="E35">
        <v>351</v>
      </c>
      <c r="F35">
        <v>361</v>
      </c>
      <c r="G35">
        <v>350</v>
      </c>
      <c r="H35">
        <f t="shared" si="0"/>
        <v>354.8</v>
      </c>
      <c r="I35">
        <f t="shared" si="1"/>
        <v>6.1806148561449774</v>
      </c>
      <c r="J35">
        <f t="shared" si="2"/>
        <v>7.8255990186055477</v>
      </c>
      <c r="K35">
        <v>360</v>
      </c>
      <c r="L35">
        <v>335</v>
      </c>
      <c r="M35">
        <f t="shared" si="3"/>
        <v>0.84134024219774373</v>
      </c>
      <c r="N35">
        <f t="shared" si="4"/>
        <v>-3.203564768368341</v>
      </c>
      <c r="O35">
        <f t="shared" si="5"/>
        <v>347.5</v>
      </c>
      <c r="P35">
        <v>350</v>
      </c>
      <c r="R35">
        <v>33</v>
      </c>
      <c r="S35">
        <f t="shared" si="6"/>
        <v>0.67415083509434748</v>
      </c>
      <c r="T35">
        <f t="shared" si="7"/>
        <v>0.28044674739924791</v>
      </c>
      <c r="U35">
        <f t="shared" si="8"/>
        <v>0.53244060381324387</v>
      </c>
      <c r="V35">
        <f t="shared" si="9"/>
        <v>0.42595248305059513</v>
      </c>
      <c r="W35">
        <f t="shared" si="10"/>
        <v>0.20075736370993158</v>
      </c>
    </row>
    <row r="36" spans="1:23">
      <c r="A36">
        <v>34</v>
      </c>
      <c r="B36">
        <v>347</v>
      </c>
      <c r="C36">
        <v>348</v>
      </c>
      <c r="D36">
        <v>361</v>
      </c>
      <c r="E36">
        <v>349</v>
      </c>
      <c r="F36">
        <v>358</v>
      </c>
      <c r="G36">
        <v>350</v>
      </c>
      <c r="H36">
        <f t="shared" si="0"/>
        <v>352.6</v>
      </c>
      <c r="I36">
        <f t="shared" si="1"/>
        <v>6.4265076052238514</v>
      </c>
      <c r="J36">
        <f t="shared" si="2"/>
        <v>6.9325320049748145</v>
      </c>
      <c r="K36">
        <v>360</v>
      </c>
      <c r="L36">
        <v>335</v>
      </c>
      <c r="M36">
        <f t="shared" si="3"/>
        <v>1.151480781565529</v>
      </c>
      <c r="N36">
        <f t="shared" si="4"/>
        <v>-2.7386569939937027</v>
      </c>
      <c r="O36">
        <f t="shared" si="5"/>
        <v>347.5</v>
      </c>
      <c r="P36">
        <v>350</v>
      </c>
      <c r="R36">
        <v>34</v>
      </c>
      <c r="S36">
        <f t="shared" si="6"/>
        <v>0.64835629592653865</v>
      </c>
      <c r="T36">
        <f t="shared" si="7"/>
        <v>0.38382692718850969</v>
      </c>
      <c r="U36">
        <f t="shared" si="8"/>
        <v>0.60103100334432624</v>
      </c>
      <c r="V36">
        <f t="shared" si="9"/>
        <v>0.48082480267546102</v>
      </c>
      <c r="W36">
        <f t="shared" si="10"/>
        <v>0.12785178354779178</v>
      </c>
    </row>
    <row r="37" spans="1:23">
      <c r="A37">
        <v>35</v>
      </c>
      <c r="B37">
        <v>347</v>
      </c>
      <c r="C37">
        <v>348</v>
      </c>
      <c r="D37">
        <v>360</v>
      </c>
      <c r="E37">
        <v>349</v>
      </c>
      <c r="F37">
        <v>351</v>
      </c>
      <c r="G37">
        <v>350</v>
      </c>
      <c r="H37">
        <f t="shared" si="0"/>
        <v>351</v>
      </c>
      <c r="I37">
        <f t="shared" si="1"/>
        <v>5.2440442408507577</v>
      </c>
      <c r="J37">
        <f t="shared" si="2"/>
        <v>5.3385391260156556</v>
      </c>
      <c r="K37">
        <v>360</v>
      </c>
      <c r="L37">
        <v>335</v>
      </c>
      <c r="M37">
        <f t="shared" si="3"/>
        <v>1.7162326606420661</v>
      </c>
      <c r="N37">
        <f t="shared" si="4"/>
        <v>-3.0510802855858956</v>
      </c>
      <c r="O37">
        <f t="shared" si="5"/>
        <v>347.5</v>
      </c>
      <c r="P37">
        <v>350</v>
      </c>
      <c r="R37">
        <v>35</v>
      </c>
      <c r="S37">
        <f t="shared" si="6"/>
        <v>0.79455215770466037</v>
      </c>
      <c r="T37">
        <f t="shared" si="7"/>
        <v>0.57207755354735546</v>
      </c>
      <c r="U37">
        <f t="shared" si="8"/>
        <v>0.78048817631807821</v>
      </c>
      <c r="V37">
        <f t="shared" si="9"/>
        <v>0.62439054105446257</v>
      </c>
      <c r="W37">
        <f t="shared" si="10"/>
        <v>4.4199831796771248E-2</v>
      </c>
    </row>
    <row r="38" spans="1:23">
      <c r="A38">
        <v>36</v>
      </c>
      <c r="B38">
        <v>352</v>
      </c>
      <c r="C38">
        <v>351</v>
      </c>
      <c r="D38">
        <v>354</v>
      </c>
      <c r="E38">
        <v>349</v>
      </c>
      <c r="F38">
        <v>350</v>
      </c>
      <c r="G38">
        <v>350</v>
      </c>
      <c r="H38">
        <f t="shared" si="0"/>
        <v>351.2</v>
      </c>
      <c r="I38">
        <f t="shared" si="1"/>
        <v>1.9235384061671346</v>
      </c>
      <c r="J38">
        <f t="shared" si="2"/>
        <v>2.2671568097509209</v>
      </c>
      <c r="K38">
        <v>360</v>
      </c>
      <c r="L38">
        <v>335</v>
      </c>
      <c r="M38">
        <f t="shared" si="3"/>
        <v>4.5749021552083251</v>
      </c>
      <c r="N38">
        <f t="shared" si="4"/>
        <v>-8.4219789675425822</v>
      </c>
      <c r="O38">
        <f t="shared" si="5"/>
        <v>347.5</v>
      </c>
      <c r="P38">
        <v>350</v>
      </c>
      <c r="R38">
        <v>36</v>
      </c>
      <c r="S38">
        <f t="shared" si="6"/>
        <v>2.166146853791818</v>
      </c>
      <c r="T38">
        <f t="shared" si="7"/>
        <v>1.5249673850694418</v>
      </c>
      <c r="U38">
        <f t="shared" si="8"/>
        <v>1.8378378807968001</v>
      </c>
      <c r="V38">
        <f t="shared" si="9"/>
        <v>1.4702703046374399</v>
      </c>
      <c r="W38">
        <f t="shared" si="10"/>
        <v>2.3822129901115112E-6</v>
      </c>
    </row>
    <row r="39" spans="1:23">
      <c r="A39">
        <v>37</v>
      </c>
      <c r="B39">
        <v>347</v>
      </c>
      <c r="C39">
        <v>343</v>
      </c>
      <c r="D39">
        <v>353</v>
      </c>
      <c r="E39">
        <v>344</v>
      </c>
      <c r="F39">
        <v>353</v>
      </c>
      <c r="G39">
        <v>350</v>
      </c>
      <c r="H39">
        <f t="shared" si="0"/>
        <v>348</v>
      </c>
      <c r="I39">
        <f t="shared" si="1"/>
        <v>4.7958315233127191</v>
      </c>
      <c r="J39">
        <f t="shared" si="2"/>
        <v>5.1961524227066311</v>
      </c>
      <c r="K39">
        <v>360</v>
      </c>
      <c r="L39">
        <v>335</v>
      </c>
      <c r="M39">
        <f t="shared" si="3"/>
        <v>2.5021729686848975</v>
      </c>
      <c r="N39">
        <f t="shared" si="4"/>
        <v>-2.710687382741972</v>
      </c>
      <c r="O39">
        <f t="shared" si="5"/>
        <v>347.5</v>
      </c>
      <c r="P39">
        <v>350</v>
      </c>
      <c r="R39">
        <v>37</v>
      </c>
      <c r="S39">
        <f t="shared" si="6"/>
        <v>0.86881005857114491</v>
      </c>
      <c r="T39">
        <f t="shared" si="7"/>
        <v>0.83405765622829908</v>
      </c>
      <c r="U39">
        <f t="shared" si="8"/>
        <v>0.80187537387448038</v>
      </c>
      <c r="V39">
        <f t="shared" si="9"/>
        <v>0.64150029909958428</v>
      </c>
      <c r="W39">
        <f t="shared" si="10"/>
        <v>9.5288750695022711E-3</v>
      </c>
    </row>
    <row r="40" spans="1:23">
      <c r="A40">
        <v>38</v>
      </c>
      <c r="B40">
        <v>354</v>
      </c>
      <c r="C40">
        <v>354</v>
      </c>
      <c r="D40">
        <v>362</v>
      </c>
      <c r="E40">
        <v>355</v>
      </c>
      <c r="F40">
        <v>364</v>
      </c>
      <c r="G40">
        <v>350</v>
      </c>
      <c r="H40">
        <f t="shared" si="0"/>
        <v>357.8</v>
      </c>
      <c r="I40">
        <f t="shared" si="1"/>
        <v>4.8166378315169185</v>
      </c>
      <c r="J40">
        <f t="shared" si="2"/>
        <v>9.1673333090926814</v>
      </c>
      <c r="K40">
        <v>360</v>
      </c>
      <c r="L40">
        <v>335</v>
      </c>
      <c r="M40">
        <f t="shared" si="3"/>
        <v>0.45675013919556745</v>
      </c>
      <c r="N40">
        <f t="shared" si="4"/>
        <v>-4.7335923516631802</v>
      </c>
      <c r="O40">
        <f t="shared" si="5"/>
        <v>347.5</v>
      </c>
      <c r="P40">
        <v>350</v>
      </c>
      <c r="R40">
        <v>38</v>
      </c>
      <c r="S40">
        <f t="shared" si="6"/>
        <v>0.86505708180979124</v>
      </c>
      <c r="T40">
        <f t="shared" si="7"/>
        <v>0.15225004639852247</v>
      </c>
      <c r="U40">
        <f t="shared" si="8"/>
        <v>0.45451240030008844</v>
      </c>
      <c r="V40">
        <f t="shared" si="9"/>
        <v>0.36360992024007072</v>
      </c>
      <c r="W40">
        <f t="shared" si="10"/>
        <v>0.32392642682654982</v>
      </c>
    </row>
    <row r="41" spans="1:23">
      <c r="A41">
        <v>39</v>
      </c>
      <c r="B41">
        <v>352</v>
      </c>
      <c r="C41">
        <v>350</v>
      </c>
      <c r="D41">
        <v>360</v>
      </c>
      <c r="E41">
        <v>350</v>
      </c>
      <c r="F41">
        <v>361</v>
      </c>
      <c r="G41">
        <v>350</v>
      </c>
      <c r="H41">
        <f t="shared" si="0"/>
        <v>354.6</v>
      </c>
      <c r="I41">
        <f t="shared" si="1"/>
        <v>5.4589376255824726</v>
      </c>
      <c r="J41">
        <f t="shared" si="2"/>
        <v>7.1386273190299141</v>
      </c>
      <c r="K41">
        <v>360</v>
      </c>
      <c r="L41">
        <v>335</v>
      </c>
      <c r="M41">
        <f t="shared" si="3"/>
        <v>0.98920346235386658</v>
      </c>
      <c r="N41">
        <f t="shared" si="4"/>
        <v>-3.5904421966918312</v>
      </c>
      <c r="O41">
        <f t="shared" si="5"/>
        <v>347.5</v>
      </c>
      <c r="P41">
        <v>350</v>
      </c>
      <c r="R41">
        <v>39</v>
      </c>
      <c r="S41">
        <f t="shared" si="6"/>
        <v>0.76327427650761626</v>
      </c>
      <c r="T41">
        <f t="shared" si="7"/>
        <v>0.32973448745128886</v>
      </c>
      <c r="U41">
        <f t="shared" si="8"/>
        <v>0.58367897362554644</v>
      </c>
      <c r="V41">
        <f t="shared" si="9"/>
        <v>0.46694317890043718</v>
      </c>
      <c r="W41">
        <f t="shared" si="10"/>
        <v>0.1614468610972965</v>
      </c>
    </row>
    <row r="42" spans="1:23">
      <c r="A42">
        <v>40</v>
      </c>
      <c r="B42">
        <v>350</v>
      </c>
      <c r="C42">
        <v>350</v>
      </c>
      <c r="D42">
        <v>352</v>
      </c>
      <c r="E42">
        <v>358</v>
      </c>
      <c r="F42">
        <v>352</v>
      </c>
      <c r="G42">
        <v>350</v>
      </c>
      <c r="H42">
        <f t="shared" si="0"/>
        <v>352.4</v>
      </c>
      <c r="I42">
        <f t="shared" si="1"/>
        <v>3.2863353450309969</v>
      </c>
      <c r="J42">
        <f t="shared" si="2"/>
        <v>4.0693979898751476</v>
      </c>
      <c r="K42">
        <v>360</v>
      </c>
      <c r="L42">
        <v>335</v>
      </c>
      <c r="M42">
        <f t="shared" si="3"/>
        <v>2.312606353910708</v>
      </c>
      <c r="N42">
        <f t="shared" si="4"/>
        <v>-5.2946513892165985</v>
      </c>
      <c r="O42">
        <f t="shared" si="5"/>
        <v>347.5</v>
      </c>
      <c r="P42">
        <v>350</v>
      </c>
      <c r="R42">
        <v>40</v>
      </c>
      <c r="S42">
        <f t="shared" si="6"/>
        <v>1.2678762905212178</v>
      </c>
      <c r="T42">
        <f t="shared" si="7"/>
        <v>0.77086878463690267</v>
      </c>
      <c r="U42">
        <f t="shared" si="8"/>
        <v>1.0239024732979001</v>
      </c>
      <c r="V42">
        <f t="shared" si="9"/>
        <v>0.81912197863832004</v>
      </c>
      <c r="W42">
        <f t="shared" si="10"/>
        <v>1.0372205558892202E-2</v>
      </c>
    </row>
    <row r="43" spans="1:23">
      <c r="A43">
        <v>41</v>
      </c>
      <c r="B43">
        <v>351</v>
      </c>
      <c r="C43">
        <v>350</v>
      </c>
      <c r="D43">
        <v>360</v>
      </c>
      <c r="E43">
        <v>352</v>
      </c>
      <c r="F43">
        <v>360</v>
      </c>
      <c r="G43">
        <v>350</v>
      </c>
      <c r="H43">
        <f t="shared" si="0"/>
        <v>354.6</v>
      </c>
      <c r="I43">
        <f t="shared" si="1"/>
        <v>4.9799598391954927</v>
      </c>
      <c r="J43">
        <f t="shared" si="2"/>
        <v>6.7793805026713327</v>
      </c>
      <c r="K43">
        <v>360</v>
      </c>
      <c r="L43">
        <v>335</v>
      </c>
      <c r="M43">
        <f t="shared" si="3"/>
        <v>1.0843460940183689</v>
      </c>
      <c r="N43">
        <f t="shared" si="4"/>
        <v>-3.935774711622249</v>
      </c>
      <c r="O43">
        <f t="shared" si="5"/>
        <v>347.5</v>
      </c>
      <c r="P43">
        <v>350</v>
      </c>
      <c r="R43">
        <v>41</v>
      </c>
      <c r="S43">
        <f t="shared" si="6"/>
        <v>0.83668680094010306</v>
      </c>
      <c r="T43">
        <f t="shared" si="7"/>
        <v>0.361448698006123</v>
      </c>
      <c r="U43">
        <f t="shared" si="8"/>
        <v>0.61460876329700664</v>
      </c>
      <c r="V43">
        <f t="shared" si="9"/>
        <v>0.49168701063760528</v>
      </c>
      <c r="W43">
        <f t="shared" si="10"/>
        <v>0.13914715192981192</v>
      </c>
    </row>
    <row r="44" spans="1:23">
      <c r="A44">
        <v>42</v>
      </c>
      <c r="B44">
        <v>331</v>
      </c>
      <c r="C44">
        <v>344</v>
      </c>
      <c r="D44">
        <v>336</v>
      </c>
      <c r="E44">
        <v>334</v>
      </c>
      <c r="F44">
        <v>336</v>
      </c>
      <c r="G44">
        <v>350</v>
      </c>
      <c r="H44">
        <f t="shared" si="0"/>
        <v>336.2</v>
      </c>
      <c r="I44">
        <f t="shared" si="1"/>
        <v>4.8166378315169176</v>
      </c>
      <c r="J44">
        <f t="shared" si="2"/>
        <v>14.61642911247478</v>
      </c>
      <c r="K44">
        <v>360</v>
      </c>
      <c r="L44">
        <v>335</v>
      </c>
      <c r="M44">
        <f t="shared" si="3"/>
        <v>4.9412060512975309</v>
      </c>
      <c r="N44">
        <f t="shared" si="4"/>
        <v>-0.24913643956121759</v>
      </c>
      <c r="O44">
        <f t="shared" si="5"/>
        <v>347.5</v>
      </c>
      <c r="P44">
        <v>350</v>
      </c>
      <c r="R44">
        <v>42</v>
      </c>
      <c r="S44">
        <f t="shared" si="6"/>
        <v>0.86505708180979146</v>
      </c>
      <c r="T44">
        <f t="shared" si="7"/>
        <v>8.3045479853739196E-2</v>
      </c>
      <c r="U44">
        <f t="shared" si="8"/>
        <v>0.28506734679200912</v>
      </c>
      <c r="V44">
        <f t="shared" si="9"/>
        <v>0.2280538774336073</v>
      </c>
      <c r="W44">
        <f t="shared" si="10"/>
        <v>0.40162800981485641</v>
      </c>
    </row>
    <row r="45" spans="1:23">
      <c r="A45">
        <v>43</v>
      </c>
      <c r="B45">
        <v>348</v>
      </c>
      <c r="C45">
        <v>349</v>
      </c>
      <c r="D45">
        <v>359</v>
      </c>
      <c r="E45">
        <v>349</v>
      </c>
      <c r="F45">
        <v>358</v>
      </c>
      <c r="G45">
        <v>350</v>
      </c>
      <c r="H45">
        <f t="shared" si="0"/>
        <v>352.6</v>
      </c>
      <c r="I45">
        <f t="shared" si="1"/>
        <v>5.4129474410897434</v>
      </c>
      <c r="J45">
        <f t="shared" si="2"/>
        <v>6.0049979184009814</v>
      </c>
      <c r="K45">
        <v>360</v>
      </c>
      <c r="L45">
        <v>335</v>
      </c>
      <c r="M45">
        <f t="shared" si="3"/>
        <v>1.3670925277837536</v>
      </c>
      <c r="N45">
        <f t="shared" si="4"/>
        <v>-3.2514633093235359</v>
      </c>
      <c r="O45">
        <f t="shared" si="5"/>
        <v>347.5</v>
      </c>
      <c r="P45">
        <v>350</v>
      </c>
      <c r="R45">
        <v>43</v>
      </c>
      <c r="S45">
        <f t="shared" si="6"/>
        <v>0.76975930618454813</v>
      </c>
      <c r="T45">
        <f t="shared" si="7"/>
        <v>0.45569750926125113</v>
      </c>
      <c r="U45">
        <f t="shared" si="8"/>
        <v>0.69386646311713829</v>
      </c>
      <c r="V45">
        <f t="shared" si="9"/>
        <v>0.55509317049371065</v>
      </c>
      <c r="W45">
        <f t="shared" si="10"/>
        <v>8.637221551904585E-2</v>
      </c>
    </row>
    <row r="46" spans="1:23">
      <c r="A46">
        <v>44</v>
      </c>
      <c r="B46">
        <v>353</v>
      </c>
      <c r="C46">
        <v>351</v>
      </c>
      <c r="D46">
        <v>362</v>
      </c>
      <c r="E46">
        <v>352</v>
      </c>
      <c r="F46">
        <v>362</v>
      </c>
      <c r="G46">
        <v>350</v>
      </c>
      <c r="H46">
        <f t="shared" si="0"/>
        <v>356</v>
      </c>
      <c r="I46">
        <f t="shared" si="1"/>
        <v>5.5226805085936306</v>
      </c>
      <c r="J46">
        <f t="shared" si="2"/>
        <v>8.1547532151500448</v>
      </c>
      <c r="K46">
        <v>360</v>
      </c>
      <c r="L46">
        <v>335</v>
      </c>
      <c r="M46">
        <f t="shared" si="3"/>
        <v>0.72428596834014825</v>
      </c>
      <c r="N46">
        <f t="shared" si="4"/>
        <v>-3.802501333785778</v>
      </c>
      <c r="O46">
        <f t="shared" si="5"/>
        <v>347.5</v>
      </c>
      <c r="P46">
        <v>350</v>
      </c>
      <c r="R46">
        <v>44</v>
      </c>
      <c r="S46">
        <f t="shared" si="6"/>
        <v>0.75446455035432103</v>
      </c>
      <c r="T46">
        <f t="shared" si="7"/>
        <v>0.24142865611338274</v>
      </c>
      <c r="U46">
        <f t="shared" si="8"/>
        <v>0.5109494495708049</v>
      </c>
      <c r="V46">
        <f t="shared" si="9"/>
        <v>0.4087595596566439</v>
      </c>
      <c r="W46">
        <f t="shared" si="10"/>
        <v>0.234516716037974</v>
      </c>
    </row>
    <row r="47" spans="1:23">
      <c r="A47">
        <v>45</v>
      </c>
      <c r="B47">
        <v>351</v>
      </c>
      <c r="C47">
        <v>349</v>
      </c>
      <c r="D47">
        <v>358</v>
      </c>
      <c r="E47">
        <v>351</v>
      </c>
      <c r="F47">
        <v>358</v>
      </c>
      <c r="G47">
        <v>350</v>
      </c>
      <c r="H47">
        <f t="shared" si="0"/>
        <v>353.4</v>
      </c>
      <c r="I47">
        <f t="shared" si="1"/>
        <v>4.2778499272414878</v>
      </c>
      <c r="J47">
        <f t="shared" si="2"/>
        <v>5.4644304369256869</v>
      </c>
      <c r="K47">
        <v>360</v>
      </c>
      <c r="L47">
        <v>335</v>
      </c>
      <c r="M47">
        <f t="shared" si="3"/>
        <v>1.5428311213002137</v>
      </c>
      <c r="N47">
        <f t="shared" si="4"/>
        <v>-4.301226156352091</v>
      </c>
      <c r="O47">
        <f t="shared" si="5"/>
        <v>347.5</v>
      </c>
      <c r="P47">
        <v>350</v>
      </c>
      <c r="R47">
        <v>45</v>
      </c>
      <c r="S47">
        <f t="shared" si="6"/>
        <v>0.97400954627538405</v>
      </c>
      <c r="T47">
        <f t="shared" si="7"/>
        <v>0.51427704043340461</v>
      </c>
      <c r="U47">
        <f t="shared" si="8"/>
        <v>0.76250703797244279</v>
      </c>
      <c r="V47">
        <f t="shared" si="9"/>
        <v>0.6100056303779543</v>
      </c>
      <c r="W47">
        <f t="shared" si="10"/>
        <v>6.1444370964377583E-2</v>
      </c>
    </row>
    <row r="48" spans="1:23">
      <c r="A48">
        <v>46</v>
      </c>
      <c r="B48">
        <v>351</v>
      </c>
      <c r="C48">
        <v>352</v>
      </c>
      <c r="D48">
        <v>361</v>
      </c>
      <c r="E48">
        <v>352</v>
      </c>
      <c r="F48">
        <v>360</v>
      </c>
      <c r="G48">
        <v>350</v>
      </c>
      <c r="H48">
        <f t="shared" si="0"/>
        <v>355.2</v>
      </c>
      <c r="I48">
        <f t="shared" si="1"/>
        <v>4.8682645778552338</v>
      </c>
      <c r="J48">
        <f t="shared" si="2"/>
        <v>7.1232015274032419</v>
      </c>
      <c r="K48">
        <v>360</v>
      </c>
      <c r="L48">
        <v>335</v>
      </c>
      <c r="M48">
        <f t="shared" si="3"/>
        <v>0.98597763602131561</v>
      </c>
      <c r="N48">
        <f t="shared" si="4"/>
        <v>-4.149322551589691</v>
      </c>
      <c r="O48">
        <f t="shared" si="5"/>
        <v>347.5</v>
      </c>
      <c r="P48">
        <v>350</v>
      </c>
      <c r="R48">
        <v>46</v>
      </c>
      <c r="S48">
        <f t="shared" si="6"/>
        <v>0.85588336460183445</v>
      </c>
      <c r="T48">
        <f t="shared" si="7"/>
        <v>0.32865921200710518</v>
      </c>
      <c r="U48">
        <f t="shared" si="8"/>
        <v>0.58494297130824291</v>
      </c>
      <c r="V48">
        <f t="shared" si="9"/>
        <v>0.46795437704659437</v>
      </c>
      <c r="W48">
        <f t="shared" si="10"/>
        <v>0.16208871670586913</v>
      </c>
    </row>
    <row r="49" spans="1:23">
      <c r="A49">
        <v>47</v>
      </c>
      <c r="B49">
        <v>351</v>
      </c>
      <c r="C49">
        <v>353</v>
      </c>
      <c r="D49">
        <v>360</v>
      </c>
      <c r="E49">
        <v>353</v>
      </c>
      <c r="F49">
        <v>361</v>
      </c>
      <c r="G49">
        <v>350</v>
      </c>
      <c r="H49">
        <f t="shared" si="0"/>
        <v>355.6</v>
      </c>
      <c r="I49">
        <f t="shared" si="1"/>
        <v>4.5607017003965522</v>
      </c>
      <c r="J49">
        <f t="shared" si="2"/>
        <v>7.2221880341071332</v>
      </c>
      <c r="K49">
        <v>360</v>
      </c>
      <c r="L49">
        <v>335</v>
      </c>
      <c r="M49">
        <f t="shared" si="3"/>
        <v>0.96476382123772708</v>
      </c>
      <c r="N49">
        <f t="shared" si="4"/>
        <v>-4.5168487994312052</v>
      </c>
      <c r="O49">
        <f t="shared" si="5"/>
        <v>347.5</v>
      </c>
      <c r="P49">
        <v>350</v>
      </c>
      <c r="R49">
        <v>47</v>
      </c>
      <c r="S49">
        <f t="shared" si="6"/>
        <v>0.91360210344482207</v>
      </c>
      <c r="T49">
        <f t="shared" si="7"/>
        <v>0.32158794041257571</v>
      </c>
      <c r="U49">
        <f t="shared" si="8"/>
        <v>0.57692580793928117</v>
      </c>
      <c r="V49">
        <f t="shared" si="9"/>
        <v>0.46154064635142494</v>
      </c>
      <c r="W49">
        <f t="shared" si="10"/>
        <v>0.16733469868068845</v>
      </c>
    </row>
    <row r="50" spans="1:23">
      <c r="A50">
        <v>48</v>
      </c>
      <c r="B50">
        <v>355</v>
      </c>
      <c r="C50">
        <v>355</v>
      </c>
      <c r="D50">
        <v>262</v>
      </c>
      <c r="E50">
        <v>252</v>
      </c>
      <c r="F50">
        <v>364</v>
      </c>
      <c r="G50">
        <v>350</v>
      </c>
      <c r="H50">
        <f t="shared" si="0"/>
        <v>317.60000000000002</v>
      </c>
      <c r="I50">
        <f t="shared" si="1"/>
        <v>55.554477767323156</v>
      </c>
      <c r="J50">
        <f t="shared" si="2"/>
        <v>64.31220723937254</v>
      </c>
      <c r="K50">
        <v>360</v>
      </c>
      <c r="L50">
        <v>335</v>
      </c>
      <c r="M50">
        <f t="shared" si="3"/>
        <v>0.76321480651087015</v>
      </c>
      <c r="N50">
        <f t="shared" si="4"/>
        <v>0.31320607625681907</v>
      </c>
      <c r="O50">
        <f t="shared" si="5"/>
        <v>347.5</v>
      </c>
      <c r="P50">
        <v>350</v>
      </c>
      <c r="R50">
        <v>48</v>
      </c>
      <c r="S50">
        <f t="shared" si="6"/>
        <v>7.5001455042341833E-2</v>
      </c>
      <c r="T50">
        <f t="shared" si="7"/>
        <v>-0.1044020254189397</v>
      </c>
      <c r="U50">
        <f t="shared" si="8"/>
        <v>6.4788114815561695E-2</v>
      </c>
      <c r="V50">
        <f t="shared" si="9"/>
        <v>5.183049185244936E-2</v>
      </c>
      <c r="W50">
        <f t="shared" si="10"/>
        <v>0.84560559877234454</v>
      </c>
    </row>
    <row r="51" spans="1:23">
      <c r="A51">
        <v>49</v>
      </c>
      <c r="B51">
        <v>356</v>
      </c>
      <c r="C51">
        <v>355</v>
      </c>
      <c r="D51">
        <v>364</v>
      </c>
      <c r="E51">
        <v>356</v>
      </c>
      <c r="F51">
        <v>364</v>
      </c>
      <c r="G51">
        <v>350</v>
      </c>
      <c r="H51">
        <f t="shared" si="0"/>
        <v>359</v>
      </c>
      <c r="I51">
        <f t="shared" si="1"/>
        <v>4.5825756949558398</v>
      </c>
      <c r="J51">
        <f t="shared" si="2"/>
        <v>10.099504938362077</v>
      </c>
      <c r="K51">
        <v>360</v>
      </c>
      <c r="L51">
        <v>335</v>
      </c>
      <c r="M51">
        <f t="shared" si="3"/>
        <v>0.21821789023599239</v>
      </c>
      <c r="N51">
        <f t="shared" si="4"/>
        <v>-5.2372293656638176</v>
      </c>
      <c r="O51">
        <f t="shared" si="5"/>
        <v>347.5</v>
      </c>
      <c r="P51">
        <v>350</v>
      </c>
      <c r="R51">
        <v>49</v>
      </c>
      <c r="S51">
        <f t="shared" si="6"/>
        <v>0.90924120931663488</v>
      </c>
      <c r="T51">
        <f t="shared" si="7"/>
        <v>7.2739296745330792E-2</v>
      </c>
      <c r="U51">
        <f t="shared" si="8"/>
        <v>0.412561476240281</v>
      </c>
      <c r="V51">
        <f t="shared" si="9"/>
        <v>0.3300491809922248</v>
      </c>
      <c r="W51">
        <f t="shared" si="10"/>
        <v>0.41362975478388997</v>
      </c>
    </row>
    <row r="52" spans="1:23">
      <c r="A52">
        <v>50</v>
      </c>
      <c r="B52">
        <v>351</v>
      </c>
      <c r="C52">
        <v>350</v>
      </c>
      <c r="D52">
        <v>359</v>
      </c>
      <c r="E52">
        <v>351</v>
      </c>
      <c r="F52">
        <v>359</v>
      </c>
      <c r="G52">
        <v>350</v>
      </c>
      <c r="H52">
        <f t="shared" si="0"/>
        <v>354</v>
      </c>
      <c r="I52">
        <f t="shared" si="1"/>
        <v>4.5825756949558398</v>
      </c>
      <c r="J52">
        <f t="shared" si="2"/>
        <v>6.0827625302982193</v>
      </c>
      <c r="K52">
        <v>360</v>
      </c>
      <c r="L52">
        <v>335</v>
      </c>
      <c r="M52">
        <f t="shared" si="3"/>
        <v>1.3093073414159544</v>
      </c>
      <c r="N52">
        <f t="shared" si="4"/>
        <v>-4.1461399144838555</v>
      </c>
      <c r="O52">
        <f t="shared" si="5"/>
        <v>347.5</v>
      </c>
      <c r="P52">
        <v>350</v>
      </c>
      <c r="R52">
        <v>50</v>
      </c>
      <c r="S52">
        <f t="shared" si="6"/>
        <v>0.90924120931663488</v>
      </c>
      <c r="T52">
        <f t="shared" si="7"/>
        <v>0.43643578047198472</v>
      </c>
      <c r="U52">
        <f t="shared" si="8"/>
        <v>0.68499578043898868</v>
      </c>
      <c r="V52">
        <f t="shared" si="9"/>
        <v>0.54799662435119101</v>
      </c>
      <c r="W52">
        <f t="shared" si="10"/>
        <v>9.5232038275578496E-2</v>
      </c>
    </row>
    <row r="53" spans="1:23">
      <c r="A53">
        <v>51</v>
      </c>
      <c r="B53">
        <v>352</v>
      </c>
      <c r="C53">
        <v>351</v>
      </c>
      <c r="D53">
        <v>360</v>
      </c>
      <c r="E53">
        <v>351</v>
      </c>
      <c r="F53">
        <v>360</v>
      </c>
      <c r="G53">
        <v>350</v>
      </c>
      <c r="H53">
        <f t="shared" si="0"/>
        <v>354.8</v>
      </c>
      <c r="I53">
        <f t="shared" si="1"/>
        <v>4.7644516998286379</v>
      </c>
      <c r="J53">
        <f t="shared" si="2"/>
        <v>6.7631353675643746</v>
      </c>
      <c r="K53">
        <v>360</v>
      </c>
      <c r="L53">
        <v>335</v>
      </c>
      <c r="M53">
        <f t="shared" si="3"/>
        <v>1.0914162484188927</v>
      </c>
      <c r="N53">
        <f t="shared" si="4"/>
        <v>-4.1557772535950264</v>
      </c>
      <c r="O53">
        <f t="shared" si="5"/>
        <v>347.5</v>
      </c>
      <c r="P53">
        <v>350</v>
      </c>
      <c r="R53">
        <v>51</v>
      </c>
      <c r="S53">
        <f t="shared" si="6"/>
        <v>0.87453225033565307</v>
      </c>
      <c r="T53">
        <f t="shared" si="7"/>
        <v>0.36380541613963091</v>
      </c>
      <c r="U53">
        <f t="shared" si="8"/>
        <v>0.61608506117588169</v>
      </c>
      <c r="V53">
        <f t="shared" si="9"/>
        <v>0.49286804894070529</v>
      </c>
      <c r="W53">
        <f t="shared" si="10"/>
        <v>0.13756109215444035</v>
      </c>
    </row>
    <row r="54" spans="1:23">
      <c r="A54">
        <v>52</v>
      </c>
      <c r="B54">
        <v>355</v>
      </c>
      <c r="C54">
        <v>352</v>
      </c>
      <c r="D54">
        <v>362</v>
      </c>
      <c r="E54">
        <v>354</v>
      </c>
      <c r="F54">
        <v>362</v>
      </c>
      <c r="G54">
        <v>350</v>
      </c>
      <c r="H54">
        <f t="shared" si="0"/>
        <v>357</v>
      </c>
      <c r="I54">
        <f t="shared" si="1"/>
        <v>4.6904157598234297</v>
      </c>
      <c r="J54">
        <f t="shared" si="2"/>
        <v>8.426149773176359</v>
      </c>
      <c r="K54">
        <v>360</v>
      </c>
      <c r="L54">
        <v>335</v>
      </c>
      <c r="M54">
        <f t="shared" si="3"/>
        <v>0.63960214906683133</v>
      </c>
      <c r="N54">
        <f t="shared" si="4"/>
        <v>-4.6904157598234297</v>
      </c>
      <c r="O54">
        <f t="shared" si="5"/>
        <v>347.5</v>
      </c>
      <c r="P54">
        <v>350</v>
      </c>
      <c r="R54">
        <v>52</v>
      </c>
      <c r="S54">
        <f t="shared" si="6"/>
        <v>0.88833631814837688</v>
      </c>
      <c r="T54">
        <f t="shared" si="7"/>
        <v>0.21320071635561044</v>
      </c>
      <c r="U54">
        <f t="shared" si="8"/>
        <v>0.4944923575807722</v>
      </c>
      <c r="V54">
        <f t="shared" si="9"/>
        <v>0.39559388606461776</v>
      </c>
      <c r="W54">
        <f t="shared" si="10"/>
        <v>0.2612170057331103</v>
      </c>
    </row>
    <row r="55" spans="1:23">
      <c r="A55">
        <v>53</v>
      </c>
      <c r="B55">
        <v>349</v>
      </c>
      <c r="C55">
        <v>347</v>
      </c>
      <c r="D55">
        <v>357</v>
      </c>
      <c r="E55">
        <v>348</v>
      </c>
      <c r="F55">
        <v>358</v>
      </c>
      <c r="G55">
        <v>350</v>
      </c>
      <c r="H55">
        <f t="shared" si="0"/>
        <v>351.8</v>
      </c>
      <c r="I55">
        <f t="shared" si="1"/>
        <v>5.2630789467763073</v>
      </c>
      <c r="J55">
        <f t="shared" si="2"/>
        <v>5.5623735940693555</v>
      </c>
      <c r="K55">
        <v>360</v>
      </c>
      <c r="L55">
        <v>335</v>
      </c>
      <c r="M55">
        <f t="shared" si="3"/>
        <v>1.5580233705258359</v>
      </c>
      <c r="N55">
        <f t="shared" si="4"/>
        <v>-3.192047881077329</v>
      </c>
      <c r="O55">
        <f t="shared" si="5"/>
        <v>347.5</v>
      </c>
      <c r="P55">
        <v>350</v>
      </c>
      <c r="R55">
        <v>53</v>
      </c>
      <c r="S55">
        <f t="shared" si="6"/>
        <v>0.79167854193386078</v>
      </c>
      <c r="T55">
        <f t="shared" si="7"/>
        <v>0.51934112350861195</v>
      </c>
      <c r="U55">
        <f t="shared" si="8"/>
        <v>0.74908069301731162</v>
      </c>
      <c r="V55">
        <f t="shared" si="9"/>
        <v>0.59926455441384929</v>
      </c>
      <c r="W55">
        <f t="shared" si="10"/>
        <v>6.0320193653663937E-2</v>
      </c>
    </row>
    <row r="56" spans="1:23">
      <c r="A56">
        <v>54</v>
      </c>
      <c r="B56">
        <v>350</v>
      </c>
      <c r="C56">
        <v>349</v>
      </c>
      <c r="D56">
        <v>359</v>
      </c>
      <c r="E56">
        <v>350</v>
      </c>
      <c r="F56">
        <v>359</v>
      </c>
      <c r="G56">
        <v>350</v>
      </c>
      <c r="H56">
        <f t="shared" si="0"/>
        <v>353.4</v>
      </c>
      <c r="I56">
        <f t="shared" si="1"/>
        <v>5.1283525619832337</v>
      </c>
      <c r="J56">
        <f t="shared" si="2"/>
        <v>6.1530480251660515</v>
      </c>
      <c r="K56">
        <v>360</v>
      </c>
      <c r="L56">
        <v>335</v>
      </c>
      <c r="M56">
        <f t="shared" si="3"/>
        <v>1.286963000345607</v>
      </c>
      <c r="N56">
        <f t="shared" si="4"/>
        <v>-3.5878968494483421</v>
      </c>
      <c r="O56">
        <f t="shared" si="5"/>
        <v>347.5</v>
      </c>
      <c r="P56">
        <v>350</v>
      </c>
      <c r="R56">
        <v>54</v>
      </c>
      <c r="S56">
        <f t="shared" si="6"/>
        <v>0.81247664163232491</v>
      </c>
      <c r="T56">
        <f t="shared" si="7"/>
        <v>0.428987666781869</v>
      </c>
      <c r="U56">
        <f t="shared" si="8"/>
        <v>0.67717115966346142</v>
      </c>
      <c r="V56">
        <f t="shared" si="9"/>
        <v>0.5417369277307692</v>
      </c>
      <c r="W56">
        <f t="shared" si="10"/>
        <v>9.9220270380297362E-2</v>
      </c>
    </row>
    <row r="57" spans="1:23">
      <c r="A57">
        <v>55</v>
      </c>
      <c r="B57">
        <v>349</v>
      </c>
      <c r="C57">
        <v>348</v>
      </c>
      <c r="D57">
        <v>357</v>
      </c>
      <c r="E57">
        <v>349</v>
      </c>
      <c r="F57">
        <v>358</v>
      </c>
      <c r="G57">
        <v>350</v>
      </c>
      <c r="H57">
        <f t="shared" si="0"/>
        <v>352.2</v>
      </c>
      <c r="I57">
        <f t="shared" si="1"/>
        <v>4.8682645778552338</v>
      </c>
      <c r="J57">
        <f t="shared" si="2"/>
        <v>5.3422841556772278</v>
      </c>
      <c r="K57">
        <v>360</v>
      </c>
      <c r="L57">
        <v>335</v>
      </c>
      <c r="M57">
        <f t="shared" si="3"/>
        <v>1.6022136585346365</v>
      </c>
      <c r="N57">
        <f t="shared" si="4"/>
        <v>-3.5330865290763702</v>
      </c>
      <c r="O57">
        <f t="shared" si="5"/>
        <v>347.5</v>
      </c>
      <c r="P57">
        <v>350</v>
      </c>
      <c r="R57">
        <v>55</v>
      </c>
      <c r="S57">
        <f t="shared" si="6"/>
        <v>0.85588336460183445</v>
      </c>
      <c r="T57">
        <f t="shared" si="7"/>
        <v>0.53407121951154546</v>
      </c>
      <c r="U57">
        <f t="shared" si="8"/>
        <v>0.77994104118156338</v>
      </c>
      <c r="V57">
        <f t="shared" si="9"/>
        <v>0.62395283294525072</v>
      </c>
      <c r="W57">
        <f t="shared" si="10"/>
        <v>5.4759554376309937E-2</v>
      </c>
    </row>
    <row r="58" spans="1:23">
      <c r="A58">
        <v>56</v>
      </c>
      <c r="B58">
        <v>348</v>
      </c>
      <c r="C58">
        <v>347</v>
      </c>
      <c r="D58">
        <v>348</v>
      </c>
      <c r="E58">
        <v>349</v>
      </c>
      <c r="F58">
        <v>351</v>
      </c>
      <c r="G58">
        <v>350</v>
      </c>
      <c r="H58">
        <f t="shared" si="0"/>
        <v>348.6</v>
      </c>
      <c r="I58">
        <f t="shared" si="1"/>
        <v>1.51657508881031</v>
      </c>
      <c r="J58">
        <f t="shared" si="2"/>
        <v>2.0639767440550139</v>
      </c>
      <c r="K58">
        <v>360</v>
      </c>
      <c r="L58">
        <v>335</v>
      </c>
      <c r="M58">
        <f t="shared" si="3"/>
        <v>7.516937396711957</v>
      </c>
      <c r="N58">
        <f t="shared" si="4"/>
        <v>-8.9675744381827194</v>
      </c>
      <c r="O58">
        <f t="shared" si="5"/>
        <v>347.5</v>
      </c>
      <c r="P58">
        <v>350</v>
      </c>
      <c r="R58">
        <v>56</v>
      </c>
      <c r="S58">
        <f t="shared" si="6"/>
        <v>2.7474186391491124</v>
      </c>
      <c r="T58">
        <f t="shared" si="7"/>
        <v>2.5056457989039855</v>
      </c>
      <c r="U58">
        <f t="shared" si="8"/>
        <v>2.0187565962979699</v>
      </c>
      <c r="V58">
        <f t="shared" si="9"/>
        <v>1.615005277038376</v>
      </c>
      <c r="W58">
        <f t="shared" si="10"/>
        <v>2.8088794080832636E-14</v>
      </c>
    </row>
    <row r="59" spans="1:23">
      <c r="A59">
        <v>57</v>
      </c>
      <c r="B59">
        <v>348</v>
      </c>
      <c r="C59">
        <v>347</v>
      </c>
      <c r="D59">
        <v>349</v>
      </c>
      <c r="E59">
        <v>350</v>
      </c>
      <c r="F59">
        <v>351</v>
      </c>
      <c r="G59">
        <v>350</v>
      </c>
      <c r="H59">
        <f t="shared" si="0"/>
        <v>349</v>
      </c>
      <c r="I59">
        <f t="shared" si="1"/>
        <v>1.5811388300841898</v>
      </c>
      <c r="J59">
        <f t="shared" si="2"/>
        <v>1.8708286933869709</v>
      </c>
      <c r="K59">
        <v>360</v>
      </c>
      <c r="L59">
        <v>335</v>
      </c>
      <c r="M59">
        <f t="shared" si="3"/>
        <v>6.9570108523704342</v>
      </c>
      <c r="N59">
        <f t="shared" si="4"/>
        <v>-8.8543774484714621</v>
      </c>
      <c r="O59">
        <f t="shared" si="5"/>
        <v>347.5</v>
      </c>
      <c r="P59">
        <v>350</v>
      </c>
      <c r="R59">
        <v>57</v>
      </c>
      <c r="S59">
        <f t="shared" si="6"/>
        <v>2.6352313834736494</v>
      </c>
      <c r="T59">
        <f t="shared" si="7"/>
        <v>2.3190036174568114</v>
      </c>
      <c r="U59">
        <f t="shared" si="8"/>
        <v>2.2271770159368693</v>
      </c>
      <c r="V59">
        <f t="shared" si="9"/>
        <v>1.7817416127494956</v>
      </c>
      <c r="W59">
        <f t="shared" si="10"/>
        <v>1.7378325212065933E-12</v>
      </c>
    </row>
    <row r="60" spans="1:23">
      <c r="A60">
        <v>58</v>
      </c>
      <c r="B60">
        <v>345</v>
      </c>
      <c r="C60">
        <v>346</v>
      </c>
      <c r="D60">
        <v>355</v>
      </c>
      <c r="E60">
        <v>346</v>
      </c>
      <c r="F60">
        <v>355</v>
      </c>
      <c r="G60">
        <v>350</v>
      </c>
      <c r="H60">
        <f t="shared" si="0"/>
        <v>349.4</v>
      </c>
      <c r="I60">
        <f t="shared" si="1"/>
        <v>5.1283525619832337</v>
      </c>
      <c r="J60">
        <f t="shared" si="2"/>
        <v>5.1633322573702367</v>
      </c>
      <c r="K60">
        <v>360</v>
      </c>
      <c r="L60">
        <v>335</v>
      </c>
      <c r="M60">
        <f t="shared" si="3"/>
        <v>2.0669405763126387</v>
      </c>
      <c r="N60">
        <f t="shared" si="4"/>
        <v>-2.8079192734813101</v>
      </c>
      <c r="O60">
        <f t="shared" si="5"/>
        <v>347.5</v>
      </c>
      <c r="P60">
        <v>350</v>
      </c>
      <c r="R60">
        <v>58</v>
      </c>
      <c r="S60">
        <f t="shared" si="6"/>
        <v>0.81247664163232491</v>
      </c>
      <c r="T60">
        <f t="shared" si="7"/>
        <v>0.68898019210421302</v>
      </c>
      <c r="U60">
        <f t="shared" si="8"/>
        <v>0.80697240831617778</v>
      </c>
      <c r="V60">
        <f t="shared" si="9"/>
        <v>0.64557792665294222</v>
      </c>
      <c r="W60">
        <f t="shared" si="10"/>
        <v>2.1863013067937101E-2</v>
      </c>
    </row>
    <row r="61" spans="1:23">
      <c r="A61">
        <v>59</v>
      </c>
      <c r="B61">
        <v>343</v>
      </c>
      <c r="C61">
        <v>346</v>
      </c>
      <c r="D61">
        <v>356</v>
      </c>
      <c r="E61">
        <v>346</v>
      </c>
      <c r="F61">
        <v>356</v>
      </c>
      <c r="G61">
        <v>350</v>
      </c>
      <c r="H61">
        <f t="shared" si="0"/>
        <v>349.4</v>
      </c>
      <c r="I61">
        <f t="shared" si="1"/>
        <v>6.1481704595757591</v>
      </c>
      <c r="J61">
        <f t="shared" si="2"/>
        <v>6.1773780845922026</v>
      </c>
      <c r="K61">
        <v>360</v>
      </c>
      <c r="L61">
        <v>335</v>
      </c>
      <c r="M61">
        <f t="shared" si="3"/>
        <v>1.7240901288757455</v>
      </c>
      <c r="N61">
        <f t="shared" si="4"/>
        <v>-2.3421601750764758</v>
      </c>
      <c r="O61">
        <f t="shared" si="5"/>
        <v>347.5</v>
      </c>
      <c r="P61">
        <v>350</v>
      </c>
      <c r="R61">
        <v>59</v>
      </c>
      <c r="S61">
        <f t="shared" si="6"/>
        <v>0.67770838399203692</v>
      </c>
      <c r="T61">
        <f t="shared" si="7"/>
        <v>0.57469670962524855</v>
      </c>
      <c r="U61">
        <f t="shared" si="8"/>
        <v>0.67450407108143318</v>
      </c>
      <c r="V61">
        <f t="shared" si="9"/>
        <v>0.53960325686514654</v>
      </c>
      <c r="W61">
        <f t="shared" si="10"/>
        <v>5.1932029279289756E-2</v>
      </c>
    </row>
    <row r="62" spans="1:23">
      <c r="A62">
        <v>60</v>
      </c>
      <c r="B62">
        <v>348</v>
      </c>
      <c r="C62">
        <v>350</v>
      </c>
      <c r="D62">
        <v>359</v>
      </c>
      <c r="E62">
        <v>349</v>
      </c>
      <c r="F62">
        <v>357</v>
      </c>
      <c r="G62">
        <v>350</v>
      </c>
      <c r="H62">
        <f t="shared" si="0"/>
        <v>352.6</v>
      </c>
      <c r="I62">
        <f t="shared" si="1"/>
        <v>5.0299105359837171</v>
      </c>
      <c r="J62">
        <f t="shared" si="2"/>
        <v>5.6621550667568368</v>
      </c>
      <c r="K62">
        <v>360</v>
      </c>
      <c r="L62">
        <v>335</v>
      </c>
      <c r="M62">
        <f t="shared" si="3"/>
        <v>1.4711991291019519</v>
      </c>
      <c r="N62">
        <f t="shared" si="4"/>
        <v>-3.4990681989451984</v>
      </c>
      <c r="O62">
        <f t="shared" si="5"/>
        <v>347.5</v>
      </c>
      <c r="P62">
        <v>350</v>
      </c>
      <c r="R62">
        <v>60</v>
      </c>
      <c r="S62">
        <f t="shared" si="6"/>
        <v>0.82837788800785839</v>
      </c>
      <c r="T62">
        <f t="shared" si="7"/>
        <v>0.49039970970065067</v>
      </c>
      <c r="U62">
        <f t="shared" si="8"/>
        <v>0.73587999931857151</v>
      </c>
      <c r="V62">
        <f t="shared" si="9"/>
        <v>0.58870399945485719</v>
      </c>
      <c r="W62">
        <f t="shared" si="10"/>
        <v>7.0852079899452289E-2</v>
      </c>
    </row>
    <row r="63" spans="1:23">
      <c r="A63">
        <v>61</v>
      </c>
      <c r="B63">
        <v>350</v>
      </c>
      <c r="C63">
        <v>351</v>
      </c>
      <c r="D63">
        <v>360</v>
      </c>
      <c r="E63">
        <v>350</v>
      </c>
      <c r="F63">
        <v>355</v>
      </c>
      <c r="G63">
        <v>350</v>
      </c>
      <c r="H63">
        <f t="shared" si="0"/>
        <v>353.2</v>
      </c>
      <c r="I63">
        <f t="shared" si="1"/>
        <v>4.3243496620879309</v>
      </c>
      <c r="J63">
        <f t="shared" si="2"/>
        <v>5.3795910625250993</v>
      </c>
      <c r="K63">
        <v>360</v>
      </c>
      <c r="L63">
        <v>335</v>
      </c>
      <c r="M63">
        <f t="shared" si="3"/>
        <v>1.5724907862137956</v>
      </c>
      <c r="N63">
        <f t="shared" si="4"/>
        <v>-4.208725339572208</v>
      </c>
      <c r="O63">
        <f t="shared" si="5"/>
        <v>347.5</v>
      </c>
      <c r="P63">
        <v>350</v>
      </c>
      <c r="R63">
        <v>61</v>
      </c>
      <c r="S63">
        <f t="shared" si="6"/>
        <v>0.96353602096433388</v>
      </c>
      <c r="T63">
        <f t="shared" si="7"/>
        <v>0.52416359540459845</v>
      </c>
      <c r="U63">
        <f t="shared" si="8"/>
        <v>0.77453223084040446</v>
      </c>
      <c r="V63">
        <f t="shared" si="9"/>
        <v>0.61962578467232354</v>
      </c>
      <c r="W63">
        <f t="shared" si="10"/>
        <v>5.7931227925770636E-2</v>
      </c>
    </row>
    <row r="64" spans="1:23">
      <c r="A64">
        <v>62</v>
      </c>
      <c r="B64">
        <v>350</v>
      </c>
      <c r="C64">
        <v>351</v>
      </c>
      <c r="D64">
        <v>359</v>
      </c>
      <c r="E64">
        <v>351</v>
      </c>
      <c r="F64">
        <v>354</v>
      </c>
      <c r="G64">
        <v>350</v>
      </c>
      <c r="H64">
        <f t="shared" si="0"/>
        <v>353</v>
      </c>
      <c r="I64">
        <f t="shared" si="1"/>
        <v>3.6742346141747673</v>
      </c>
      <c r="J64">
        <f t="shared" si="2"/>
        <v>4.7434164902525691</v>
      </c>
      <c r="K64">
        <v>360</v>
      </c>
      <c r="L64">
        <v>335</v>
      </c>
      <c r="M64">
        <f t="shared" si="3"/>
        <v>1.9051586888313607</v>
      </c>
      <c r="N64">
        <f t="shared" si="4"/>
        <v>-4.8989794855663558</v>
      </c>
      <c r="O64">
        <f t="shared" si="5"/>
        <v>347.5</v>
      </c>
      <c r="P64">
        <v>350</v>
      </c>
      <c r="R64">
        <v>62</v>
      </c>
      <c r="S64">
        <f t="shared" si="6"/>
        <v>1.1340230290662863</v>
      </c>
      <c r="T64">
        <f t="shared" si="7"/>
        <v>0.63505289627712025</v>
      </c>
      <c r="U64">
        <f t="shared" si="8"/>
        <v>0.87841046115788313</v>
      </c>
      <c r="V64">
        <f t="shared" si="9"/>
        <v>0.70272836892630652</v>
      </c>
      <c r="W64">
        <f t="shared" si="10"/>
        <v>2.8380204871511067E-2</v>
      </c>
    </row>
    <row r="65" spans="1:23">
      <c r="A65">
        <v>63</v>
      </c>
      <c r="B65">
        <v>348</v>
      </c>
      <c r="C65">
        <v>347</v>
      </c>
      <c r="D65">
        <v>356</v>
      </c>
      <c r="E65">
        <v>344</v>
      </c>
      <c r="F65">
        <v>355</v>
      </c>
      <c r="G65">
        <v>350</v>
      </c>
      <c r="H65">
        <f t="shared" si="0"/>
        <v>350</v>
      </c>
      <c r="I65">
        <f t="shared" si="1"/>
        <v>5.2440442408507577</v>
      </c>
      <c r="J65">
        <f t="shared" si="2"/>
        <v>5.2440442408507577</v>
      </c>
      <c r="K65">
        <v>360</v>
      </c>
      <c r="L65">
        <v>335</v>
      </c>
      <c r="M65">
        <f t="shared" si="3"/>
        <v>1.9069251784911847</v>
      </c>
      <c r="N65">
        <f t="shared" si="4"/>
        <v>-2.8603877677367771</v>
      </c>
      <c r="O65">
        <f t="shared" si="5"/>
        <v>347.5</v>
      </c>
      <c r="P65">
        <v>350</v>
      </c>
      <c r="R65">
        <v>63</v>
      </c>
      <c r="S65">
        <f t="shared" si="6"/>
        <v>0.79455215770466037</v>
      </c>
      <c r="T65">
        <f t="shared" si="7"/>
        <v>0.63564172616372827</v>
      </c>
      <c r="U65">
        <f t="shared" si="8"/>
        <v>0.79455215770466037</v>
      </c>
      <c r="V65">
        <f t="shared" si="9"/>
        <v>0.63564172616372827</v>
      </c>
      <c r="W65">
        <f t="shared" si="10"/>
        <v>3.0380755033581123E-2</v>
      </c>
    </row>
    <row r="66" spans="1:23">
      <c r="A66">
        <v>64</v>
      </c>
      <c r="B66">
        <v>347</v>
      </c>
      <c r="C66">
        <v>349</v>
      </c>
      <c r="D66">
        <v>358</v>
      </c>
      <c r="E66">
        <v>348</v>
      </c>
      <c r="F66">
        <v>357</v>
      </c>
      <c r="G66">
        <v>350</v>
      </c>
      <c r="H66">
        <f t="shared" si="0"/>
        <v>351.8</v>
      </c>
      <c r="I66">
        <f t="shared" si="1"/>
        <v>5.2630789467763064</v>
      </c>
      <c r="J66">
        <f t="shared" si="2"/>
        <v>5.5623735940693555</v>
      </c>
      <c r="K66">
        <v>360</v>
      </c>
      <c r="L66">
        <v>335</v>
      </c>
      <c r="M66">
        <f t="shared" si="3"/>
        <v>1.5580233705258362</v>
      </c>
      <c r="N66">
        <f t="shared" si="4"/>
        <v>-3.1920478810773294</v>
      </c>
      <c r="O66">
        <f t="shared" si="5"/>
        <v>347.5</v>
      </c>
      <c r="P66">
        <v>350</v>
      </c>
      <c r="R66">
        <v>64</v>
      </c>
      <c r="S66">
        <f t="shared" si="6"/>
        <v>0.791678541933861</v>
      </c>
      <c r="T66">
        <f t="shared" si="7"/>
        <v>0.51934112350861206</v>
      </c>
      <c r="U66">
        <f t="shared" si="8"/>
        <v>0.74908069301731162</v>
      </c>
      <c r="V66">
        <f t="shared" si="9"/>
        <v>0.59926455441384929</v>
      </c>
      <c r="W66">
        <f t="shared" si="10"/>
        <v>6.0320193653663937E-2</v>
      </c>
    </row>
    <row r="67" spans="1:23">
      <c r="A67">
        <v>65</v>
      </c>
      <c r="B67">
        <v>349</v>
      </c>
      <c r="C67">
        <v>348</v>
      </c>
      <c r="D67">
        <v>359</v>
      </c>
      <c r="E67">
        <v>349</v>
      </c>
      <c r="F67">
        <v>357</v>
      </c>
      <c r="G67">
        <v>350</v>
      </c>
      <c r="H67">
        <f t="shared" si="0"/>
        <v>352.4</v>
      </c>
      <c r="I67">
        <f t="shared" si="1"/>
        <v>5.1768716422179137</v>
      </c>
      <c r="J67">
        <f t="shared" si="2"/>
        <v>5.706137047074832</v>
      </c>
      <c r="K67">
        <v>360</v>
      </c>
      <c r="L67">
        <v>335</v>
      </c>
      <c r="M67">
        <f t="shared" si="3"/>
        <v>1.4680680776438904</v>
      </c>
      <c r="N67">
        <f t="shared" si="4"/>
        <v>-3.3611032303952082</v>
      </c>
      <c r="O67">
        <f t="shared" si="5"/>
        <v>347.5</v>
      </c>
      <c r="P67">
        <v>350</v>
      </c>
      <c r="R67">
        <v>65</v>
      </c>
      <c r="S67">
        <f t="shared" si="6"/>
        <v>0.8048618846731832</v>
      </c>
      <c r="T67">
        <f t="shared" si="7"/>
        <v>0.48935602588129684</v>
      </c>
      <c r="U67">
        <f t="shared" si="8"/>
        <v>0.73020795545081552</v>
      </c>
      <c r="V67">
        <f t="shared" si="9"/>
        <v>0.58416636436065239</v>
      </c>
      <c r="W67">
        <f t="shared" si="10"/>
        <v>7.1431024872177687E-2</v>
      </c>
    </row>
    <row r="68" spans="1:23">
      <c r="A68">
        <v>66</v>
      </c>
      <c r="B68">
        <v>347</v>
      </c>
      <c r="C68">
        <v>347</v>
      </c>
      <c r="D68">
        <v>343</v>
      </c>
      <c r="E68">
        <v>341</v>
      </c>
      <c r="F68">
        <v>343</v>
      </c>
      <c r="G68">
        <v>350</v>
      </c>
      <c r="H68">
        <f t="shared" ref="H68:H87" si="11">AVERAGE(B68:F68)</f>
        <v>344.2</v>
      </c>
      <c r="I68">
        <f t="shared" ref="I68:I87" si="12">(_xlfn.VAR.S(B68:F68))^0.5</f>
        <v>2.6832815729997477</v>
      </c>
      <c r="J68">
        <f t="shared" ref="J68:J87" si="13">SQRT(I68^2+(G68-H68)^2)</f>
        <v>6.3906181234681929</v>
      </c>
      <c r="K68">
        <v>360</v>
      </c>
      <c r="L68">
        <v>335</v>
      </c>
      <c r="M68">
        <f t="shared" ref="M68:M87" si="14">(K68-H68)/I68</f>
        <v>5.88831234074945</v>
      </c>
      <c r="N68">
        <f t="shared" ref="N68:N87" si="15">(L68-H68)/I68</f>
        <v>-3.428637565499673</v>
      </c>
      <c r="O68">
        <f t="shared" ref="O68:O87" si="16">347.5</f>
        <v>347.5</v>
      </c>
      <c r="P68">
        <v>350</v>
      </c>
      <c r="R68">
        <v>66</v>
      </c>
      <c r="S68">
        <f t="shared" ref="S68:S87" si="17">(K68-L68)/(6*I68)</f>
        <v>1.5528249843748541</v>
      </c>
      <c r="T68">
        <f t="shared" ref="T68:T87" si="18">MIN((H68-L68)/(3*I68),(K68-H68)/(3*I68))</f>
        <v>1.1428791884998912</v>
      </c>
      <c r="U68">
        <f t="shared" ref="U68:U87" si="19">(K68-L68)/(6*J68)</f>
        <v>0.65199744158792172</v>
      </c>
      <c r="V68">
        <f t="shared" ref="V68:V87" si="20">MIN(K68-G68,G68-L68)/(3*J68)</f>
        <v>0.52159795327033731</v>
      </c>
      <c r="W68">
        <f t="shared" ref="W68:W87" si="21">1-_xlfn.NORM.S.DIST(M68,1)+_xlfn.NORM.S.DIST(N68,1)</f>
        <v>3.0331146128782175E-4</v>
      </c>
    </row>
    <row r="69" spans="1:23">
      <c r="A69">
        <v>67</v>
      </c>
      <c r="B69">
        <v>348</v>
      </c>
      <c r="C69">
        <v>347</v>
      </c>
      <c r="D69">
        <v>356</v>
      </c>
      <c r="E69">
        <v>346</v>
      </c>
      <c r="F69">
        <v>355</v>
      </c>
      <c r="G69">
        <v>350</v>
      </c>
      <c r="H69">
        <f t="shared" si="11"/>
        <v>350.4</v>
      </c>
      <c r="I69">
        <f t="shared" si="12"/>
        <v>4.7222875812470377</v>
      </c>
      <c r="J69">
        <f t="shared" si="13"/>
        <v>4.7391982444291125</v>
      </c>
      <c r="K69">
        <v>360</v>
      </c>
      <c r="L69">
        <v>335</v>
      </c>
      <c r="M69">
        <f t="shared" si="14"/>
        <v>2.0329130394606132</v>
      </c>
      <c r="N69">
        <f t="shared" si="15"/>
        <v>-3.261131334134721</v>
      </c>
      <c r="O69">
        <f t="shared" si="16"/>
        <v>347.5</v>
      </c>
      <c r="P69">
        <v>350</v>
      </c>
      <c r="R69">
        <v>67</v>
      </c>
      <c r="S69">
        <f t="shared" si="17"/>
        <v>0.88234072893255566</v>
      </c>
      <c r="T69">
        <f t="shared" si="18"/>
        <v>0.6776376798202044</v>
      </c>
      <c r="U69">
        <f t="shared" si="19"/>
        <v>0.87919231308049794</v>
      </c>
      <c r="V69">
        <f t="shared" si="20"/>
        <v>0.70335385046439836</v>
      </c>
      <c r="W69">
        <f t="shared" si="21"/>
        <v>2.1585497856838609E-2</v>
      </c>
    </row>
    <row r="70" spans="1:23">
      <c r="A70">
        <v>68</v>
      </c>
      <c r="B70">
        <v>345</v>
      </c>
      <c r="C70">
        <v>346</v>
      </c>
      <c r="D70">
        <v>355</v>
      </c>
      <c r="E70">
        <v>347</v>
      </c>
      <c r="F70">
        <v>353</v>
      </c>
      <c r="G70">
        <v>350</v>
      </c>
      <c r="H70">
        <f t="shared" si="11"/>
        <v>349.2</v>
      </c>
      <c r="I70">
        <f t="shared" si="12"/>
        <v>4.4944410108488464</v>
      </c>
      <c r="J70">
        <f t="shared" si="13"/>
        <v>4.5650848842053326</v>
      </c>
      <c r="K70">
        <v>360</v>
      </c>
      <c r="L70">
        <v>335</v>
      </c>
      <c r="M70">
        <f t="shared" si="14"/>
        <v>2.4029684612459206</v>
      </c>
      <c r="N70">
        <f t="shared" si="15"/>
        <v>-3.1594585323788893</v>
      </c>
      <c r="O70">
        <f t="shared" si="16"/>
        <v>347.5</v>
      </c>
      <c r="P70">
        <v>350</v>
      </c>
      <c r="R70">
        <v>68</v>
      </c>
      <c r="S70">
        <f t="shared" si="17"/>
        <v>0.92707116560413494</v>
      </c>
      <c r="T70">
        <f t="shared" si="18"/>
        <v>0.80098948708197337</v>
      </c>
      <c r="U70">
        <f t="shared" si="19"/>
        <v>0.91272490487150704</v>
      </c>
      <c r="V70">
        <f t="shared" si="20"/>
        <v>0.73017992389720565</v>
      </c>
      <c r="W70">
        <f t="shared" si="21"/>
        <v>8.9216079270608359E-3</v>
      </c>
    </row>
    <row r="71" spans="1:23">
      <c r="A71">
        <v>69</v>
      </c>
      <c r="B71">
        <v>345</v>
      </c>
      <c r="C71">
        <v>345</v>
      </c>
      <c r="D71">
        <v>353</v>
      </c>
      <c r="E71">
        <v>345</v>
      </c>
      <c r="F71">
        <v>353</v>
      </c>
      <c r="G71">
        <v>350</v>
      </c>
      <c r="H71">
        <f t="shared" si="11"/>
        <v>348.2</v>
      </c>
      <c r="I71">
        <f t="shared" si="12"/>
        <v>4.3817804600413286</v>
      </c>
      <c r="J71">
        <f t="shared" si="13"/>
        <v>4.7370877129308084</v>
      </c>
      <c r="K71">
        <v>360</v>
      </c>
      <c r="L71">
        <v>335</v>
      </c>
      <c r="M71">
        <f t="shared" si="14"/>
        <v>2.6929692410670696</v>
      </c>
      <c r="N71">
        <f t="shared" si="15"/>
        <v>-3.0124740662784113</v>
      </c>
      <c r="O71">
        <f t="shared" si="16"/>
        <v>347.5</v>
      </c>
      <c r="P71">
        <v>350</v>
      </c>
      <c r="R71">
        <v>69</v>
      </c>
      <c r="S71">
        <f t="shared" si="17"/>
        <v>0.95090721789091348</v>
      </c>
      <c r="T71">
        <f t="shared" si="18"/>
        <v>0.89765641368902316</v>
      </c>
      <c r="U71">
        <f t="shared" si="19"/>
        <v>0.87958402275155978</v>
      </c>
      <c r="V71">
        <f t="shared" si="20"/>
        <v>0.70366721820124789</v>
      </c>
      <c r="W71">
        <f t="shared" si="21"/>
        <v>4.836577989201082E-3</v>
      </c>
    </row>
    <row r="72" spans="1:23">
      <c r="A72">
        <v>70</v>
      </c>
      <c r="B72">
        <v>347</v>
      </c>
      <c r="C72">
        <v>345</v>
      </c>
      <c r="D72">
        <v>353</v>
      </c>
      <c r="E72">
        <v>345</v>
      </c>
      <c r="F72">
        <v>353</v>
      </c>
      <c r="G72">
        <v>350</v>
      </c>
      <c r="H72">
        <f t="shared" si="11"/>
        <v>348.6</v>
      </c>
      <c r="I72">
        <f t="shared" si="12"/>
        <v>4.0987803063838397</v>
      </c>
      <c r="J72">
        <f t="shared" si="13"/>
        <v>4.331281565541536</v>
      </c>
      <c r="K72">
        <v>360</v>
      </c>
      <c r="L72">
        <v>335</v>
      </c>
      <c r="M72">
        <f t="shared" si="14"/>
        <v>2.7813152079033139</v>
      </c>
      <c r="N72">
        <f t="shared" si="15"/>
        <v>-3.3180602480250179</v>
      </c>
      <c r="O72">
        <f t="shared" si="16"/>
        <v>347.5</v>
      </c>
      <c r="P72">
        <v>350</v>
      </c>
      <c r="R72">
        <v>70</v>
      </c>
      <c r="S72">
        <f t="shared" si="17"/>
        <v>1.0165625759880554</v>
      </c>
      <c r="T72">
        <f t="shared" si="18"/>
        <v>0.9271050693011047</v>
      </c>
      <c r="U72">
        <f t="shared" si="19"/>
        <v>0.96199395112418939</v>
      </c>
      <c r="V72">
        <f t="shared" si="20"/>
        <v>0.76959516089935143</v>
      </c>
      <c r="W72">
        <f t="shared" si="21"/>
        <v>3.1601817956089721E-3</v>
      </c>
    </row>
    <row r="73" spans="1:23">
      <c r="A73">
        <v>71</v>
      </c>
      <c r="B73">
        <v>349</v>
      </c>
      <c r="C73">
        <v>346</v>
      </c>
      <c r="D73">
        <v>356</v>
      </c>
      <c r="E73">
        <v>347</v>
      </c>
      <c r="F73">
        <v>356</v>
      </c>
      <c r="G73">
        <v>350</v>
      </c>
      <c r="H73">
        <f t="shared" si="11"/>
        <v>350.8</v>
      </c>
      <c r="I73">
        <f t="shared" si="12"/>
        <v>4.8682645778552338</v>
      </c>
      <c r="J73">
        <f t="shared" si="13"/>
        <v>4.9335585534176056</v>
      </c>
      <c r="K73">
        <v>360</v>
      </c>
      <c r="L73">
        <v>335</v>
      </c>
      <c r="M73">
        <f t="shared" si="14"/>
        <v>1.889790469040848</v>
      </c>
      <c r="N73">
        <f t="shared" si="15"/>
        <v>-3.2455097185701587</v>
      </c>
      <c r="O73">
        <f t="shared" si="16"/>
        <v>347.5</v>
      </c>
      <c r="P73">
        <v>350</v>
      </c>
      <c r="R73">
        <v>71</v>
      </c>
      <c r="S73">
        <f t="shared" si="17"/>
        <v>0.85588336460183445</v>
      </c>
      <c r="T73">
        <f t="shared" si="18"/>
        <v>0.62993015634694938</v>
      </c>
      <c r="U73">
        <f t="shared" si="19"/>
        <v>0.84455603831443471</v>
      </c>
      <c r="V73">
        <f t="shared" si="20"/>
        <v>0.67564483065154779</v>
      </c>
      <c r="W73">
        <f t="shared" si="21"/>
        <v>2.9979197191919271E-2</v>
      </c>
    </row>
    <row r="74" spans="1:23">
      <c r="A74">
        <v>72</v>
      </c>
      <c r="B74">
        <v>342</v>
      </c>
      <c r="C74">
        <v>342</v>
      </c>
      <c r="D74">
        <v>347</v>
      </c>
      <c r="E74">
        <v>340</v>
      </c>
      <c r="F74">
        <v>348</v>
      </c>
      <c r="G74">
        <v>350</v>
      </c>
      <c r="H74">
        <f t="shared" si="11"/>
        <v>343.8</v>
      </c>
      <c r="I74">
        <f t="shared" si="12"/>
        <v>3.4928498393145961</v>
      </c>
      <c r="J74">
        <f t="shared" si="13"/>
        <v>7.1161787498628684</v>
      </c>
      <c r="K74">
        <v>360</v>
      </c>
      <c r="L74">
        <v>335</v>
      </c>
      <c r="M74">
        <f t="shared" si="14"/>
        <v>4.6380465079423292</v>
      </c>
      <c r="N74">
        <f t="shared" si="15"/>
        <v>-2.5194326709810233</v>
      </c>
      <c r="O74">
        <f t="shared" si="16"/>
        <v>347.5</v>
      </c>
      <c r="P74">
        <v>350</v>
      </c>
      <c r="R74">
        <v>72</v>
      </c>
      <c r="S74">
        <f t="shared" si="17"/>
        <v>1.1929131964872255</v>
      </c>
      <c r="T74">
        <f t="shared" si="18"/>
        <v>0.83981089032700784</v>
      </c>
      <c r="U74">
        <f t="shared" si="19"/>
        <v>0.58552023679098275</v>
      </c>
      <c r="V74">
        <f t="shared" si="20"/>
        <v>0.46841618943278623</v>
      </c>
      <c r="W74">
        <f t="shared" si="21"/>
        <v>5.8789644987700526E-3</v>
      </c>
    </row>
    <row r="75" spans="1:23">
      <c r="A75">
        <v>73</v>
      </c>
      <c r="B75">
        <v>347</v>
      </c>
      <c r="C75">
        <v>345</v>
      </c>
      <c r="D75">
        <v>355</v>
      </c>
      <c r="E75">
        <v>345</v>
      </c>
      <c r="F75">
        <v>355</v>
      </c>
      <c r="G75">
        <v>350</v>
      </c>
      <c r="H75">
        <f t="shared" si="11"/>
        <v>349.4</v>
      </c>
      <c r="I75">
        <f t="shared" si="12"/>
        <v>5.1768716422179137</v>
      </c>
      <c r="J75">
        <f t="shared" si="13"/>
        <v>5.2115256883181562</v>
      </c>
      <c r="K75">
        <v>360</v>
      </c>
      <c r="L75">
        <v>335</v>
      </c>
      <c r="M75">
        <f t="shared" si="14"/>
        <v>2.0475686346085822</v>
      </c>
      <c r="N75">
        <f t="shared" si="15"/>
        <v>-2.7816026734305166</v>
      </c>
      <c r="O75">
        <f t="shared" si="16"/>
        <v>347.5</v>
      </c>
      <c r="P75">
        <v>350</v>
      </c>
      <c r="R75">
        <v>73</v>
      </c>
      <c r="S75">
        <f t="shared" si="17"/>
        <v>0.8048618846731832</v>
      </c>
      <c r="T75">
        <f t="shared" si="18"/>
        <v>0.68252287820286084</v>
      </c>
      <c r="U75">
        <f t="shared" si="19"/>
        <v>0.79950995463889141</v>
      </c>
      <c r="V75">
        <f t="shared" si="20"/>
        <v>0.63960796371111317</v>
      </c>
      <c r="W75">
        <f t="shared" si="21"/>
        <v>2.3005703540274449E-2</v>
      </c>
    </row>
    <row r="76" spans="1:23">
      <c r="A76">
        <v>74</v>
      </c>
      <c r="B76">
        <v>346</v>
      </c>
      <c r="C76">
        <v>344</v>
      </c>
      <c r="D76">
        <v>354</v>
      </c>
      <c r="E76">
        <v>344</v>
      </c>
      <c r="F76">
        <v>353</v>
      </c>
      <c r="G76">
        <v>350</v>
      </c>
      <c r="H76">
        <f t="shared" si="11"/>
        <v>348.2</v>
      </c>
      <c r="I76">
        <f t="shared" si="12"/>
        <v>4.919349550499537</v>
      </c>
      <c r="J76">
        <f t="shared" si="13"/>
        <v>5.2383203414835213</v>
      </c>
      <c r="K76">
        <v>360</v>
      </c>
      <c r="L76">
        <v>335</v>
      </c>
      <c r="M76">
        <f t="shared" si="14"/>
        <v>2.3986911031361404</v>
      </c>
      <c r="N76">
        <f t="shared" si="15"/>
        <v>-2.6832815729997455</v>
      </c>
      <c r="O76">
        <f t="shared" si="16"/>
        <v>347.5</v>
      </c>
      <c r="P76">
        <v>350</v>
      </c>
      <c r="R76">
        <v>74</v>
      </c>
      <c r="S76">
        <f t="shared" si="17"/>
        <v>0.84699544602264765</v>
      </c>
      <c r="T76">
        <f t="shared" si="18"/>
        <v>0.7995637010453801</v>
      </c>
      <c r="U76">
        <f t="shared" si="19"/>
        <v>0.79542036283459594</v>
      </c>
      <c r="V76">
        <f t="shared" si="20"/>
        <v>0.63633629026767669</v>
      </c>
      <c r="W76">
        <f t="shared" si="21"/>
        <v>1.1872073180558893E-2</v>
      </c>
    </row>
    <row r="77" spans="1:23">
      <c r="A77">
        <v>75</v>
      </c>
      <c r="B77">
        <v>344</v>
      </c>
      <c r="C77">
        <v>342</v>
      </c>
      <c r="D77">
        <v>353</v>
      </c>
      <c r="E77">
        <v>343</v>
      </c>
      <c r="F77">
        <v>352</v>
      </c>
      <c r="G77">
        <v>350</v>
      </c>
      <c r="H77">
        <f t="shared" si="11"/>
        <v>346.8</v>
      </c>
      <c r="I77">
        <f t="shared" si="12"/>
        <v>5.2630789467763064</v>
      </c>
      <c r="J77">
        <f t="shared" si="13"/>
        <v>6.159545437773791</v>
      </c>
      <c r="K77">
        <v>360</v>
      </c>
      <c r="L77">
        <v>335</v>
      </c>
      <c r="M77">
        <f t="shared" si="14"/>
        <v>2.5080376208464692</v>
      </c>
      <c r="N77">
        <f t="shared" si="15"/>
        <v>-2.2420336307566964</v>
      </c>
      <c r="O77">
        <f t="shared" si="16"/>
        <v>347.5</v>
      </c>
      <c r="P77">
        <v>350</v>
      </c>
      <c r="R77">
        <v>75</v>
      </c>
      <c r="S77">
        <f t="shared" si="17"/>
        <v>0.791678541933861</v>
      </c>
      <c r="T77">
        <f t="shared" si="18"/>
        <v>0.74734454358556546</v>
      </c>
      <c r="U77">
        <f t="shared" si="19"/>
        <v>0.67645684389538341</v>
      </c>
      <c r="V77">
        <f t="shared" si="20"/>
        <v>0.54116547511630675</v>
      </c>
      <c r="W77">
        <f t="shared" si="21"/>
        <v>1.8549786449150112E-2</v>
      </c>
    </row>
    <row r="78" spans="1:23">
      <c r="A78">
        <v>76</v>
      </c>
      <c r="B78">
        <v>347</v>
      </c>
      <c r="C78">
        <v>347</v>
      </c>
      <c r="D78">
        <v>347</v>
      </c>
      <c r="E78">
        <v>357</v>
      </c>
      <c r="F78">
        <v>357</v>
      </c>
      <c r="G78">
        <v>350</v>
      </c>
      <c r="H78">
        <f t="shared" si="11"/>
        <v>351</v>
      </c>
      <c r="I78">
        <f t="shared" si="12"/>
        <v>5.4772255750516612</v>
      </c>
      <c r="J78">
        <f t="shared" si="13"/>
        <v>5.5677643628300215</v>
      </c>
      <c r="K78">
        <v>360</v>
      </c>
      <c r="L78">
        <v>335</v>
      </c>
      <c r="M78">
        <f t="shared" si="14"/>
        <v>1.6431676725154982</v>
      </c>
      <c r="N78">
        <f t="shared" si="15"/>
        <v>-2.9211869733608857</v>
      </c>
      <c r="O78">
        <f t="shared" si="16"/>
        <v>347.5</v>
      </c>
      <c r="P78">
        <v>350</v>
      </c>
      <c r="R78">
        <v>76</v>
      </c>
      <c r="S78">
        <f t="shared" si="17"/>
        <v>0.7607257743127307</v>
      </c>
      <c r="T78">
        <f t="shared" si="18"/>
        <v>0.54772255750516619</v>
      </c>
      <c r="U78">
        <f t="shared" si="19"/>
        <v>0.74835542511156217</v>
      </c>
      <c r="V78">
        <f t="shared" si="20"/>
        <v>0.59868434008924976</v>
      </c>
      <c r="W78">
        <f t="shared" si="21"/>
        <v>5.1917625677216035E-2</v>
      </c>
    </row>
    <row r="79" spans="1:23">
      <c r="A79">
        <v>77</v>
      </c>
      <c r="B79">
        <v>345</v>
      </c>
      <c r="C79">
        <v>343</v>
      </c>
      <c r="D79">
        <v>352</v>
      </c>
      <c r="E79">
        <v>343</v>
      </c>
      <c r="F79">
        <v>351</v>
      </c>
      <c r="G79">
        <v>350</v>
      </c>
      <c r="H79">
        <f t="shared" si="11"/>
        <v>346.8</v>
      </c>
      <c r="I79">
        <f t="shared" si="12"/>
        <v>4.3817804600413286</v>
      </c>
      <c r="J79">
        <f t="shared" si="13"/>
        <v>5.4258639865002074</v>
      </c>
      <c r="K79">
        <v>360</v>
      </c>
      <c r="L79">
        <v>335</v>
      </c>
      <c r="M79">
        <f t="shared" si="14"/>
        <v>3.0124740662784113</v>
      </c>
      <c r="N79">
        <f t="shared" si="15"/>
        <v>-2.6929692410670696</v>
      </c>
      <c r="O79">
        <f t="shared" si="16"/>
        <v>347.5</v>
      </c>
      <c r="P79">
        <v>350</v>
      </c>
      <c r="R79">
        <v>77</v>
      </c>
      <c r="S79">
        <f t="shared" si="17"/>
        <v>0.95090721789091348</v>
      </c>
      <c r="T79">
        <f t="shared" si="18"/>
        <v>0.89765641368902316</v>
      </c>
      <c r="U79">
        <f t="shared" si="19"/>
        <v>0.76792685497342361</v>
      </c>
      <c r="V79">
        <f t="shared" si="20"/>
        <v>0.61434148397873889</v>
      </c>
      <c r="W79">
        <f t="shared" si="21"/>
        <v>4.8365779892010838E-3</v>
      </c>
    </row>
    <row r="80" spans="1:23">
      <c r="A80">
        <v>78</v>
      </c>
      <c r="B80">
        <v>347</v>
      </c>
      <c r="C80">
        <v>345</v>
      </c>
      <c r="D80">
        <v>356</v>
      </c>
      <c r="E80">
        <v>345</v>
      </c>
      <c r="F80">
        <v>355</v>
      </c>
      <c r="G80">
        <v>350</v>
      </c>
      <c r="H80">
        <f t="shared" si="11"/>
        <v>349.6</v>
      </c>
      <c r="I80">
        <f t="shared" si="12"/>
        <v>5.4589376255824726</v>
      </c>
      <c r="J80">
        <f t="shared" si="13"/>
        <v>5.4735728733616025</v>
      </c>
      <c r="K80">
        <v>360</v>
      </c>
      <c r="L80">
        <v>335</v>
      </c>
      <c r="M80">
        <f t="shared" si="14"/>
        <v>1.9051325941630062</v>
      </c>
      <c r="N80">
        <f t="shared" si="15"/>
        <v>-2.6745130648826918</v>
      </c>
      <c r="O80">
        <f t="shared" si="16"/>
        <v>347.5</v>
      </c>
      <c r="P80">
        <v>350</v>
      </c>
      <c r="R80">
        <v>78</v>
      </c>
      <c r="S80">
        <f t="shared" si="17"/>
        <v>0.76327427650761626</v>
      </c>
      <c r="T80">
        <f t="shared" si="18"/>
        <v>0.63504419805433532</v>
      </c>
      <c r="U80">
        <f t="shared" si="19"/>
        <v>0.76123343254361442</v>
      </c>
      <c r="V80">
        <f t="shared" si="20"/>
        <v>0.60898674603489156</v>
      </c>
      <c r="W80">
        <f t="shared" si="21"/>
        <v>3.2123311744161984E-2</v>
      </c>
    </row>
    <row r="81" spans="1:23">
      <c r="A81">
        <v>79</v>
      </c>
      <c r="B81">
        <v>347</v>
      </c>
      <c r="C81">
        <v>346</v>
      </c>
      <c r="D81">
        <v>357</v>
      </c>
      <c r="E81">
        <v>347</v>
      </c>
      <c r="F81">
        <v>356</v>
      </c>
      <c r="G81">
        <v>350</v>
      </c>
      <c r="H81">
        <f t="shared" si="11"/>
        <v>350.6</v>
      </c>
      <c r="I81">
        <f t="shared" si="12"/>
        <v>5.4129474410897434</v>
      </c>
      <c r="J81">
        <f t="shared" si="13"/>
        <v>5.4460995216760431</v>
      </c>
      <c r="K81">
        <v>360</v>
      </c>
      <c r="L81">
        <v>335</v>
      </c>
      <c r="M81">
        <f t="shared" si="14"/>
        <v>1.7365769947523366</v>
      </c>
      <c r="N81">
        <f t="shared" si="15"/>
        <v>-2.8819788423549526</v>
      </c>
      <c r="O81">
        <f t="shared" si="16"/>
        <v>347.5</v>
      </c>
      <c r="P81">
        <v>350</v>
      </c>
      <c r="R81">
        <v>79</v>
      </c>
      <c r="S81">
        <f t="shared" si="17"/>
        <v>0.76975930618454813</v>
      </c>
      <c r="T81">
        <f t="shared" si="18"/>
        <v>0.5788589982507788</v>
      </c>
      <c r="U81">
        <f t="shared" si="19"/>
        <v>0.76507354485221934</v>
      </c>
      <c r="V81">
        <f t="shared" si="20"/>
        <v>0.61205883588177545</v>
      </c>
      <c r="W81">
        <f t="shared" si="21"/>
        <v>4.3206862891683115E-2</v>
      </c>
    </row>
    <row r="82" spans="1:23">
      <c r="A82">
        <v>80</v>
      </c>
      <c r="B82">
        <v>349</v>
      </c>
      <c r="C82">
        <v>346</v>
      </c>
      <c r="D82">
        <v>357</v>
      </c>
      <c r="E82">
        <v>346</v>
      </c>
      <c r="F82">
        <v>357</v>
      </c>
      <c r="G82">
        <v>350</v>
      </c>
      <c r="H82">
        <f t="shared" si="11"/>
        <v>351</v>
      </c>
      <c r="I82">
        <f t="shared" si="12"/>
        <v>5.6124860801609122</v>
      </c>
      <c r="J82">
        <f t="shared" si="13"/>
        <v>5.7008771254956896</v>
      </c>
      <c r="K82">
        <v>360</v>
      </c>
      <c r="L82">
        <v>335</v>
      </c>
      <c r="M82">
        <f t="shared" si="14"/>
        <v>1.6035674514745464</v>
      </c>
      <c r="N82">
        <f t="shared" si="15"/>
        <v>-2.8507865803991934</v>
      </c>
      <c r="O82">
        <f t="shared" si="16"/>
        <v>347.5</v>
      </c>
      <c r="P82">
        <v>350</v>
      </c>
      <c r="R82">
        <v>80</v>
      </c>
      <c r="S82">
        <f t="shared" si="17"/>
        <v>0.74239233864562326</v>
      </c>
      <c r="T82">
        <f t="shared" si="18"/>
        <v>0.53452248382484879</v>
      </c>
      <c r="U82">
        <f t="shared" si="19"/>
        <v>0.73088168275585774</v>
      </c>
      <c r="V82">
        <f t="shared" si="20"/>
        <v>0.58470534620468617</v>
      </c>
      <c r="W82">
        <f t="shared" si="21"/>
        <v>5.6585276547093201E-2</v>
      </c>
    </row>
    <row r="83" spans="1:23">
      <c r="A83">
        <v>81</v>
      </c>
      <c r="B83">
        <v>343</v>
      </c>
      <c r="C83">
        <v>347</v>
      </c>
      <c r="D83">
        <v>355</v>
      </c>
      <c r="E83">
        <v>347</v>
      </c>
      <c r="F83">
        <v>355</v>
      </c>
      <c r="G83">
        <v>350</v>
      </c>
      <c r="H83">
        <f t="shared" si="11"/>
        <v>349.4</v>
      </c>
      <c r="I83">
        <f t="shared" si="12"/>
        <v>5.3665631459994954</v>
      </c>
      <c r="J83">
        <f t="shared" si="13"/>
        <v>5.400000000000003</v>
      </c>
      <c r="K83">
        <v>360</v>
      </c>
      <c r="L83">
        <v>335</v>
      </c>
      <c r="M83">
        <f t="shared" si="14"/>
        <v>1.9751933801248185</v>
      </c>
      <c r="N83">
        <f t="shared" si="15"/>
        <v>-2.6832815729997432</v>
      </c>
      <c r="O83">
        <f t="shared" si="16"/>
        <v>347.5</v>
      </c>
      <c r="P83">
        <v>350</v>
      </c>
      <c r="R83">
        <v>81</v>
      </c>
      <c r="S83">
        <f t="shared" si="17"/>
        <v>0.77641249218742703</v>
      </c>
      <c r="T83">
        <f t="shared" si="18"/>
        <v>0.65839779337493953</v>
      </c>
      <c r="U83">
        <f t="shared" si="19"/>
        <v>0.77160493827160448</v>
      </c>
      <c r="V83">
        <f t="shared" si="20"/>
        <v>0.61728395061728358</v>
      </c>
      <c r="W83">
        <f t="shared" si="21"/>
        <v>2.7768282485084315E-2</v>
      </c>
    </row>
    <row r="84" spans="1:23">
      <c r="A84">
        <v>82</v>
      </c>
      <c r="B84">
        <v>347</v>
      </c>
      <c r="C84">
        <v>348</v>
      </c>
      <c r="D84">
        <v>358</v>
      </c>
      <c r="E84">
        <v>347</v>
      </c>
      <c r="F84">
        <v>357</v>
      </c>
      <c r="G84">
        <v>350</v>
      </c>
      <c r="H84">
        <f t="shared" si="11"/>
        <v>351.4</v>
      </c>
      <c r="I84">
        <f t="shared" si="12"/>
        <v>5.5946402922797462</v>
      </c>
      <c r="J84">
        <f t="shared" si="13"/>
        <v>5.7671483421184808</v>
      </c>
      <c r="K84">
        <v>360</v>
      </c>
      <c r="L84">
        <v>335</v>
      </c>
      <c r="M84">
        <f t="shared" si="14"/>
        <v>1.5371855116168032</v>
      </c>
      <c r="N84">
        <f t="shared" si="15"/>
        <v>-2.9313770221529616</v>
      </c>
      <c r="O84">
        <f t="shared" si="16"/>
        <v>347.5</v>
      </c>
      <c r="P84">
        <v>350</v>
      </c>
      <c r="R84">
        <v>82</v>
      </c>
      <c r="S84">
        <f t="shared" si="17"/>
        <v>0.74476042229496076</v>
      </c>
      <c r="T84">
        <f t="shared" si="18"/>
        <v>0.51239517053893435</v>
      </c>
      <c r="U84">
        <f t="shared" si="19"/>
        <v>0.72248300537664001</v>
      </c>
      <c r="V84">
        <f t="shared" si="20"/>
        <v>0.57798640430131198</v>
      </c>
      <c r="W84">
        <f t="shared" si="21"/>
        <v>6.3811258371342369E-2</v>
      </c>
    </row>
    <row r="85" spans="1:23">
      <c r="A85">
        <v>83</v>
      </c>
      <c r="B85">
        <v>344</v>
      </c>
      <c r="C85">
        <v>344</v>
      </c>
      <c r="D85">
        <v>346</v>
      </c>
      <c r="E85">
        <v>344</v>
      </c>
      <c r="F85">
        <v>348</v>
      </c>
      <c r="G85">
        <v>350</v>
      </c>
      <c r="H85">
        <f t="shared" si="11"/>
        <v>345.2</v>
      </c>
      <c r="I85">
        <f t="shared" si="12"/>
        <v>1.7888543819998317</v>
      </c>
      <c r="J85">
        <f t="shared" si="13"/>
        <v>5.1224993899462898</v>
      </c>
      <c r="K85">
        <v>360</v>
      </c>
      <c r="L85">
        <v>335</v>
      </c>
      <c r="M85">
        <f t="shared" si="14"/>
        <v>8.273451516749228</v>
      </c>
      <c r="N85">
        <f t="shared" si="15"/>
        <v>-5.7019733426244574</v>
      </c>
      <c r="O85">
        <f t="shared" si="16"/>
        <v>347.5</v>
      </c>
      <c r="P85">
        <v>350</v>
      </c>
      <c r="R85">
        <v>83</v>
      </c>
      <c r="S85">
        <f t="shared" si="17"/>
        <v>2.3292374765622808</v>
      </c>
      <c r="T85">
        <f t="shared" si="18"/>
        <v>1.9006577808748191</v>
      </c>
      <c r="U85">
        <f t="shared" si="19"/>
        <v>0.81340500983648822</v>
      </c>
      <c r="V85">
        <f t="shared" si="20"/>
        <v>0.6507240078691906</v>
      </c>
      <c r="W85">
        <f t="shared" si="21"/>
        <v>5.921417708285408E-9</v>
      </c>
    </row>
    <row r="86" spans="1:23">
      <c r="A86">
        <v>84</v>
      </c>
      <c r="B86">
        <v>351</v>
      </c>
      <c r="C86">
        <v>350</v>
      </c>
      <c r="D86">
        <v>359</v>
      </c>
      <c r="E86">
        <v>349</v>
      </c>
      <c r="F86">
        <v>358</v>
      </c>
      <c r="G86">
        <v>350</v>
      </c>
      <c r="H86">
        <f t="shared" si="11"/>
        <v>353.4</v>
      </c>
      <c r="I86">
        <f t="shared" si="12"/>
        <v>4.7222875812470377</v>
      </c>
      <c r="J86">
        <f t="shared" si="13"/>
        <v>5.8189346103904489</v>
      </c>
      <c r="K86">
        <v>360</v>
      </c>
      <c r="L86">
        <v>335</v>
      </c>
      <c r="M86">
        <f t="shared" si="14"/>
        <v>1.3976277146291731</v>
      </c>
      <c r="N86">
        <f t="shared" si="15"/>
        <v>-3.8964166589661611</v>
      </c>
      <c r="O86">
        <f t="shared" si="16"/>
        <v>347.5</v>
      </c>
      <c r="P86">
        <v>350</v>
      </c>
      <c r="R86">
        <v>84</v>
      </c>
      <c r="S86">
        <f t="shared" si="17"/>
        <v>0.88234072893255566</v>
      </c>
      <c r="T86">
        <f t="shared" si="18"/>
        <v>0.46587590487639102</v>
      </c>
      <c r="U86">
        <f t="shared" si="19"/>
        <v>0.7160531859606315</v>
      </c>
      <c r="V86">
        <f t="shared" si="20"/>
        <v>0.57284254876850516</v>
      </c>
      <c r="W86">
        <f t="shared" si="21"/>
        <v>8.1161258858601981E-2</v>
      </c>
    </row>
    <row r="87" spans="1:23">
      <c r="A87">
        <v>85</v>
      </c>
      <c r="B87">
        <v>345</v>
      </c>
      <c r="C87">
        <v>345</v>
      </c>
      <c r="D87">
        <v>353</v>
      </c>
      <c r="E87">
        <v>344</v>
      </c>
      <c r="F87">
        <v>353</v>
      </c>
      <c r="G87">
        <v>350</v>
      </c>
      <c r="H87">
        <f t="shared" si="11"/>
        <v>348</v>
      </c>
      <c r="I87">
        <f t="shared" si="12"/>
        <v>4.5825756949558398</v>
      </c>
      <c r="J87">
        <f t="shared" si="13"/>
        <v>5</v>
      </c>
      <c r="K87">
        <v>360</v>
      </c>
      <c r="L87">
        <v>335</v>
      </c>
      <c r="M87">
        <f t="shared" si="14"/>
        <v>2.6186146828319088</v>
      </c>
      <c r="N87">
        <f t="shared" si="15"/>
        <v>-2.8368325730679009</v>
      </c>
      <c r="O87">
        <f t="shared" si="16"/>
        <v>347.5</v>
      </c>
      <c r="P87">
        <v>350</v>
      </c>
      <c r="R87">
        <v>85</v>
      </c>
      <c r="S87">
        <f t="shared" si="17"/>
        <v>0.90924120931663488</v>
      </c>
      <c r="T87">
        <f t="shared" si="18"/>
        <v>0.87287156094396945</v>
      </c>
      <c r="U87">
        <f t="shared" si="19"/>
        <v>0.83333333333333337</v>
      </c>
      <c r="V87">
        <f t="shared" si="20"/>
        <v>0.66666666666666663</v>
      </c>
      <c r="W87">
        <f t="shared" si="21"/>
        <v>6.6925553780018618E-3</v>
      </c>
    </row>
  </sheetData>
  <mergeCells count="1">
    <mergeCell ref="B1:F1"/>
  </mergeCells>
  <phoneticPr fontId="1" type="noConversion"/>
  <conditionalFormatting sqref="H3:H87">
    <cfRule type="cellIs" dxfId="1" priority="1" operator="lessThan">
      <formula>347.5</formula>
    </cfRule>
    <cfRule type="cellIs" dxfId="0" priority="2" operator="greaterThan">
      <formula>347.5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1-1,1-5</vt:lpstr>
      <vt:lpstr>1-2</vt:lpstr>
      <vt:lpstr>1-3,1-6</vt:lpstr>
      <vt:lpstr>1-4,1-7</vt:lpstr>
      <vt:lpstr>2-1</vt:lpstr>
      <vt:lpstr>2-1(modify)</vt:lpstr>
      <vt:lpstr>2-2,2-3</vt:lpstr>
      <vt:lpstr>2-4</vt:lpstr>
      <vt:lpstr>3-1,3-2</vt:lpstr>
      <vt:lpstr>3-3</vt:lpstr>
      <vt:lpstr>3-4</vt:lpstr>
      <vt:lpstr>3-5</vt:lpstr>
      <vt:lpstr>3-6</vt:lpstr>
      <vt:lpstr>3-7</vt:lpstr>
      <vt:lpstr>4-1</vt:lpstr>
      <vt:lpstr>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cp:lastPrinted>2024-04-25T14:35:14Z</cp:lastPrinted>
  <dcterms:created xsi:type="dcterms:W3CDTF">2024-04-25T12:29:45Z</dcterms:created>
  <dcterms:modified xsi:type="dcterms:W3CDTF">2024-05-03T13:17:32Z</dcterms:modified>
</cp:coreProperties>
</file>