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Personal Info" sheetId="2" r:id="rId5"/>
    <sheet state="visible" name="Training" sheetId="3" r:id="rId6"/>
    <sheet state="visible" name="Home" sheetId="4" r:id="rId7"/>
    <sheet state="visible" name="RPE" sheetId="5" r:id="rId8"/>
    <sheet state="visible" name="Reference" sheetId="6" r:id="rId9"/>
  </sheets>
  <definedNames>
    <definedName name="_rpe">Reference!$F$8:$R$16</definedName>
    <definedName name="benchlist">'Personal Info'!$C:$C</definedName>
    <definedName name="query1">#REF!</definedName>
    <definedName name="bnmax">'Personal Info'!$S$10</definedName>
    <definedName name="_meetsel">#REF!</definedName>
    <definedName name="bnmetrics">#REF!</definedName>
    <definedName name="_uom">'Personal Info'!$L$5</definedName>
    <definedName name="dlmetrics">#REF!</definedName>
    <definedName name="sqmetrics">#REF!</definedName>
    <definedName name="squatlist">'Personal Info'!$A:$A</definedName>
    <definedName name="progdt">'Personal Info'!$L$25</definedName>
    <definedName name="gen">Training!$F$7</definedName>
    <definedName name="meetctdn">#REF!</definedName>
    <definedName name="dlmax">'Personal Info'!$W$10</definedName>
    <definedName name="deadlist">'Personal Info'!$E:$E</definedName>
    <definedName name="query2">#REF!</definedName>
    <definedName name="sqmax">'Personal Info'!$O$10</definedName>
  </definedNames>
  <calcPr/>
</workbook>
</file>

<file path=xl/sharedStrings.xml><?xml version="1.0" encoding="utf-8"?>
<sst xmlns="http://schemas.openxmlformats.org/spreadsheetml/2006/main" count="2254" uniqueCount="752">
  <si>
    <t>WELCOME!</t>
  </si>
  <si>
    <t>PROGRAM EXPLANATION &amp; FAQ</t>
  </si>
  <si>
    <t>BEGIN</t>
  </si>
  <si>
    <t xml:space="preserve">Click FILE &gt; MAKE A COPY at the top menu bar to create a copy of this program into your own Google Drive account. From there, you can edit the training file and make it your own. </t>
  </si>
  <si>
    <t>Enter your current 1RMs on the Personal Info tab in the yellow boxes. You may also enter a low-rep, high-RPE set. Do not enter theoretical maxes or desired training outcomes. It is not needed to enter a 90% or 95% of your maxes...simply your maxes will do.</t>
  </si>
  <si>
    <t>Look over the training plan, familiarize yourself with what is to come. We suggest running the plan without modification the first time through before attempting changes. Refer to our guide on RPE included for the best results.</t>
  </si>
  <si>
    <t xml:space="preserve">If you enjoyed the program, donate here and buy us a coffee! </t>
  </si>
  <si>
    <t>THE PROGRAM</t>
  </si>
  <si>
    <r>
      <rPr>
        <rFont val="Open Sans"/>
        <color rgb="FF434343"/>
      </rPr>
      <t xml:space="preserve">This is a </t>
    </r>
    <r>
      <rPr>
        <rFont val="Open Sans"/>
        <b/>
        <color rgb="FF434343"/>
      </rPr>
      <t>9-week training approach</t>
    </r>
    <r>
      <rPr>
        <rFont val="Open Sans"/>
        <color rgb="FF434343"/>
      </rPr>
      <t xml:space="preserve"> designed for intermediate lifters to peak effectively into actual competitions (or a mock meet) with high performance. The first four weeks represent higher overall work and lower overall loading, </t>
    </r>
    <r>
      <rPr>
        <rFont val="Open Sans"/>
        <b/>
        <color rgb="FF434343"/>
      </rPr>
      <t>designed to build training adaptions and muscle hypertrophy</t>
    </r>
    <r>
      <rPr>
        <rFont val="Open Sans"/>
        <color rgb="FF434343"/>
      </rPr>
      <t xml:space="preserve">. We’ll deload on Week 5, shedding some fatigue and preparing for the next phase. Finally, we’ll peak with exposure to heavier loads, bringing out your best. 
</t>
    </r>
  </si>
  <si>
    <r>
      <rPr>
        <rFont val="Open Sans"/>
        <color rgb="FF434343"/>
      </rPr>
      <t xml:space="preserve">While this is a generalized approach, meaning we aren’t targeting any individual athlete strengths or weaknesses or problem-solving strategies, </t>
    </r>
    <r>
      <rPr>
        <rFont val="Open Sans"/>
        <b/>
        <color rgb="FF434343"/>
      </rPr>
      <t xml:space="preserve">it’s designed to overcome many of the shortcomings with powerlifting approaches we’ve seen. </t>
    </r>
    <r>
      <rPr>
        <rFont val="Open Sans"/>
        <color rgb="FF434343"/>
      </rPr>
      <t xml:space="preserve">It additionally has an </t>
    </r>
    <r>
      <rPr>
        <rFont val="Open Sans"/>
        <b/>
        <color rgb="FF434343"/>
      </rPr>
      <t>option for female and male athletes</t>
    </r>
    <r>
      <rPr>
        <rFont val="Open Sans"/>
        <color rgb="FF434343"/>
      </rPr>
      <t xml:space="preserve"> to make sure the approach is better tailored to your needs. </t>
    </r>
    <r>
      <rPr>
        <rFont val="Open Sans"/>
        <b/>
        <color rgb="FF434343"/>
      </rPr>
      <t>This is the intermediate approach we wish all athletes had access to</t>
    </r>
    <r>
      <rPr>
        <rFont val="Open Sans"/>
        <color rgb="FF434343"/>
      </rPr>
      <t xml:space="preserve">, with balanced volume, intensity, and frequency. 
</t>
    </r>
  </si>
  <si>
    <r>
      <rPr>
        <rFont val="Open Sans"/>
        <color rgb="FF434343"/>
      </rPr>
      <t xml:space="preserve">As our training methods continue to evolve, we’ve updated the intermediate approach to match those changes. You’ll see an </t>
    </r>
    <r>
      <rPr>
        <rFont val="Open Sans"/>
        <b/>
        <color rgb="FF434343"/>
      </rPr>
      <t>increased use of autoregulation</t>
    </r>
    <r>
      <rPr>
        <rFont val="Open Sans"/>
        <color rgb="FF434343"/>
      </rPr>
      <t xml:space="preserve"> and the addition of lower repetition top sets with higher repetition backoff work to combine the best of both worlds. As you get close to peaking, you’ll see some subtle changes to the peaking structure to ride the line between fitness and fatigue.</t>
    </r>
    <r>
      <rPr>
        <rFont val="Open Sans"/>
        <b/>
        <color rgb="FF434343"/>
      </rPr>
      <t xml:space="preserve"> We think you’ll really like it.</t>
    </r>
    <r>
      <rPr>
        <rFont val="Open Sans"/>
        <color rgb="FF434343"/>
      </rPr>
      <t xml:space="preserve">
</t>
    </r>
  </si>
  <si>
    <r>
      <rPr>
        <rFont val="Open Sans"/>
        <color rgb="FF434343"/>
      </rPr>
      <t xml:space="preserve">For squat, we begin with higher training volume over two days per week of training frequency. We already have some </t>
    </r>
    <r>
      <rPr>
        <rFont val="Open Sans"/>
        <b/>
        <color rgb="FF434343"/>
      </rPr>
      <t>exposure to higher intensities early on, allowing the athlete large amounts of time for low-repetition adaptations to occur</t>
    </r>
    <r>
      <rPr>
        <rFont val="Open Sans"/>
        <color rgb="FF434343"/>
      </rPr>
      <t xml:space="preserve">. We’ll build overall lower body strength with the overall amount of volume (and added leg pressing work), and increased skill with high specificity. We utilize multiple rep ranges to ensure maximum strength and hypertrophy. 
</t>
    </r>
  </si>
  <si>
    <r>
      <rPr>
        <rFont val="Open Sans"/>
        <color rgb="FF434343"/>
      </rPr>
      <t xml:space="preserve">For bench press, we include regular exposure to pressing to allow for </t>
    </r>
    <r>
      <rPr>
        <rFont val="Open Sans"/>
        <b/>
        <color rgb="FF434343"/>
      </rPr>
      <t>accelerated rates of progress</t>
    </r>
    <r>
      <rPr>
        <rFont val="Open Sans"/>
        <color rgb="FF434343"/>
      </rPr>
      <t xml:space="preserve">. Athletes will handle horizontal pressing four times a week with access to singles starting on week 1. More than likely, you’re about to bench more than you have in a long time. 
</t>
    </r>
  </si>
  <si>
    <r>
      <rPr>
        <rFont val="Open Sans"/>
        <color rgb="FF434343"/>
      </rPr>
      <t xml:space="preserve">For deadlift, we have a fantastic balance of competition work with paused work, designed to </t>
    </r>
    <r>
      <rPr>
        <rFont val="Open Sans"/>
        <b/>
        <color rgb="FF434343"/>
      </rPr>
      <t>teach technique and bracing and ultimately improve positioning</t>
    </r>
    <r>
      <rPr>
        <rFont val="Open Sans"/>
        <color rgb="FF434343"/>
      </rPr>
      <t xml:space="preserve">. There’s a delayed shift for heavy work on deadlift until much later in the training approach to allow space for building strength before we test strength. 
</t>
    </r>
  </si>
  <si>
    <t>WHO &amp; WHY</t>
  </si>
  <si>
    <t>Q:</t>
  </si>
  <si>
    <t>Who is this program designed for?</t>
  </si>
  <si>
    <t>A:</t>
  </si>
  <si>
    <r>
      <rPr>
        <rFont val="Open Sans"/>
        <color rgb="FF434343"/>
      </rPr>
      <t xml:space="preserve">We’ve defined a sample athlete for this program as a male or female with some experience in resistance training, </t>
    </r>
    <r>
      <rPr>
        <rFont val="Open Sans"/>
        <b/>
        <color rgb="FF434343"/>
      </rPr>
      <t>and around two years of experience in powerlifting.</t>
    </r>
    <r>
      <rPr>
        <rFont val="Open Sans"/>
        <color rgb="FF434343"/>
      </rPr>
      <t xml:space="preserve"> If you have less than six months' experience, we suggest the TSA Beginner Approach. If you have one to two years' experience, we suggest the TSA Intermediate 1.0 Aopproach. This sample athlete is </t>
    </r>
    <r>
      <rPr>
        <rFont val="Open Sans"/>
        <b/>
        <color rgb="FF434343"/>
      </rPr>
      <t>healthy, has no current injuries or movement limitations, and can effectively train four times per week</t>
    </r>
    <r>
      <rPr>
        <rFont val="Open Sans"/>
        <color rgb="FF434343"/>
      </rPr>
      <t>. Ideally, this athlete is eating in a</t>
    </r>
    <r>
      <rPr>
        <rFont val="Open Sans"/>
        <b/>
        <color rgb="FF434343"/>
      </rPr>
      <t xml:space="preserve"> small to moderate caloric surplus, sleeping 7-10 hours per night, and stressing as little (or as predictably) as possible</t>
    </r>
    <r>
      <rPr>
        <rFont val="Open Sans"/>
        <color rgb="FF434343"/>
      </rPr>
      <t>.</t>
    </r>
  </si>
  <si>
    <t>What if this program is too hard?</t>
  </si>
  <si>
    <t>This program is purposefully designed for intermediate lifters who want to prepare for 1RM tests in 9 weeks. If you think you’re a more beginner lifter, check out our free TSA Beginner Approach, or consider working one on one with a TSA coach to make sure training is continually tailored to you and your goals. You can also modify this program with less frequency, less training volume, or lower average loads.</t>
  </si>
  <si>
    <t>What do I need to do before this program?</t>
  </si>
  <si>
    <t>You need to have done a heavy set of 1-3 reps at RPE 8.5-10 on squat, bench press, and deadlift in the last 3 months. This is so you can populate the loads you'll be using on the plan.</t>
  </si>
  <si>
    <t>What are the requirements to run this program?</t>
  </si>
  <si>
    <r>
      <rPr>
        <rFont val="Open Sans"/>
        <color rgb="FF434343"/>
      </rPr>
      <t xml:space="preserve">Have access to any equipment necessary to effectively train, understand RPE and how to rate RPE. </t>
    </r>
    <r>
      <rPr>
        <rFont val="Open Sans"/>
        <b/>
        <color rgb="FF434343"/>
      </rPr>
      <t>Have four available training days</t>
    </r>
    <r>
      <rPr>
        <rFont val="Open Sans"/>
        <color rgb="FF434343"/>
      </rPr>
      <t xml:space="preserve"> in your work/school/life schedule.</t>
    </r>
  </si>
  <si>
    <t>ABOUT THE PROGRAM</t>
  </si>
  <si>
    <t>Why the top sets on squats and bench press so early?</t>
  </si>
  <si>
    <t>The little bit of added heavier work early on gives the athletes some intensity ideas for the RPE-based work in the second half of the training cycle. Additionally, they increase skill acquisition and neural efficiency early on, which should translate to better performance in competition.</t>
  </si>
  <si>
    <t>Why the "Athlete Movement of Choice"?</t>
  </si>
  <si>
    <t>Some research and our own observation suggests athletes feel a lack of control over a training approach that was entirely written without their input. Giving the athlete freedom to select some parts of the training approach gives them a sense of ownership and control, further increasing buy-in and adherence as a result. It's a chance for you to contribute and engage with the approach</t>
  </si>
  <si>
    <t>What is the difference from selecting ‘male’ to selecting ‘female’?</t>
  </si>
  <si>
    <r>
      <rPr>
        <rFont val="Open Sans"/>
        <color rgb="FF434343"/>
      </rPr>
      <t xml:space="preserve">We have added </t>
    </r>
    <r>
      <rPr>
        <rFont val="Open Sans"/>
        <b/>
        <color rgb="FF434343"/>
      </rPr>
      <t>slightly more training volume for female athletes</t>
    </r>
    <r>
      <rPr>
        <rFont val="Open Sans"/>
        <color rgb="FF434343"/>
      </rPr>
      <t>, as they likely require it to make the same level of progress. The additions in training volume exist across bench press exclusively.</t>
    </r>
  </si>
  <si>
    <t>What is lsRPE? What’s RPE?</t>
  </si>
  <si>
    <t>lsRPE stands for ‘last set RPE’, the RPE of your very final set of a specific exercise. For information on RPE, please check the tab ‘RPE’.</t>
  </si>
  <si>
    <t>ADJUSTMENTS</t>
  </si>
  <si>
    <t>What if I miss reps?</t>
  </si>
  <si>
    <t>We’ve planned approaches such that most athletes shouldn’t miss reps if you check your recovery boxes (sleep, adequate calories, adequate protein intake) and use appropriate 1 rep maxes. If you happen to miss reps for any reason, don’t panic. Simply move forward with the program as if it never happened. If it becomes a recurring issue, you may need to adjust loads. This is normal and part of the individualization of the training process.</t>
  </si>
  <si>
    <t>What if I overshoot my RPE?</t>
  </si>
  <si>
    <t>Again, don’t panic. As you learn to use RPE, you will overshoot RPE sometimes and undershoot other times. Just make a mental note and aim to be more accurate in the future. If it’s a regular problem, you may ask yourself why you feel the need to overshoot RPE. Do you not trust the training approach? Are you having a hard time gauging effort? Are you just ego lifting? Getting to the root of this issue will make you a better lifter overall.</t>
  </si>
  <si>
    <t>What if I can't do the required number of pullups?</t>
  </si>
  <si>
    <t>Hey, you and me both lmao (it's Bryce). Either aim for assisted pullups using a band or lat pulldown if you can't string together sets of 5 pullups. If you CAN string together sets of 5, simply take your time and complete the required repetitions.</t>
  </si>
  <si>
    <t>Can I add anything?</t>
  </si>
  <si>
    <t>We think the program as-is is a good place to be for intermediate powerlifters. If you feel the need or desire to add something, just make sure that it makes sense in the grand scheme of things. If you’re a bodybuilder or care about complete growth and not just your squat, bench, and deadlift 1RMs, you may consider adding direct calf work, direct hamstring work, and potentially more direct shoulder work. Just more work in general. Proceed with caution with a combined powerlifting/bodybuilding approach. If you think you need more volume as a powerlifting athlete, we'd strongly caution against adding training volume unless you have good reasons.</t>
  </si>
  <si>
    <t>What if I have to miss a session/get behind?</t>
  </si>
  <si>
    <t>If you’re running this approach into a competition, you obviously need to make adjustments to make sure the peak lines up with your competition date. Consider either condensing training into more training sessions per week. In the event that you were sick or needed to miss many sessions, simply resume where you can to stay on track. There is no one right answer here--it’s all training stimulus. If you don’t have a competition scheduled and are just running the base approach, just pick up where you left off and allow the program to be a little longer than expected.</t>
  </si>
  <si>
    <t>How hard should each week be?</t>
  </si>
  <si>
    <t>This is difficult to say because each athlete responds differently to training, and we’re creating one training approach for many athletes. Generally speaking, most weeks early on will be in the RPE 6-8 range, including the main lifts. It’s usually the case that training actually gets easier after the first week or two as you adapt to a new training split and the repeated bout effect (RBE) takes effect.</t>
  </si>
  <si>
    <t>What if I get injured?</t>
  </si>
  <si>
    <t>The seriousness of the injury dictates the response to the injury. If you can work around movement restrictions or pain with exercise substitutions, dropping the load, allowing for more rest between exposures or other modifications, please do that! If the injury feels more severe, don’t train through pain. Limit painful movements, work with a trained professional on your recovery so that you can come back stronger. There’s a lot of potential advice here that is only on a case-by-case basis because each situation is unique.</t>
  </si>
  <si>
    <t>PERFORMANCE</t>
  </si>
  <si>
    <t>How long should I rest between sets?</t>
  </si>
  <si>
    <t>As much rest as you need. The literature is pretty clear that limiting rests to any degree dampens performance and strength adaptation. All bodily systems relevant to strength performance are recovered in 2-5 minutes, so this is a good window. However, take as much rest as you need, so long as you can complete your training. If you’re just scrolling instagram/facebook between sets, this can easily climb to 10 minutes. Moderating this is a quick way to reduce the length of your workouts.</t>
  </si>
  <si>
    <t>When should I rest?</t>
  </si>
  <si>
    <t>Rest in between each set.</t>
  </si>
  <si>
    <t>Are the deadlifts sumo or conventional?</t>
  </si>
  <si>
    <t>Choose your main stance for the deadlift.</t>
  </si>
  <si>
    <t>When should I use my belt?</t>
  </si>
  <si>
    <t>Use your belt on any main sets that warrant its use. You will probably be best served adding the belt at some point in your warmups leading into your working sets. Using the belt is as much a skill as it is an aid to safety and lifting strength. As such, we want to get better at the skill of bracing into the belt. That takes practice. As a general guide, anything above 65-70% is fair game for using your belt. You probably don’t need to wear the belt on bench press.</t>
  </si>
  <si>
    <t>WHAT'S NEXT?</t>
  </si>
  <si>
    <t>What should I do after this program?</t>
  </si>
  <si>
    <t xml:space="preserve">If you’re having success with the training approach, keep using it! Input new 1RMs and continue the approach. Every few times you run this training cycle, you should switch to the TSA Intermediate 1.0 to reduce overall loading. Every few times you run this training cycle, you can swap out leg press/hack squat for a unilateral lower body movement like DB Walking Lunges, Bulgarian Split Squat, Single Leg Press, etc. You can also add in direct glute, tricep, antirotation, hamstring, or bicep work. </t>
  </si>
  <si>
    <t>For some athletes, the training approach is too generic after the first or second time. If you need more attention and customization, we work one-on-one with athletes providing them the coaching they need to not only make progress, but continue enjoying powerlifting for years to come. Email us and we’ll be happy to discuss the continuation of your training as a completely customized level.</t>
  </si>
  <si>
    <t>List of Squat</t>
  </si>
  <si>
    <t>List of Bench</t>
  </si>
  <si>
    <t>List of Deadlift</t>
  </si>
  <si>
    <t>SQ</t>
  </si>
  <si>
    <t>bn</t>
  </si>
  <si>
    <t>dl</t>
  </si>
  <si>
    <t>sq</t>
  </si>
  <si>
    <t>BN</t>
  </si>
  <si>
    <t>DL</t>
  </si>
  <si>
    <t>UNIT OF MEASURE</t>
  </si>
  <si>
    <t>lbs</t>
  </si>
  <si>
    <t>Leg Press</t>
  </si>
  <si>
    <t>Bananas</t>
  </si>
  <si>
    <t>Deadlift</t>
  </si>
  <si>
    <t>Squat</t>
  </si>
  <si>
    <t>Bench Press</t>
  </si>
  <si>
    <t>Sumo Deadlift</t>
  </si>
  <si>
    <t>CURRENT</t>
  </si>
  <si>
    <t>Front Squat</t>
  </si>
  <si>
    <t>3:1:0 Tempo Bench</t>
  </si>
  <si>
    <t>squat</t>
  </si>
  <si>
    <t>Bench</t>
  </si>
  <si>
    <t>Comp Deadlit</t>
  </si>
  <si>
    <t>DATE</t>
  </si>
  <si>
    <t>WEIGHT</t>
  </si>
  <si>
    <t>X REPS</t>
  </si>
  <si>
    <t>SQUAT</t>
  </si>
  <si>
    <t>BENCH</t>
  </si>
  <si>
    <t>DEADLIFT</t>
  </si>
  <si>
    <t>Comp Squat</t>
  </si>
  <si>
    <t>Competition Deadlift</t>
  </si>
  <si>
    <t>Comp Stance Deadlift</t>
  </si>
  <si>
    <t>Barbell Squat</t>
  </si>
  <si>
    <t>Paused Bench</t>
  </si>
  <si>
    <t>Competition Stance Deadlift</t>
  </si>
  <si>
    <t>PREVIOUS</t>
  </si>
  <si>
    <t>Paused Squat</t>
  </si>
  <si>
    <t>Pause Bench</t>
  </si>
  <si>
    <t>Conv Deadlift</t>
  </si>
  <si>
    <t>Paused Squat, 2ct</t>
  </si>
  <si>
    <t>Pause Bench Press</t>
  </si>
  <si>
    <t>Conventional Deadlift</t>
  </si>
  <si>
    <t>RPE</t>
  </si>
  <si>
    <t>Paused Squat, 2 count</t>
  </si>
  <si>
    <t>Paused Bench Press</t>
  </si>
  <si>
    <t>Squat w/ Belt</t>
  </si>
  <si>
    <t>Paused Bench, 2ct</t>
  </si>
  <si>
    <t>Sumo DL</t>
  </si>
  <si>
    <t/>
  </si>
  <si>
    <t>Beltless Squat</t>
  </si>
  <si>
    <t>Paused Bench, 2 count</t>
  </si>
  <si>
    <t>Conv DL</t>
  </si>
  <si>
    <t>Squat Walkout</t>
  </si>
  <si>
    <t>Pause Bench, 2ct</t>
  </si>
  <si>
    <t>Conventional DL</t>
  </si>
  <si>
    <t>Block Pull</t>
  </si>
  <si>
    <t>SSB Squat</t>
  </si>
  <si>
    <t>Spoto Press</t>
  </si>
  <si>
    <t>Rack Pull</t>
  </si>
  <si>
    <t>Safety Bar Squat</t>
  </si>
  <si>
    <t>Larsen Press</t>
  </si>
  <si>
    <t>Snatch Grip Deadlift</t>
  </si>
  <si>
    <t>Squat w/Bands</t>
  </si>
  <si>
    <t>2-board Press</t>
  </si>
  <si>
    <t>Deficit DL</t>
  </si>
  <si>
    <t>Squat with Bands</t>
  </si>
  <si>
    <t>Close Grip Bench Press</t>
  </si>
  <si>
    <t>Deficit Deadlift</t>
  </si>
  <si>
    <t>NUTRITION/BASICS</t>
  </si>
  <si>
    <t>MACROS</t>
  </si>
  <si>
    <t>Squat w/Chains</t>
  </si>
  <si>
    <t>CGBP</t>
  </si>
  <si>
    <t>Deficit Deadlift, 2"</t>
  </si>
  <si>
    <t>Squat with Chains</t>
  </si>
  <si>
    <t>1-board Press</t>
  </si>
  <si>
    <t>Deficit Deadlift, 4"</t>
  </si>
  <si>
    <t>START OF TRAINING</t>
  </si>
  <si>
    <t>DAY</t>
  </si>
  <si>
    <t>FAT</t>
  </si>
  <si>
    <t>CARBS</t>
  </si>
  <si>
    <t>PROTEIN</t>
  </si>
  <si>
    <t>CALORIES</t>
  </si>
  <si>
    <t>Box Squat</t>
  </si>
  <si>
    <t>Bench Press w/board</t>
  </si>
  <si>
    <t>Deficit Deadlift, 6"</t>
  </si>
  <si>
    <t>FIRST NAME</t>
  </si>
  <si>
    <t>First</t>
  </si>
  <si>
    <t>HIGH CALORIE DAYS</t>
  </si>
  <si>
    <t>Smith Machine Squat</t>
  </si>
  <si>
    <t>Incline Bench</t>
  </si>
  <si>
    <t>Deadlift to Knees</t>
  </si>
  <si>
    <t>LAST NAME</t>
  </si>
  <si>
    <t>Last</t>
  </si>
  <si>
    <t>EXACT</t>
  </si>
  <si>
    <t>Front Box Squat</t>
  </si>
  <si>
    <t>Decline Bench</t>
  </si>
  <si>
    <t>Deadlift to Knees + Finish</t>
  </si>
  <si>
    <t>HEIGHT</t>
  </si>
  <si>
    <t>5'6"</t>
  </si>
  <si>
    <t>WINDOW</t>
  </si>
  <si>
    <t>Double Paused Squat</t>
  </si>
  <si>
    <t>DB Bench</t>
  </si>
  <si>
    <t>Deadlift w/ 2 Pauses</t>
  </si>
  <si>
    <t>AGE</t>
  </si>
  <si>
    <t>LOW CALORIE DAYS</t>
  </si>
  <si>
    <t>Dbl Paused Squat</t>
  </si>
  <si>
    <t>Incline DB Bench</t>
  </si>
  <si>
    <t>Deadlift w/chains</t>
  </si>
  <si>
    <t>STARTING BW</t>
  </si>
  <si>
    <t>Slow Squat</t>
  </si>
  <si>
    <t>Decline DB Bench</t>
  </si>
  <si>
    <t>Deadlift w/ Chains</t>
  </si>
  <si>
    <t>MAINTENANCE KCALS</t>
  </si>
  <si>
    <t>Competition Squat</t>
  </si>
  <si>
    <t>Push Up</t>
  </si>
  <si>
    <t>Deadlift with chains</t>
  </si>
  <si>
    <t>ACTIVITY LEVEL</t>
  </si>
  <si>
    <t>Lightly active plus 3-6 days of weight lifting</t>
  </si>
  <si>
    <t>High Bar Squat</t>
  </si>
  <si>
    <t>Pushup</t>
  </si>
  <si>
    <t>Deadlift w/bands</t>
  </si>
  <si>
    <t>Low Bar Squat</t>
  </si>
  <si>
    <t>Weighted pushup</t>
  </si>
  <si>
    <t>Deadlift with bands</t>
  </si>
  <si>
    <t>SEX</t>
  </si>
  <si>
    <t>SELECT</t>
  </si>
  <si>
    <t>Zercher Squat</t>
  </si>
  <si>
    <t>Weighted Push Up</t>
  </si>
  <si>
    <t>Romanian Deadlift</t>
  </si>
  <si>
    <t>BF%</t>
  </si>
  <si>
    <t>Select here</t>
  </si>
  <si>
    <t>Pin Squat</t>
  </si>
  <si>
    <t>Floor Press</t>
  </si>
  <si>
    <t>RDL</t>
  </si>
  <si>
    <t>LEAN GAIN OR CUT?</t>
  </si>
  <si>
    <t>select here</t>
  </si>
  <si>
    <t>CARDIO</t>
  </si>
  <si>
    <t>Squat to Pins</t>
  </si>
  <si>
    <t>DB Floor Press</t>
  </si>
  <si>
    <t>SLDL</t>
  </si>
  <si>
    <t>Paused High Bar Squat</t>
  </si>
  <si>
    <t>Bench over Foam</t>
  </si>
  <si>
    <t>Stiff Legged Deadlift</t>
  </si>
  <si>
    <t>SESSIONS/WK</t>
  </si>
  <si>
    <t>KCAL/SESSION</t>
  </si>
  <si>
    <t>TOTAL KCAL/WK</t>
  </si>
  <si>
    <t>eKCALS/10 MINS</t>
  </si>
  <si>
    <t>Paused Front Squat</t>
  </si>
  <si>
    <t>Slow Bench</t>
  </si>
  <si>
    <t>Sumo Block Pull</t>
  </si>
  <si>
    <t>LISS</t>
  </si>
  <si>
    <t>Tempo Squat (3:1:3)</t>
  </si>
  <si>
    <t>Reverse Grip Bench</t>
  </si>
  <si>
    <t>1 + 1/2 Deadlift</t>
  </si>
  <si>
    <t>HIIT</t>
  </si>
  <si>
    <t>#intervals:</t>
  </si>
  <si>
    <t>Tempo Squat (3:0:3)</t>
  </si>
  <si>
    <t>Bench Lockout</t>
  </si>
  <si>
    <t>Paused DL</t>
  </si>
  <si>
    <t>Goblet Squat</t>
  </si>
  <si>
    <t>Pin Bench</t>
  </si>
  <si>
    <t>Paused Deadlift</t>
  </si>
  <si>
    <t>Squat w/ Briefs</t>
  </si>
  <si>
    <t>Bench to Pins</t>
  </si>
  <si>
    <t>Paused Deadlift, 2ct</t>
  </si>
  <si>
    <t>Squat w/ Wraps</t>
  </si>
  <si>
    <t>Bench w/chains</t>
  </si>
  <si>
    <t>Paused Deadlift to knees</t>
  </si>
  <si>
    <t>Squat w/ Suit + Wraps</t>
  </si>
  <si>
    <t>Wide Grip Bench</t>
  </si>
  <si>
    <t>Pause Deadlift</t>
  </si>
  <si>
    <t>Tempo Squat (2:0:0)</t>
  </si>
  <si>
    <t>TnG Bench</t>
  </si>
  <si>
    <t>Paused Deadlift, just off floor</t>
  </si>
  <si>
    <t>Tempo Squat (2:1:0)</t>
  </si>
  <si>
    <t>Barbell Bench Press</t>
  </si>
  <si>
    <t>Deadlift w/ Briefs</t>
  </si>
  <si>
    <t>CHOOSE 15-40% TOTAL KCALS</t>
  </si>
  <si>
    <t>Paused SSB Squat</t>
  </si>
  <si>
    <t>Deadlift w/ Suit</t>
  </si>
  <si>
    <t>Duffalo Bar Squat</t>
  </si>
  <si>
    <t>Bench Negatives</t>
  </si>
  <si>
    <t>Deadlift w/ Pause</t>
  </si>
  <si>
    <t>Buffalo Bar Squat</t>
  </si>
  <si>
    <t>Slingshot Bench</t>
  </si>
  <si>
    <t>Slingshot Press</t>
  </si>
  <si>
    <t>Paused Sumo Deadlift</t>
  </si>
  <si>
    <t>Tempo (3:0:1) High Bar</t>
  </si>
  <si>
    <t>2-ct Paused Bench</t>
  </si>
  <si>
    <t>Paused Sumo Deadlift, 2ct</t>
  </si>
  <si>
    <t>Close-grip Bench</t>
  </si>
  <si>
    <t>Paused Conventional Deadlift</t>
  </si>
  <si>
    <t>Pin Press</t>
  </si>
  <si>
    <t>Deadlift w/Pause</t>
  </si>
  <si>
    <t>BB Inline Press</t>
  </si>
  <si>
    <t>Controlled Eccentric Deadlift</t>
  </si>
  <si>
    <t>DB Flat Bench</t>
  </si>
  <si>
    <t>Comp Deadlift</t>
  </si>
  <si>
    <t>Machine Horizontal Press</t>
  </si>
  <si>
    <t>Bench w/ Shirt</t>
  </si>
  <si>
    <t>Raw Bench</t>
  </si>
  <si>
    <t>NUTRITION MICROCYCLE (DAYS)</t>
  </si>
  <si>
    <t>T-shirt Bench Press</t>
  </si>
  <si>
    <t>Duffalo Bar Bench</t>
  </si>
  <si>
    <t>Buffalo Bar Bench</t>
  </si>
  <si>
    <t>Comp Bench Yet Again MFer</t>
  </si>
  <si>
    <t>Comp Bench</t>
  </si>
  <si>
    <t>Competition Bench</t>
  </si>
  <si>
    <t>3 ct. Paused Bench Press</t>
  </si>
  <si>
    <t>Feet-up Bench Press</t>
  </si>
  <si>
    <t>DB Incline Bench Press</t>
  </si>
  <si>
    <t>DB Overhead Press</t>
  </si>
  <si>
    <t>Barbell Overhead Press</t>
  </si>
  <si>
    <t>DB Bench Press</t>
  </si>
  <si>
    <t>INTRO/ACCLIMATION</t>
  </si>
  <si>
    <t>PROGRESS 1</t>
  </si>
  <si>
    <t>PROGRESS 2</t>
  </si>
  <si>
    <t>PROGRESS 3</t>
  </si>
  <si>
    <t>DELOAD/INTENSITY PREP</t>
  </si>
  <si>
    <t>INTENSIFY/PEAK 1</t>
  </si>
  <si>
    <t>INTENSIFY/PEAK 2</t>
  </si>
  <si>
    <t>INTENSIFY/PEAK 3</t>
  </si>
  <si>
    <t>TEST/COMPETE</t>
  </si>
  <si>
    <t>9 WEEKS OUT, PEAK LIFT INTENSITY 5-7.5 RPE</t>
  </si>
  <si>
    <t xml:space="preserve">8 WEEKS OUT, PEAK LIFT INTENSITY 6-8RPE </t>
  </si>
  <si>
    <t xml:space="preserve">7 WEEKS OUT, PEAK LIFT INTENSITY 6-8 RPE </t>
  </si>
  <si>
    <t xml:space="preserve">6 WEEKS OUT, PEAK LIFT INTENSITY 7-8.5 RPE </t>
  </si>
  <si>
    <t xml:space="preserve">5 WEEKS OUT, PEAK LIFT INTENSITY 5-7 RPE </t>
  </si>
  <si>
    <t xml:space="preserve">4 WEEKS OUT, PEAK LIFT INTENSITY 7-8.5 RPE </t>
  </si>
  <si>
    <t xml:space="preserve">3 WEEKS OUT, PEAK LIFT INTENSITY 8-9 RPE </t>
  </si>
  <si>
    <t xml:space="preserve">2 WEEKS OUT, PEAK LIFT INTENSITY 8-9 RPE </t>
  </si>
  <si>
    <t>TEST WEEK</t>
  </si>
  <si>
    <t xml:space="preserve">are you male or female? </t>
  </si>
  <si>
    <t>label</t>
  </si>
  <si>
    <t>date</t>
  </si>
  <si>
    <t>Day 1</t>
  </si>
  <si>
    <t>sets</t>
  </si>
  <si>
    <t>reps</t>
  </si>
  <si>
    <t>intensity</t>
  </si>
  <si>
    <t>load</t>
  </si>
  <si>
    <t>e1RM</t>
  </si>
  <si>
    <t>lsRPE</t>
  </si>
  <si>
    <t>notes</t>
  </si>
  <si>
    <t>SQ 1: hypertrophy</t>
  </si>
  <si>
    <t>@6.5</t>
  </si>
  <si>
    <t>@7.5</t>
  </si>
  <si>
    <t>@8.5</t>
  </si>
  <si>
    <t>-</t>
  </si>
  <si>
    <t>BN 1: hypertrophy</t>
  </si>
  <si>
    <t>chest/tricep acc</t>
  </si>
  <si>
    <t>@7</t>
  </si>
  <si>
    <t>@8</t>
  </si>
  <si>
    <t>lats - h</t>
  </si>
  <si>
    <t>Chest Supported Row</t>
  </si>
  <si>
    <t>10-12</t>
  </si>
  <si>
    <t>8-10</t>
  </si>
  <si>
    <t>upper body stability</t>
  </si>
  <si>
    <t>Band Pull-Aparts</t>
  </si>
  <si>
    <t>Day 2</t>
  </si>
  <si>
    <t>DL 1: main</t>
  </si>
  <si>
    <t>BN 2: power</t>
  </si>
  <si>
    <t>Pendlay Row</t>
  </si>
  <si>
    <t>5-7</t>
  </si>
  <si>
    <t>4-6</t>
  </si>
  <si>
    <t>posterior chain</t>
  </si>
  <si>
    <t>Weighted Back Extension</t>
  </si>
  <si>
    <t>6-9</t>
  </si>
  <si>
    <t>lats - v</t>
  </si>
  <si>
    <t>Pull-ups</t>
  </si>
  <si>
    <t>x</t>
  </si>
  <si>
    <t>Day 3</t>
  </si>
  <si>
    <t>SQ 2: strength</t>
  </si>
  <si>
    <t>chest acc</t>
  </si>
  <si>
    <t>6-8</t>
  </si>
  <si>
    <t>quads</t>
  </si>
  <si>
    <t>Leg Press or Hack Squat</t>
  </si>
  <si>
    <t>Chest-supported Row</t>
  </si>
  <si>
    <t>autonomy</t>
  </si>
  <si>
    <t>Athlete Movement of Choice</t>
  </si>
  <si>
    <t>12-15</t>
  </si>
  <si>
    <t>Day 4</t>
  </si>
  <si>
    <t>Day 4 - MEET OR MOCK MEET</t>
  </si>
  <si>
    <t>BN 3: strength</t>
  </si>
  <si>
    <t>@9</t>
  </si>
  <si>
    <t>@9.5+</t>
  </si>
  <si>
    <t>DL 2: skill/hypertrophy</t>
  </si>
  <si>
    <t>Barbell Row</t>
  </si>
  <si>
    <t>Neutral/Underhand Lat Pulldown</t>
  </si>
  <si>
    <t>note: pause deadlifts 1" off the floor</t>
  </si>
  <si>
    <t>INTAKE RANGES:</t>
  </si>
  <si>
    <t>low</t>
  </si>
  <si>
    <t>high</t>
  </si>
  <si>
    <t>average</t>
  </si>
  <si>
    <t>Water, L</t>
  </si>
  <si>
    <t>Fruit &amp; Veg. /day</t>
  </si>
  <si>
    <t>Fiber, grams</t>
  </si>
  <si>
    <t>Sleep, hrs</t>
  </si>
  <si>
    <t>7 - 10</t>
  </si>
  <si>
    <t>Bodyweight, avg</t>
  </si>
  <si>
    <t>Height</t>
  </si>
  <si>
    <t>Age</t>
  </si>
  <si>
    <t>Calories, avg</t>
  </si>
  <si>
    <t>Meals/day</t>
  </si>
  <si>
    <t>Fat, avg</t>
  </si>
  <si>
    <t>Carbs, avg</t>
  </si>
  <si>
    <t>Protein, avg</t>
  </si>
  <si>
    <t>Recovery, avg</t>
  </si>
  <si>
    <t>TRAINING DAY (1-4)</t>
  </si>
  <si>
    <t>NOTES</t>
  </si>
  <si>
    <t>SLEEP (1-10)</t>
  </si>
  <si>
    <t>STRESS (1-10)</t>
  </si>
  <si>
    <t>DESIRE TO TRAIN (1-10)</t>
  </si>
  <si>
    <t>FATIGUE (1-10)</t>
  </si>
  <si>
    <t>RECOVERY (1-10)</t>
  </si>
  <si>
    <t>no</t>
  </si>
  <si>
    <t xml:space="preserve">example: great day today! </t>
  </si>
  <si>
    <t>Body Fat %</t>
  </si>
  <si>
    <t>lean gain</t>
  </si>
  <si>
    <t>4'0"</t>
  </si>
  <si>
    <t>4'1"</t>
  </si>
  <si>
    <t>Novice 1.5% of BW/month</t>
  </si>
  <si>
    <t>4'2"</t>
  </si>
  <si>
    <t>Intermediate 1.0% of BW/month</t>
  </si>
  <si>
    <t>4'3"</t>
  </si>
  <si>
    <t>Advanced 0.5% of BW/month</t>
  </si>
  <si>
    <t>4'4"</t>
  </si>
  <si>
    <t>4'5"</t>
  </si>
  <si>
    <t>cutting phase</t>
  </si>
  <si>
    <t>4'6"</t>
  </si>
  <si>
    <t>4'7"</t>
  </si>
  <si>
    <t>1.0% weight loss per week</t>
  </si>
  <si>
    <t>4'8"</t>
  </si>
  <si>
    <t>0.7% weight loss per week</t>
  </si>
  <si>
    <t>4'9"</t>
  </si>
  <si>
    <t>0.5% weight loss per week</t>
  </si>
  <si>
    <t>4'10"</t>
  </si>
  <si>
    <t>4'11"</t>
  </si>
  <si>
    <t>Activity Multiplier</t>
  </si>
  <si>
    <t>5'0"</t>
  </si>
  <si>
    <t>5'1"</t>
  </si>
  <si>
    <t>Sedentary plus 3-6 days of weight lifting</t>
  </si>
  <si>
    <t>5'2"</t>
  </si>
  <si>
    <t>5'3"</t>
  </si>
  <si>
    <t>Active plus 3-6 days of weight lifting</t>
  </si>
  <si>
    <t>5'4"</t>
  </si>
  <si>
    <t>Very active plus 3-6 days of weight lifting</t>
  </si>
  <si>
    <t>5'5"</t>
  </si>
  <si>
    <t>5'7"</t>
  </si>
  <si>
    <t>5'8"</t>
  </si>
  <si>
    <t>5'9"</t>
  </si>
  <si>
    <t>5'10"</t>
  </si>
  <si>
    <t>5'11"</t>
  </si>
  <si>
    <t>6'0"</t>
  </si>
  <si>
    <t>6'1"</t>
  </si>
  <si>
    <t>6'2"</t>
  </si>
  <si>
    <t>6'3"</t>
  </si>
  <si>
    <t>6'4"</t>
  </si>
  <si>
    <t>6'5"</t>
  </si>
  <si>
    <t>6'6"</t>
  </si>
  <si>
    <t>6'7"</t>
  </si>
  <si>
    <t>6'8"</t>
  </si>
  <si>
    <t>6'9"</t>
  </si>
  <si>
    <t>6'10"</t>
  </si>
  <si>
    <t>6'11"</t>
  </si>
  <si>
    <t>7'0"</t>
  </si>
  <si>
    <t>RATE OF PERCEIVED EXERTION</t>
  </si>
  <si>
    <t>What is RPE and why is it useful?</t>
  </si>
  <si>
    <r>
      <rPr>
        <rFont val="Open Sans"/>
        <color rgb="FF434343"/>
      </rPr>
      <t xml:space="preserve">RPE </t>
    </r>
    <r>
      <rPr>
        <rFont val="Open Sans"/>
        <b/>
        <color rgb="FF434343"/>
      </rPr>
      <t>(rate of perceived exertion)</t>
    </r>
    <r>
      <rPr>
        <rFont val="Open Sans"/>
        <color rgb="FF434343"/>
      </rPr>
      <t xml:space="preserve"> is a rating system that allows athletes to </t>
    </r>
    <r>
      <rPr>
        <rFont val="Open Sans"/>
        <b/>
        <color rgb="FF434343"/>
      </rPr>
      <t>measure how hard something feels</t>
    </r>
    <r>
      <rPr>
        <rFont val="Open Sans"/>
        <color rgb="FF434343"/>
      </rPr>
      <t xml:space="preserve"> to you at the time. It is a subjective measure of your strength at a given time. We rate this on a scale from one to ten. The higher the number, the harder the set felt. It is also a way to quantify those feelings we have immediately post-set of gauging how difficult it was. “I could maybe have done 1 or 2 more reps.” The RPE scale quantifies this. 
RPE allows you to regulate your training intensity based on your condition right now. Not your last meet, yesterday, or even your last set. It allows you to quantify where your preparedness is at any given time.</t>
    </r>
  </si>
  <si>
    <t>I see a protocol that looks like this: 3x8 @8 RPE. What do I do?</t>
  </si>
  <si>
    <r>
      <rPr>
        <rFont val="Open Sans"/>
        <color rgb="FF434343"/>
      </rPr>
      <t xml:space="preserve">This is known as a </t>
    </r>
    <r>
      <rPr>
        <rFont val="Open Sans"/>
        <b/>
        <color rgb="FF434343"/>
      </rPr>
      <t>repeat set</t>
    </r>
    <r>
      <rPr>
        <rFont val="Open Sans"/>
        <color rgb="FF434343"/>
      </rPr>
      <t>, and we often use this method for assistance movements, or cases where 1RMs are not established or difficult to establish. As the name implies, you try to repeat the same load and reps on subsequent sets. As fatigue rises, your RPE will also rise. By monitoring this rise in RPE, you can determine your level of fatigue and when its time to add more weight to the bar.
The first thing you will do is work up to the prescribed rep &amp; RPE as directed. You will want to warm up and ramp up the weights to what will be your working weight for your top set at RPE 8. From there, you will repeat this for the number of remaining sets (in this example, it would be 2 more sets, for 3 total sets). 
To progress week to week, monitor the rise in RPE over the course of the sets. If you are finding a 0-0.5 RPE jump from first to last set, it’s safe to add some weight next time. If you are finding an increase of 1+ RPE, leave the load as is for next week.</t>
    </r>
  </si>
  <si>
    <t>Sample Exercise using the repeat method</t>
  </si>
  <si>
    <t>1x5x135</t>
  </si>
  <si>
    <t>warmups</t>
  </si>
  <si>
    <t>1x4x225</t>
  </si>
  <si>
    <t>1x4x275</t>
  </si>
  <si>
    <t>1x8x295</t>
  </si>
  <si>
    <t>@7 RPE</t>
  </si>
  <si>
    <t>&lt;-- 1st gauging set</t>
  </si>
  <si>
    <t>1x8x305</t>
  </si>
  <si>
    <t>@8 RPE</t>
  </si>
  <si>
    <t>&lt;-- 1st work set</t>
  </si>
  <si>
    <t>&lt;-- repeat set</t>
  </si>
  <si>
    <t>@8.5 RPE</t>
  </si>
  <si>
    <t xml:space="preserve">I need to work up to a top set of 1x4 @8.5 RPE. How can I figure out what load to use? </t>
  </si>
  <si>
    <r>
      <rPr>
        <rFont val="Open Sans"/>
        <color rgb="FF434343"/>
      </rPr>
      <t>First, we need to determine your estimated 1RM (e1RM).  Look up the rep/RPE numbers for the last time you did today’s exercise. Find the associated percentage and divide the weight used by the percentage. This will give you your e1RM. We can estimate our top set for the day using the RPE chart to help determine how much weight will be used. x4@8.5 yields ~85%. Multiply your e1RM by the percentage to determine your top set load.
After warming up, we suggest ~</t>
    </r>
    <r>
      <rPr>
        <rFont val="Open Sans"/>
        <b/>
        <color rgb="FF434343"/>
      </rPr>
      <t>2 “gauging” sets</t>
    </r>
    <r>
      <rPr>
        <rFont val="Open Sans"/>
        <color rgb="FF434343"/>
      </rPr>
      <t xml:space="preserve"> at the top set prescribed rep range, but for each gauging set you climb 1 RPE closer to the assigned top set RPE. In order to feel confident picking that load based on how you are feeling, do your first “gauging” set at 4 reps @ 7 RPE, and another one at 4 reps @ 8 RPE (Notice we are increasing an RPE with each gauging set). At this point you should be able to fairly accurately estimate a load that would yield 4 reps @ 8.5 RPE for your top set.
A general rule is to subtract 5% for each RPE below the top set. So, your target for the first set will be about 10% below your top set (5% per RPE * 2 RPE’s below the top set = 10%). The point of the ramp up sets isn’t necessarily to nail them right on the money, but rather to do the reps and get close on the RPE and for the top set, you want to be within a half RPE of the prescribed numbers.</t>
    </r>
  </si>
  <si>
    <t>REFERENCE</t>
  </si>
  <si>
    <t>RPE, SUPPLEMENTATION, RECOVERY, ETC.</t>
  </si>
  <si>
    <t>RPE CHART</t>
  </si>
  <si>
    <t>Number of Reps</t>
  </si>
  <si>
    <t>@</t>
  </si>
  <si>
    <t>x1</t>
  </si>
  <si>
    <t>x2</t>
  </si>
  <si>
    <t>x3</t>
  </si>
  <si>
    <t>x4</t>
  </si>
  <si>
    <t>x5</t>
  </si>
  <si>
    <t>x6</t>
  </si>
  <si>
    <t>x7</t>
  </si>
  <si>
    <t>x8</t>
  </si>
  <si>
    <t>x9</t>
  </si>
  <si>
    <t>x10</t>
  </si>
  <si>
    <t>x11</t>
  </si>
  <si>
    <t>x12</t>
  </si>
  <si>
    <t>INTAKE RANGES</t>
  </si>
  <si>
    <t>Water</t>
  </si>
  <si>
    <t>Fruit &amp; Veg./day</t>
  </si>
  <si>
    <t>~3 serv/day</t>
  </si>
  <si>
    <t>Fiber</t>
  </si>
  <si>
    <t>25g+/day</t>
  </si>
  <si>
    <t>Sleep</t>
  </si>
  <si>
    <t>7 - 10 hours/night</t>
  </si>
  <si>
    <t>Meals</t>
  </si>
  <si>
    <t>3 - 6 meals/day</t>
  </si>
  <si>
    <t>SUPPLEMENTATION</t>
  </si>
  <si>
    <t>RECOVERY</t>
  </si>
  <si>
    <t>Vitamin D3</t>
  </si>
  <si>
    <t>If not getting regular sun exposure</t>
  </si>
  <si>
    <r>
      <rPr>
        <rFont val="Calibri"/>
        <b/>
        <color rgb="FF434343"/>
        <sz val="9.0"/>
      </rPr>
      <t>Daily:</t>
    </r>
    <r>
      <rPr>
        <rFont val="Calibri"/>
        <color rgb="FF434343"/>
        <sz val="9.0"/>
      </rPr>
      <t xml:space="preserve"> 10-30 minutes/day to non-training relaxation activities.</t>
    </r>
  </si>
  <si>
    <t>Creatine monohydrate</t>
  </si>
  <si>
    <t>If performing resistance training and well tolerated</t>
  </si>
  <si>
    <r>
      <rPr>
        <rFont val="Calibri"/>
        <b/>
        <color rgb="FF434343"/>
        <sz val="9.0"/>
      </rPr>
      <t>Weekly:</t>
    </r>
    <r>
      <rPr>
        <rFont val="Calibri"/>
        <color rgb="FF434343"/>
        <sz val="9.0"/>
      </rPr>
      <t xml:space="preserve"> One longer 1-3 hour relaxation activity</t>
    </r>
  </si>
  <si>
    <t>Multivitamin</t>
  </si>
  <si>
    <t>1 serving</t>
  </si>
  <si>
    <t>Normal or low dose, if calorically restricted or consuming limited food sources</t>
  </si>
  <si>
    <r>
      <rPr>
        <rFont val="Calibri"/>
        <b/>
        <color rgb="FF434343"/>
        <sz val="9.0"/>
      </rPr>
      <t>Post-training:</t>
    </r>
    <r>
      <rPr>
        <rFont val="Calibri"/>
        <color rgb="FF434343"/>
        <sz val="9.0"/>
      </rPr>
      <t xml:space="preserve"> 5-10 minutes calmdown/cooldown your heart rate and shifting to parasympathetic state. Ex: slow walk, breathing deeply, static stretching, etc.</t>
    </r>
  </si>
  <si>
    <t>EFA's (EPA/DHA combined)</t>
  </si>
  <si>
    <t>2-3 g</t>
  </si>
  <si>
    <t>If not consuming fatty fish 3/week</t>
  </si>
  <si>
    <r>
      <rPr>
        <rFont val="Calibri"/>
        <b/>
        <color rgb="FF434343"/>
        <sz val="9.0"/>
      </rPr>
      <t>Off days:</t>
    </r>
    <r>
      <rPr>
        <rFont val="Calibri"/>
        <color rgb="FF434343"/>
        <sz val="9.0"/>
      </rPr>
      <t xml:space="preserve"> active recovery 20-40 minutes. eg. walk, bike, light cardio activities, 30-50% single reps. Helps avoid being totally sedentary/upregulate nutrient partitioning</t>
    </r>
  </si>
  <si>
    <t>Caffeine</t>
  </si>
  <si>
    <t>If performing resistance training, cycle use to avoid dependency</t>
  </si>
  <si>
    <r>
      <rPr>
        <rFont val="Calibri"/>
        <b/>
        <color rgb="FF434343"/>
        <sz val="9.0"/>
      </rPr>
      <t>Hours before bed</t>
    </r>
    <r>
      <rPr>
        <rFont val="Calibri"/>
        <color rgb="FF434343"/>
        <sz val="9.0"/>
      </rPr>
      <t>: limit caffeine, high stimulation/novel activity, switch devices to amber light or sleep mode after sunset, optimizes melatonin production</t>
    </r>
  </si>
  <si>
    <t>Beta Alanine</t>
  </si>
  <si>
    <t>If performing HIIT/15+ rep sets</t>
  </si>
  <si>
    <r>
      <rPr>
        <rFont val="Calibri"/>
        <b/>
        <color rgb="FF434343"/>
        <sz val="9.0"/>
      </rPr>
      <t>Pre-bed:</t>
    </r>
    <r>
      <rPr>
        <rFont val="Calibri"/>
        <color rgb="FF434343"/>
        <sz val="9.0"/>
      </rPr>
      <t xml:space="preserve"> breathing deeply, music, or meditating to help shift into more restful state</t>
    </r>
  </si>
  <si>
    <t>Citrulline Malate</t>
  </si>
  <si>
    <t>6-8 g</t>
  </si>
  <si>
    <t>If performing resistance training and not a financial burden</t>
  </si>
  <si>
    <t>name</t>
  </si>
  <si>
    <t>category</t>
  </si>
  <si>
    <t>tag</t>
  </si>
  <si>
    <t>description</t>
  </si>
  <si>
    <t>link</t>
  </si>
  <si>
    <t>WARMUP THEORY</t>
  </si>
  <si>
    <t>WARMUP</t>
  </si>
  <si>
    <t>BARBELL WARMUP</t>
  </si>
  <si>
    <t>BARBELL WARMUP SETS</t>
  </si>
  <si>
    <t>warmup</t>
  </si>
  <si>
    <t>Take a look at the main lift rep count and load. If reps are 8-10, start with warmup sets at 6-8, then 3-5, then 2-4 until you are ready to begin. If reps are 3-5, start with warmup sets of 6-8, then 2-4, then 1-3, repeating 1-3 until you are within range. For 1-3, start with 3-5, then 1-3, repeating sets until you are within range. Combine with autoregulation to determine the appropriate load and sensible jump sizes.</t>
  </si>
  <si>
    <t>body temp elevation</t>
  </si>
  <si>
    <t>sustained HR elevation</t>
  </si>
  <si>
    <t>dynamic warmup</t>
  </si>
  <si>
    <t>today's movements</t>
  </si>
  <si>
    <t>coach additions</t>
  </si>
  <si>
    <t>core</t>
  </si>
  <si>
    <t>--</t>
  </si>
  <si>
    <t>BODY TEMPERATURE ELEVATION</t>
  </si>
  <si>
    <t>warming</t>
  </si>
  <si>
    <t>INSTRUCTIONS</t>
  </si>
  <si>
    <t>SIT IN A HEATED CAR WHILE YOU DRIVE TO THE GYM</t>
  </si>
  <si>
    <t>Alternatively, you may "preheat" by driving to the gym in warmer-than-normal conditions, though you may begin getting cold as soon as you get in the gym.</t>
  </si>
  <si>
    <t>SKIP TO HEART RATE ELEVATION, WHICH WILL WARM YOU UP</t>
  </si>
  <si>
    <t>KB COMPLEX</t>
  </si>
  <si>
    <t>BROAD JUMP, EASY</t>
  </si>
  <si>
    <t>(IF BENCHING) BAND PULL-APART SEQUENCE</t>
  </si>
  <si>
    <t>90-90 SUPINE SQUAT W/ HIP INTERNAL ROTATION</t>
  </si>
  <si>
    <t>BAND/MONSTER WALK</t>
  </si>
  <si>
    <t>Begin with the listed protocol for warming up, swapping out movements as needed using the selectors to the right. Progress through the warmup at a deliberate pace, focusing your efforts on preparing for the session ahead. You should break a sweat and aim to complete the process in less than 10 minutes, unless a coach has given you extra work. Avoid soreness or anything approaching failure in the slightest. The goal is preparation, not pre-exhaustion.</t>
  </si>
  <si>
    <t>increase neuromuscular speed/sensitivity &amp; muscle blood flow/oxygen delivery</t>
  </si>
  <si>
    <t>If you tend to start sweating pretty easily, a good barbell complex or dynamic warmup alone may easily be enough to raise heart rate and body temperature.</t>
  </si>
  <si>
    <t>TRAIN IN A WARM ENVIRONMENT</t>
  </si>
  <si>
    <t>RECUMBENT BIKE</t>
  </si>
  <si>
    <t>LEG SWING</t>
  </si>
  <si>
    <t>(IF BENCHING) INVERTED PUSH-UP/RACK CHIN</t>
  </si>
  <si>
    <t>CUSTOM</t>
  </si>
  <si>
    <t>BIRD DOG</t>
  </si>
  <si>
    <t>Training in a warm environment, within reason, decreases blood lactate and increases skeletal muscle force. It is also likely to lead to faster warmups and more ready joints and muscles.</t>
  </si>
  <si>
    <t>UTILIZE A SAUNA</t>
  </si>
  <si>
    <t>ROWING</t>
  </si>
  <si>
    <t>QUADRUPED SEQUENCE</t>
  </si>
  <si>
    <t>(IF BENCHING) LAT PULLDOWN</t>
  </si>
  <si>
    <t>CURL-UP</t>
  </si>
  <si>
    <t>Sauna for short durations can be effective at raising core body temperature and kickstarting the warmup process. It serves the same purpose as the aforementioned methods.</t>
  </si>
  <si>
    <t>WEAR WARM CLOTHES</t>
  </si>
  <si>
    <t>WALKING</t>
  </si>
  <si>
    <t>SKIP PATTERN</t>
  </si>
  <si>
    <t>(IF BENCHING) SHOULDER CARS</t>
  </si>
  <si>
    <t>DEAD BUG W/ BAND</t>
  </si>
  <si>
    <t>If you aren't able to train in a warm environment, warm yourself instead :)</t>
  </si>
  <si>
    <t>BANDED GOOD MORNING</t>
  </si>
  <si>
    <t>BAND-ASSISTED SQUAT/RDL</t>
  </si>
  <si>
    <t>LEG RAISE</t>
  </si>
  <si>
    <t>COACH-SELECTED ADDITIONS</t>
  </si>
  <si>
    <t>custom</t>
  </si>
  <si>
    <t>BW SQUATS</t>
  </si>
  <si>
    <t>SUPINE HIP HINGING</t>
  </si>
  <si>
    <t>PALLOF PRESS</t>
  </si>
  <si>
    <t>SPORT PSYCHOLOGY</t>
  </si>
  <si>
    <t>SUSTAINED HEART RATE ELEVATION</t>
  </si>
  <si>
    <t>PRI</t>
  </si>
  <si>
    <t>https://www.youtube.com/watch?v=m2OFz37JHug</t>
  </si>
  <si>
    <t>NAME</t>
  </si>
  <si>
    <t>TEMPO COUNTERBALANCE SQUAT</t>
  </si>
  <si>
    <t>PLANK HOLD</t>
  </si>
  <si>
    <t>increase blood flow and pressure</t>
  </si>
  <si>
    <t>ROLLING PLANK</t>
  </si>
  <si>
    <t>MENTAL PREPARATION PRE-TRAINING</t>
  </si>
  <si>
    <t>BARBELL COMPLEX</t>
  </si>
  <si>
    <t>Rope Crunch</t>
  </si>
  <si>
    <t>You may use this time to focus on mental imagery, creating a repeatable plcace of performance, or visualizing the task ahead.</t>
  </si>
  <si>
    <t>SINGLE LEG GLUTE THRUST</t>
  </si>
  <si>
    <t>Utilize music or other auditory aids to engage further in the training process, limiting distractions.</t>
  </si>
  <si>
    <t>Have fun with it.</t>
  </si>
  <si>
    <t>Lie down with your chin slightly tucked, exhale through your mouth like you’re blowing up a balloon, keep the low rib cage down &amp; the lower back from arching. Lower one leg down, actively exhaling through your mouth the whole way down. Lift the leg back up, inhale through nose. Don’t let foot rotate laterally.</t>
  </si>
  <si>
    <t>https://youtu.be/G36qMURBIYQ</t>
  </si>
  <si>
    <t>DYNAMIC WARMUP</t>
  </si>
  <si>
    <t>full body</t>
  </si>
  <si>
    <t>While holding a kettlebell (KB preferred, but DB is fine) 6-8” away from your chest, slightly bend your knees and perform a slight posterior pelvic tilt. From here, perform a goblet squat using the kettlebell as counterbalance.</t>
  </si>
  <si>
    <t>https://youtu.be/T-oqbuTAf9M</t>
  </si>
  <si>
    <t>MENTAL TOUGHNESS</t>
  </si>
  <si>
    <t>CORE</t>
  </si>
  <si>
    <t>deep core</t>
  </si>
  <si>
    <t xml:space="preserve">Mental toughness is a multi-faceted but worthwhile character trait to build. It characterizes our responses to challenges like injuries, work ethic, balancing commitments, peer and social pressure, difficult training and competitive environments, and competition and internal pressures. Mental toughness training and psychological skills training (PST) is effective in a range of skills we care about. </t>
  </si>
  <si>
    <t>glutes</t>
  </si>
  <si>
    <t>Use a 1 foot long flat band, place the band around the middle of the foot. Maintain a shoulder width or wider stance and take lateral steps, leading with the edge of the foot. Make sure to step in both directions, left-leading and right-leading. 10-15 meters each direction.</t>
  </si>
  <si>
    <t>https://youtu.be/EpsujHUAnrg</t>
  </si>
  <si>
    <t>McGill Big 3</t>
  </si>
  <si>
    <t>From a quadruped position, sweep the opposite arm and leg out away from you in front and behind, maintaining finger and toe connection with the floor. Raise both the arm and leg in unison and hold the extended position for a moment. Reverse and return to base position and repeat with the opposite side.</t>
  </si>
  <si>
    <t>https://youtu.be/VWX0PPZrdfA</t>
  </si>
  <si>
    <t>From a supine position, elevate one knee so that your foot is flat on the floor. Tuck the chin and as you do, blow air out and squeeze the abs down into yourself. Repeat for 3-7 reps, before switching to the opposite leg and repeating.</t>
  </si>
  <si>
    <t>https://youtu.be/qxN_S3yh3cg</t>
  </si>
  <si>
    <t>Attach a micro or mini band to a post at knee height. Lie down on the ground, holding the band in two hands above your head, with knees in the air, depressed ribcage and contracting deep core. Lower one leg at a time, touching the floor with the toe in a controlled manner.</t>
  </si>
  <si>
    <t>https://youtu.be/2P6YrYAk6qs</t>
  </si>
  <si>
    <t>More broadly, we want to maximize the extent to which we feel "the four C's":</t>
  </si>
  <si>
    <t>BOX JUMP/DEPTH DROP</t>
  </si>
  <si>
    <t>lower abs</t>
  </si>
  <si>
    <t>Leg Raises may be performed on a bench, on the floor, or hanging. All involve fixing the upper body and allowing the legs to move as a unit upward.</t>
  </si>
  <si>
    <t>https://youtu.be/LAWF0nyBeRA</t>
  </si>
  <si>
    <r>
      <rPr>
        <rFont val="Calibri"/>
        <b/>
        <color rgb="FF434343"/>
        <sz val="9.0"/>
      </rPr>
      <t xml:space="preserve">control </t>
    </r>
    <r>
      <rPr>
        <rFont val="Calibri"/>
        <color rgb="FF434343"/>
        <sz val="9.0"/>
      </rPr>
      <t>- the capacity to act as if we have influence in situations</t>
    </r>
  </si>
  <si>
    <t>antirotation</t>
  </si>
  <si>
    <t>Wrap a theraband or voodoo floss around a post, and get on the floor in a standing kneel. Set the band at belly button height.</t>
  </si>
  <si>
    <t>https://youtu.be/B6J3RZ9gWvs</t>
  </si>
  <si>
    <r>
      <rPr>
        <rFont val="Calibri"/>
        <b/>
        <color rgb="FF434343"/>
        <sz val="9.0"/>
      </rPr>
      <t>commitment</t>
    </r>
    <r>
      <rPr>
        <rFont val="Calibri"/>
        <color rgb="FF434343"/>
        <sz val="9.0"/>
      </rPr>
      <t xml:space="preserve"> - the tedency to take an active role in events</t>
    </r>
  </si>
  <si>
    <t>Perform a plank hold and make sure the pelvis is rotated underneath you, with a somewhat straight line from ankles to shoulders.</t>
  </si>
  <si>
    <t>https://youtu.be/us49hqMvR64</t>
  </si>
  <si>
    <r>
      <rPr>
        <rFont val="Calibri"/>
        <b/>
        <color rgb="FF434343"/>
        <sz val="9.0"/>
      </rPr>
      <t>challenge</t>
    </r>
    <r>
      <rPr>
        <rFont val="Calibri"/>
        <color rgb="FF434343"/>
        <sz val="9.0"/>
      </rPr>
      <t xml:space="preserve"> - the perception of change as an opportunity to grow and develop rather than a threat</t>
    </r>
  </si>
  <si>
    <t>obliques</t>
  </si>
  <si>
    <t>From a plank position with shoulder-width feet, rotate so that your feet are edge-contact with the floor and you're on only one forearm, bracing firmly. Rotate back to neutral and repeat with the other side for 3-5 repetitions.</t>
  </si>
  <si>
    <t>https://youtu.be/4JTichJq6qI</t>
  </si>
  <si>
    <r>
      <rPr>
        <rFont val="Calibri, sans-serif"/>
        <b/>
        <color rgb="FF434343"/>
        <sz val="9.0"/>
      </rPr>
      <t>confidence</t>
    </r>
    <r>
      <rPr>
        <rFont val="Calibri, sans-serif"/>
        <color rgb="FF434343"/>
        <sz val="9.0"/>
      </rPr>
      <t xml:space="preserve"> - a strong sense of self-belief</t>
    </r>
  </si>
  <si>
    <t>upper abs</t>
  </si>
  <si>
    <t>Use a cable rope attachment at a high setting and kneel on the ground holding the rope near your ears. Try to pivot around the middle back/thoracic spine as you drive your elbows to the floor. You may exhale as you contract. Repeat.</t>
  </si>
  <si>
    <t>With your shoulders on a bench, begin with your hips on the floor and your feet flat on the ground and close to your hips. Press just one heel through the ground while driving the hips up toward the ceiling. Repeat for 5-10 reps each side.</t>
  </si>
  <si>
    <t>https://youtu.be/LHVyCpZyByw</t>
  </si>
  <si>
    <t>lower body</t>
  </si>
  <si>
    <t>"More successful athletes were characterized by higher confidence, greater self-regulation of arousal, better concentration and focus, an in-control but not forcing-it attitude, positive thoughts and imagery, and more determination and commitment."</t>
  </si>
  <si>
    <t>5-10x low height depth drop. Stop all motion within one second of landing. 5-10x box jump low height. Progressively land box jumps in lower and lower squat.</t>
  </si>
  <si>
    <t>https://youtu.be/mC9Kx_TjGXk</t>
  </si>
  <si>
    <t>REPETITION OF MOVEMENT PATTERNS</t>
  </si>
  <si>
    <t>Take a shoulder width stance. Swing the arms gently forward, backward behind you, and then drive them forcefully forward while you bend your knees and launch yourself under control forward. Land into a deep squat under control, stand, and repeat. The goal is not distance. 5-10 jumps.</t>
  </si>
  <si>
    <t>https://youtu.be/qj3u4u4xeQc</t>
  </si>
  <si>
    <t>priming you for the session ahead</t>
  </si>
  <si>
    <t>Maintain a stacked spine with minimal flexion/extension and swing the leg front/back, aiming to keep the leg in a single plane. Avoid letting the low back arch. 5-10 swings. Then face a wall and swing the leg side to side, opening the hips in a dynamic fashion. 5-10 swings per side.</t>
  </si>
  <si>
    <t>https://youtu.be/QYe4rAFsUxI</t>
  </si>
  <si>
    <t>From the quadruped position, retract the scapula, shrug and roll the shoulders in a circular motion 5-15 times. Then, bridge the thoracic spine and press the hips towards the shoulders. Then, arch the back and reach the shin toawrd the ceiling. Repeat 5x. Next, widen the knee support on the floor, tuck the pelvis and sit back into the hips, taking deep full breaths into your back and expanding your midsection. Repeat 3-5x. Returning to the quadruped position, drive the heel outward and upwards, activating the glutes. Perform 5-10x per side. Flip over on your back and lie down on the ground. Draw the knees upward and drive your heels down into the floor and press the hips up toward the ceiling. Contract the glutes. This may be performed single or double-leg, with your back on a bench as well. Repeat 5-10x. Finally, lie down on your back, keep the ankles together and the hands together and pointed toward the ceiling. Maintain a slightly elevated position with the legs and rock forward and backward, engaging the abs. The movement can be made easier or harder by changing the bend of the knees and location of the hands.</t>
  </si>
  <si>
    <t>https://youtu.be/tqXkkUIGPas</t>
  </si>
  <si>
    <t>Performed over a 10yd/30m distance: regular skip, short/ankle skip with explosive mini-strides, high knee skip with large explosive strides, crossover skip, quad stretch, high knee pull, single leg RDL or pendulum, lunge walk.</t>
  </si>
  <si>
    <t>https://youtu.be/DRfxeWZrODQ?t=2m23s</t>
  </si>
  <si>
    <t>Psychological skills training functions best when we practice farther out from competition. Let's start off with a survey. Answer the following questions on a 1-10 scale to the degree to which you have the mental skills of top performing athletes:</t>
  </si>
  <si>
    <t>Using a light to medium tension band, loop the band under your feet and over your neck. Perform a good morning, focusing on spinal posture and hip hinging.</t>
  </si>
  <si>
    <t>https://youtu.be/V02CCfGPct0</t>
  </si>
  <si>
    <t>MOVEMENT SKILL-BUILDING</t>
  </si>
  <si>
    <t>hip hinge</t>
  </si>
  <si>
    <t>BANDED RDL</t>
  </si>
  <si>
    <t>Attaching a band to a post behind you, step inside the band so that it's around your waist. Step away from the post to create moderate tension in the band. Perform a hip hinge and controlled but forcible hinge forward to complete the movement. Keep a neutral spine.</t>
  </si>
  <si>
    <t>https://youtu.be/Y7Th_hwenck</t>
  </si>
  <si>
    <t>Determination</t>
  </si>
  <si>
    <t>BOX JUMP</t>
  </si>
  <si>
    <t>athleticism</t>
  </si>
  <si>
    <t xml:space="preserve">Begin with lower box heights; you can always work up higher but we prefer control over ego jumps. Take an athletic stance and use a short arm swing to launch yourself upward. Pay attention in video to where your knees are tracking. Land under control and aim to stop all motion within 2 seconds of landing. </t>
  </si>
  <si>
    <t>https://www.youtube.com/watch?v=8MJVz3Xs-ks</t>
  </si>
  <si>
    <t>Stress management</t>
  </si>
  <si>
    <t>BROAD JUMP</t>
  </si>
  <si>
    <t>Begin with an athletic, neutral stance with your arms in front of you, palms to the floor. Swing your arms back as you crouch, and simultaneously jump forward as you throw your arms forward. Aim to land, balanced, in the same athletic stance as you regain control. Repeat.</t>
  </si>
  <si>
    <t>Courage</t>
  </si>
  <si>
    <t>HYPEREXTENSIONS</t>
  </si>
  <si>
    <t>low back</t>
  </si>
  <si>
    <t>Use either a 45º or a 90º hyperextension machine. Tuck the ribcage and keep your efforts on pivoting using the glute muscles and not the low back</t>
  </si>
  <si>
    <t>https://youtu.be/yZCURyhwsgg</t>
  </si>
  <si>
    <t>Leadership</t>
  </si>
  <si>
    <t>Communication</t>
  </si>
  <si>
    <t>LU RAISE</t>
  </si>
  <si>
    <t>shoulders</t>
  </si>
  <si>
    <t>Perform a lateral raise from a relaxed position with 2.5-10kg plates in each hand, using a full a range of motion that you can, finishing with the backs of your hands facing each other over your head.</t>
  </si>
  <si>
    <t>https://youtu.be/JsdrrWn2pok</t>
  </si>
  <si>
    <t>Imagery/Visualization</t>
  </si>
  <si>
    <t>SCAPULAR RETRACTION WORK</t>
  </si>
  <si>
    <t>scap work</t>
  </si>
  <si>
    <t xml:space="preserve">Maintaining scapular retraction is a large piece of effective bench pressing. Work on controlling this area of your body using the band demonstrations in the video. Work with your coach to refine this control over time. </t>
  </si>
  <si>
    <t>https://youtu.be/B6X35u5mVsE</t>
  </si>
  <si>
    <t>Consistent Effort</t>
  </si>
  <si>
    <t>SINGLE LEG WALL REACH</t>
  </si>
  <si>
    <t>Space yourself close to a wall so that at full arm's reach with a single leg RDL, you will barely touch the wall. Perform a single leg RDL using your opposite foot as the hand you're reaching with.</t>
  </si>
  <si>
    <t>https://youtu.be/bu43fj3wEKU</t>
  </si>
  <si>
    <t>Motivation</t>
  </si>
  <si>
    <t>upper body</t>
  </si>
  <si>
    <t>Self-talk</t>
  </si>
  <si>
    <t>(IF BENCHING) BAND CIRCLES</t>
  </si>
  <si>
    <t>Using a theraband, voodoo floss or similar tool, grab the ends of the band with light to moderate tension and begin with the band in a resting snatch hold. Moving both arms in unison, raise the arms and cirlce so that the band finishes behind the body. Reverse. Repeat for a few repetitions.</t>
  </si>
  <si>
    <t>https://youtu.be/niLD6dKW2hc</t>
  </si>
  <si>
    <t>Confidence</t>
  </si>
  <si>
    <t>Use a theraband, voodoo floss, etc and wrap around a post with low to moderate tension, one end in each hand. Perform with as many reps as desired. band Pullapart, band pullover, band front raise, single arm cross body (rear delt), band flye, band overhead triceps extension, band stretches.</t>
  </si>
  <si>
    <t>https://youtu.be/9jTbbpYD_f0</t>
  </si>
  <si>
    <t>Mental Preparation</t>
  </si>
  <si>
    <t>lats</t>
  </si>
  <si>
    <t>Using a barbell in a rack/smith machine or a pair of hanging rings, set your feet on on object at such a height you can be parallel to the floor at completion of the movement. Grab the bar/rings and pull yourself up, holding a brief contraction at the top. Repeat for 5-10 reps.</t>
  </si>
  <si>
    <t>https://youtu.be/hUcAnkJxhgw</t>
  </si>
  <si>
    <t>Concentration</t>
  </si>
  <si>
    <t>Use a low to moderate load and do 5-12 reps on a lat pulldown in a dynamic fashion. Focus on a forceful pull.</t>
  </si>
  <si>
    <t>https://youtu.be/h5HWM9XbFrk</t>
  </si>
  <si>
    <t>Raise one arm upward in front of you. Make sure that as you flex at the shoulder that you’re shoulder blade moves with your arm. Turn your arm over and find the biggest possible range “behind” you. Reverse the rep—start by extending the arm backward, max out extension, then turn your arm and find as much overhead range as possible before maxing anterior range and returning your arm to your side.</t>
  </si>
  <si>
    <t>https://youtu.be/MdH5DdS9ItQ</t>
  </si>
  <si>
    <t>Using this information, begin a conversation with your coach on ways to improve or aspects you would like help building a plan toward improving!</t>
  </si>
  <si>
    <t>Attach a light or medium band around a post, step inside and place the band around the butt. Step back with a fair amount of band tension and squat for 5-15 reps. Follow with 5-15 reps of RDL or sumo deadlift.</t>
  </si>
  <si>
    <t>https://youtu.be/7bAt9R7VJk0</t>
  </si>
  <si>
    <t>10-20 sec. deep squat hold (push knees out), 5x squat with hands on feet, 5-10x air squat. These may also be performed counterbalanced with a focus on pelvic positioning.</t>
  </si>
  <si>
    <t>https://youtu.be/4k-WAWAHn4Q</t>
  </si>
  <si>
    <t>based on your movement, coach adds these to increase development &amp; execution</t>
  </si>
  <si>
    <t>cardio</t>
  </si>
  <si>
    <t>SELF CONFIDENCE</t>
  </si>
  <si>
    <t>complex</t>
  </si>
  <si>
    <t>Perform the following with an empty bar: 10x BB Row, 10x RDL, 10x Hang Clean, 10x OHP, 10x Good Morning, 10x Back Squat/Front Squat. May repeat for 1-2 cycles. Some variation of this is perfectly acceptable.</t>
  </si>
  <si>
    <t>https://youtu.be/2JJ8CjDLDpU</t>
  </si>
  <si>
    <t xml:space="preserve">In powerlifting specifically, success with lifts often boils down to an optimal state of arousal and a high self-regulatory efficacy. Our self-efficacy is determined by a background of performance accomplishments, vicarious experiences, verbal persuasion, imagined future experiences, our physiological state, and our emotional state. Further, our confidence can be boosted by developing mastery, by feeling good about our body and our body weight, by having a support group of lifters, friends, and family, and by feeling comfortable in our environment. Often times, acting confident helps to make you confident in the future. </t>
  </si>
  <si>
    <t>Using a low to low weight kettlebell and with the goal of quality movement first and speed second, perform: 10-20 kettlebell goblet squats, 10-30 kettlebell swings, 5-10 kettlebell snatches, and 5-10 KB RDL. Some variation of this is perfectly acceptable.</t>
  </si>
  <si>
    <t>Using a recumbent bike, select a very low resistance and cycle for 2:00-5:00. You may spend this time visualizing movements in the session ahead, going over the plan, listening to music, focusing on breathing, or readying your mental state. This is a time to leave what's outside the gym behind and enter your place of optimal performance.</t>
  </si>
  <si>
    <t>Using a Concept 2 rower or similar machine, row at a comfortable pace for 2:00 to 5:00, or +/-500m focusing on long, full range of motion. Pulling toward the shoulders and head will increased shoulder activation. Pulling toward the belly will increase lat activation, comparatively. You may spend this time visualizing movements in the session ahead, going over the plan, listening to music, focusing on breathing, or readying your mental state.</t>
  </si>
  <si>
    <t>Use a moderate walking pace. You may spend 5-10 minutes visualizing movements in the session ahead, going over the plan, listening to music, focusing on breathing, or readying your mental state. This is a time to leave what's outside the gym behind and enter your place of optimal performance.</t>
  </si>
  <si>
    <t>deep stability work and activation to aid main lift performance</t>
  </si>
  <si>
    <t>Which of these skills do you think you need to improve on?</t>
  </si>
  <si>
    <t>GOAL SETTING</t>
  </si>
  <si>
    <t>Goal setting has a powerful effect on behavior and is extremely effective. Goals direct attention to specific elements of performance, mobilize our efforts, prolong our efforts, and allow us to develop new strategies to success. Positive feedback regarding process is necessary in order for goals to work. We need feedback that we're progressing in the right direction. This is only possible with well-formed goals.</t>
  </si>
  <si>
    <t>PRINCIPLES OF GOAL SETTING:</t>
  </si>
  <si>
    <t>• Goals should be specific</t>
  </si>
  <si>
    <t>• Record your goals</t>
  </si>
  <si>
    <t>• Moderately difficult but realistic</t>
  </si>
  <si>
    <t>• Develop strategies to achieve goals</t>
  </si>
  <si>
    <t>• Both short and long term</t>
  </si>
  <si>
    <t>• Consider my personality and motivation</t>
  </si>
  <si>
    <t>• Performance, process, and outcome-oriented</t>
  </si>
  <si>
    <t>• Receive support from coach</t>
  </si>
  <si>
    <t>• Set practice and competition goals</t>
  </si>
  <si>
    <t>• Receive evaluation and feedback of goals</t>
  </si>
  <si>
    <t>SHORT TERM GOALS</t>
  </si>
  <si>
    <t>LONG TERM GOALS</t>
  </si>
  <si>
    <t>PERFORMANCE-ORIENTED</t>
  </si>
  <si>
    <t>PROCESS-ORIENTED</t>
  </si>
  <si>
    <t>OUTCOME ORIENTED</t>
  </si>
  <si>
    <t>Material adapted from Foundations of Sport and Exercise Psychology 5th Edition, Weinberg, Robert &amp; Daniel Gould</t>
  </si>
  <si>
    <t>ramping load progressions before work sets</t>
  </si>
  <si>
    <t>On a good training day, click here</t>
  </si>
  <si>
    <t>On a bad training day, click here</t>
  </si>
  <si>
    <t>BAD TRAINING DAYS</t>
  </si>
  <si>
    <t>Clearly describe what happened:</t>
  </si>
  <si>
    <t>possible scenarios:</t>
  </si>
  <si>
    <t>Why do you think this happened?</t>
  </si>
  <si>
    <t>How did this make you feel?</t>
  </si>
  <si>
    <t xml:space="preserve">How do you think you can improve? </t>
  </si>
  <si>
    <t xml:space="preserve">How can this be avoided? </t>
  </si>
  <si>
    <t>Three takeaways or lessons from your bad session:</t>
  </si>
  <si>
    <t>SOME CONTEXT</t>
  </si>
  <si>
    <t>Bad days, whether in the gym or in competition, happen. In fact, days of diminished performance should be expected given our knowledge as to how fitness and fatigue relate. That said, even in “fresh” states, we may simply have off days. They’re a part of being an athlete and are inescapable, no matter how diligently we work or how good we are. Though inevitable, we can change the way we react to them so that they don’t lead to more as a result of our psychological outlook.</t>
  </si>
  <si>
    <t>ALLOW MISTAKES TO BE A LEARNING CURVE FOR GROWTH:</t>
  </si>
  <si>
    <t>Instead of dwelling on mistakes and allowing negative self talk to consume us about our errors, shift your focus to allowing the mistake to become something you can learn from. View them as something that can make us better. When you let go of the past performance and think of it as something you can learn from, it can become a platform for growth. Remember to focus on the things you have active control over, to view mistakes as temporary and as something that you have the agency to change.</t>
  </si>
  <si>
    <t>For example: Bombing out of a powerlifting meet. Opportunity for growth: Why did this happen? What could you do in the future to avoid this from happening? How can you be better at attempt selections? Etc.</t>
  </si>
  <si>
    <t>APPLICATION: Let Go and Overcome</t>
  </si>
  <si>
    <r>
      <rPr>
        <rFont val="Calibri"/>
        <sz val="9.0"/>
      </rPr>
      <t xml:space="preserve">1) Don't try to fight negative emotions such as sadness, anger, grief, etc. Just because an emotion is negative, doesn’t mean it’s a BAD thing. </t>
    </r>
    <r>
      <rPr>
        <rFont val="Calibri"/>
        <b/>
        <sz val="9.0"/>
      </rPr>
      <t>Internalize your emotions</t>
    </r>
    <r>
      <rPr>
        <rFont val="Calibri"/>
        <sz val="9.0"/>
      </rPr>
      <t xml:space="preserve"> and give yourself a set amount of time to be upset. Make sure you stick to that time and use it as a cue for when you will stop (i.e. I will allow myself the next 10 minutes to be upset, or until my new training block starts tomorrow). After that, leave it in the past.</t>
    </r>
  </si>
  <si>
    <r>
      <rPr>
        <rFont val="Calibri"/>
        <sz val="9.0"/>
      </rPr>
      <t xml:space="preserve">2) What are three takeaways or lessons that you can learn from your bad session? If you had a bad day in the gym and weren't able to hit your prescribed weight… let’s </t>
    </r>
    <r>
      <rPr>
        <rFont val="Calibri"/>
        <b/>
        <sz val="9.0"/>
      </rPr>
      <t>think about why that was</t>
    </r>
    <r>
      <rPr>
        <rFont val="Calibri"/>
        <sz val="9.0"/>
      </rPr>
      <t>. Didn’t get enough sleep? Did you notice an error in your form? Did you allow for too much negative self-talk? Write them down.</t>
    </r>
  </si>
  <si>
    <r>
      <rPr>
        <rFont val="Calibri"/>
        <sz val="9.0"/>
      </rPr>
      <t xml:space="preserve">3) Use visualization/imagery to walk through the same situation. This time, with a </t>
    </r>
    <r>
      <rPr>
        <rFont val="Calibri"/>
        <b/>
        <sz val="9.0"/>
      </rPr>
      <t>positive and successful outcome</t>
    </r>
    <r>
      <rPr>
        <rFont val="Calibri"/>
        <sz val="9.0"/>
      </rPr>
      <t xml:space="preserve">. Don't rehearse the error… rather EXACTLY how you would have liked it to go. This will help boost your self-confidence, allow you to move past any failures, and create a </t>
    </r>
    <r>
      <rPr>
        <rFont val="Calibri"/>
        <b/>
        <sz val="9.0"/>
      </rPr>
      <t>new and positive self-perception</t>
    </r>
    <r>
      <rPr>
        <rFont val="Calibri"/>
        <sz val="9.0"/>
      </rPr>
      <t>… which will help you succeed for the next time.</t>
    </r>
  </si>
  <si>
    <t>GOOD TRAINING DAYS</t>
  </si>
  <si>
    <t>Perhaps you just had an abnormally good training day. Let's take a moment to appreciate and internalize this, as well as document some aspects of the day. This can be beneficial to reflect on how to create more good training days by putting some of the same things in place in the future.</t>
  </si>
  <si>
    <t>What made this experience positive?</t>
  </si>
  <si>
    <t xml:space="preserve">How much sleep did you get the night before? </t>
  </si>
  <si>
    <t>What did your diet look like the day leading into it?</t>
  </si>
  <si>
    <t>How were anxiety levels? Were you psyched up or calm and collected?</t>
  </si>
  <si>
    <t xml:space="preserve">Did you use visualization or imagery before the session? If so, what did that look like? </t>
  </si>
  <si>
    <t>Did you use positive self-talk? How confident did you feel?</t>
  </si>
  <si>
    <t>How were stress levels?</t>
  </si>
  <si>
    <t>What kind of music were you listening to, if any?</t>
  </si>
  <si>
    <t>What was going through your head immediately before your lift?</t>
  </si>
  <si>
    <t xml:space="preserve">How did you feel afterwards? </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</si>
</sst>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d/yyyy"/>
    <numFmt numFmtId="165" formatCode="&quot;x &quot;0"/>
    <numFmt numFmtId="166" formatCode="&quot;@&quot;0.0"/>
    <numFmt numFmtId="167" formatCode="&quot;@&quot;00"/>
    <numFmt numFmtId="168" formatCode="m/d/yy"/>
    <numFmt numFmtId="169" formatCode="0&quot; kcals&quot;"/>
    <numFmt numFmtId="170" formatCode="&quot;+/- &quot;0"/>
    <numFmt numFmtId="171" formatCode="0.0"/>
    <numFmt numFmtId="172" formatCode="0&quot;%&quot;"/>
    <numFmt numFmtId="173" formatCode="m/d"/>
    <numFmt numFmtId="174" formatCode="&quot;WEEK &quot;0"/>
    <numFmt numFmtId="175" formatCode="m&quot;/&quot;d"/>
    <numFmt numFmtId="176" formatCode="0&quot; x&quot;"/>
    <numFmt numFmtId="177" formatCode="[&lt;=10]&quot;@&quot;0.0;[&gt;10]##&quot;%&quot;"/>
    <numFmt numFmtId="178" formatCode="m-d"/>
    <numFmt numFmtId="179" formatCode="0&quot;-day average&quot;"/>
    <numFmt numFmtId="180" formatCode="0.0%"/>
  </numFmts>
  <fonts count="92">
    <font>
      <sz val="10.0"/>
      <color rgb="FF000000"/>
      <name val="Arial"/>
    </font>
    <font>
      <name val="Open Sans"/>
    </font>
    <font>
      <b/>
      <sz val="15.0"/>
      <color rgb="FF000000"/>
      <name val="Open Sans"/>
    </font>
    <font>
      <sz val="14.0"/>
      <color rgb="FF434343"/>
      <name val="Open Sans"/>
    </font>
    <font>
      <color rgb="FF1A1A1A"/>
      <name val="Open Sans"/>
    </font>
    <font>
      <i/>
      <sz val="18.0"/>
      <color rgb="FF980000"/>
      <name val="Open Sans"/>
    </font>
    <font>
      <sz val="11.0"/>
      <color rgb="FF1A1A1A"/>
      <name val="Open Sans"/>
    </font>
    <font/>
    <font>
      <color rgb="FF434343"/>
      <name val="Open Sans"/>
    </font>
    <font>
      <sz val="18.0"/>
      <color rgb="FF980000"/>
      <name val="Open Sans"/>
    </font>
    <font>
      <b/>
      <sz val="11.0"/>
      <color rgb="FF434343"/>
      <name val="Open Sans"/>
    </font>
    <font>
      <i/>
      <color rgb="FF434343"/>
      <name val="Open Sans"/>
    </font>
    <font>
      <b/>
      <color rgb="FF434343"/>
      <name val="Open Sans"/>
    </font>
    <font>
      <b/>
      <u/>
      <sz val="15.0"/>
      <color rgb="FF980000"/>
      <name val="Open Sans"/>
    </font>
    <font>
      <sz val="10.0"/>
      <name val="Calibri"/>
    </font>
    <font>
      <name val="Calibri"/>
    </font>
    <font>
      <color rgb="FF434343"/>
      <name val="Calibri"/>
    </font>
    <font>
      <b/>
      <sz val="10.0"/>
      <color rgb="FF9E424B"/>
      <name val="Calibri"/>
    </font>
    <font>
      <color rgb="FFFFFFFF"/>
      <name val="Calibri"/>
    </font>
    <font>
      <b/>
      <sz val="18.0"/>
      <color rgb="FF9E424B"/>
      <name val="Calibri"/>
    </font>
    <font>
      <color rgb="FFFF0000"/>
      <name val="Calibri"/>
    </font>
    <font>
      <sz val="10.0"/>
      <color rgb="FF000000"/>
      <name val="Calibri"/>
    </font>
    <font>
      <sz val="9.0"/>
      <color rgb="FF434343"/>
    </font>
    <font>
      <b/>
      <name val="Calibri"/>
    </font>
    <font>
      <b/>
      <sz val="9.0"/>
      <color rgb="FF434343"/>
    </font>
    <font>
      <b/>
      <color rgb="FF434343"/>
      <name val="Calibri"/>
    </font>
    <font>
      <b/>
      <sz val="10.0"/>
      <color rgb="FF434343"/>
      <name val="Calibri"/>
    </font>
    <font>
      <b/>
      <color rgb="FF434343"/>
    </font>
    <font>
      <b/>
      <sz val="9.0"/>
      <color rgb="FF434343"/>
      <name val="Calibri"/>
    </font>
    <font>
      <b/>
      <color rgb="FFA5644E"/>
      <name val="Calibri"/>
    </font>
    <font>
      <sz val="9.0"/>
      <color rgb="FF434343"/>
      <name val="Calibri"/>
    </font>
    <font>
      <sz val="10.0"/>
      <color rgb="FFF3F3F3"/>
      <name val="Calibri"/>
    </font>
    <font>
      <b/>
      <color rgb="FFF3F3F3"/>
      <name val="Calibri"/>
    </font>
    <font>
      <color rgb="FFF3F3F3"/>
      <name val="Calibri"/>
    </font>
    <font>
      <b/>
      <sz val="9.0"/>
      <color rgb="FFA5644E"/>
      <name val="Calibri"/>
    </font>
    <font>
      <sz val="12.0"/>
      <color rgb="FF434343"/>
      <name val="Calibri"/>
    </font>
    <font>
      <color rgb="FF434343"/>
    </font>
    <font>
      <color rgb="FF000000"/>
      <name val="Calibri"/>
    </font>
    <font>
      <i/>
      <sz val="9.0"/>
      <name val="Calibri"/>
    </font>
    <font>
      <sz val="9.0"/>
      <name val="Calibri"/>
    </font>
    <font>
      <i/>
      <sz val="9.0"/>
    </font>
    <font>
      <sz val="11.0"/>
      <color rgb="FF434343"/>
      <name val="Montserrat"/>
    </font>
    <font>
      <b/>
      <sz val="9.0"/>
      <color rgb="FF9E424B"/>
      <name val="Montserrat"/>
    </font>
    <font>
      <sz val="9.0"/>
      <color rgb="FF999999"/>
      <name val="Calibri"/>
    </font>
    <font>
      <sz val="9.0"/>
      <color rgb="FF434343"/>
      <name val="Montserrat"/>
    </font>
    <font>
      <b/>
      <color rgb="FFFF0000"/>
      <name val="Calibri"/>
    </font>
    <font>
      <sz val="12.0"/>
      <name val="Calibri"/>
    </font>
    <font>
      <b/>
      <sz val="9.0"/>
      <name val="Calibri"/>
    </font>
    <font>
      <b/>
      <color rgb="FF5B0F00"/>
      <name val="Calibri"/>
    </font>
    <font>
      <sz val="19.0"/>
      <color rgb="FF9E424B"/>
      <name val="Open Sans"/>
    </font>
    <font>
      <sz val="17.0"/>
      <color rgb="FF434343"/>
      <name val="Open Sans"/>
    </font>
    <font>
      <sz val="14.0"/>
      <color rgb="FF666666"/>
      <name val="Open Sans"/>
    </font>
    <font>
      <sz val="33.0"/>
      <color rgb="FFFFFFFF"/>
      <name val="Open Sans"/>
    </font>
    <font>
      <sz val="14.0"/>
      <color rgb="FF999999"/>
      <name val="Open Sans"/>
    </font>
    <font>
      <sz val="9.0"/>
      <color rgb="FFFFFFFF"/>
      <name val="Calibri"/>
    </font>
    <font>
      <b/>
      <name val="Roboto"/>
    </font>
    <font>
      <sz val="13.0"/>
      <color rgb="FFB7B7B7"/>
      <name val="Open Sans"/>
    </font>
    <font>
      <b/>
      <sz val="9.0"/>
      <color rgb="FF000000"/>
      <name val="Calibri"/>
    </font>
    <font>
      <sz val="9.0"/>
      <color rgb="FF000000"/>
      <name val="Calibri"/>
    </font>
    <font>
      <name val="Arial"/>
    </font>
    <font>
      <b/>
      <sz val="9.0"/>
      <color rgb="FFFFFFFF"/>
      <name val="Calibri"/>
    </font>
    <font>
      <sz val="22.0"/>
      <color rgb="FF434343"/>
      <name val="Open Sans"/>
    </font>
    <font>
      <sz val="24.0"/>
      <color rgb="FF434343"/>
      <name val="Open Sans"/>
    </font>
    <font>
      <color rgb="FFFFFFFF"/>
    </font>
    <font>
      <color rgb="FFB7B7B7"/>
      <name val="Calibri"/>
    </font>
    <font>
      <i/>
      <sz val="9.0"/>
      <color rgb="FF434343"/>
      <name val="Calibri"/>
    </font>
    <font>
      <sz val="11.0"/>
      <color rgb="FF000000"/>
      <name val="Inconsolata"/>
    </font>
    <font>
      <b/>
      <sz val="10.0"/>
      <color rgb="FFFFFFFF"/>
      <name val="Calibri"/>
    </font>
    <font>
      <sz val="10.0"/>
      <color rgb="FFFFFFFF"/>
      <name val="Roboto"/>
    </font>
    <font>
      <sz val="10.0"/>
      <color rgb="FFFFFFFF"/>
      <name val="Calibri"/>
    </font>
    <font>
      <sz val="8.0"/>
      <color rgb="FFFFFFFF"/>
      <name val="Calibri"/>
    </font>
    <font>
      <u/>
      <sz val="11.0"/>
      <color rgb="FF434343"/>
      <name val="Open Sans"/>
    </font>
    <font>
      <sz val="10.0"/>
      <color rgb="FF434343"/>
      <name val="Open Sans"/>
    </font>
    <font>
      <b/>
      <sz val="10.0"/>
      <color rgb="FF434343"/>
      <name val="Open Sans"/>
    </font>
    <font>
      <i/>
      <sz val="10.0"/>
      <color rgb="FF434343"/>
      <name val="Open Sans"/>
    </font>
    <font>
      <b/>
      <sz val="15.0"/>
      <name val="Open Sans"/>
    </font>
    <font>
      <b/>
      <sz val="11.0"/>
      <name val="Calibri"/>
    </font>
    <font>
      <b/>
      <sz val="11.0"/>
      <color rgb="FF434343"/>
      <name val="Calibri"/>
    </font>
    <font>
      <sz val="11.0"/>
      <color rgb="FFFFFFFF"/>
      <name val="Calibri"/>
    </font>
    <font>
      <sz val="11.0"/>
      <color rgb="FF434343"/>
      <name val="Calibri"/>
    </font>
    <font>
      <sz val="11.0"/>
      <color rgb="FF434343"/>
    </font>
    <font>
      <color rgb="FF000000"/>
      <name val="-apple-system"/>
    </font>
    <font>
      <b/>
      <sz val="14.0"/>
      <color rgb="FF9E424B"/>
      <name val="Calibri"/>
    </font>
    <font>
      <b/>
      <sz val="12.0"/>
      <color rgb="FF9E424B"/>
      <name val="Calibri"/>
    </font>
    <font>
      <sz val="9.0"/>
      <color rgb="FF9E424B"/>
      <name val="Calibri"/>
    </font>
    <font>
      <u/>
      <sz val="9.0"/>
      <color rgb="FF000000"/>
      <name val="Calibri"/>
    </font>
    <font>
      <u/>
      <sz val="9.0"/>
      <color rgb="FF9E424B"/>
      <name val="Calibri"/>
    </font>
    <font>
      <u/>
      <sz val="9.0"/>
      <color rgb="FF9E424B"/>
      <name val="Calibri"/>
    </font>
    <font>
      <u/>
      <color rgb="FF0000FF"/>
      <name val="Calibri"/>
    </font>
    <font>
      <sz val="10.0"/>
      <color rgb="FFFFFFFF"/>
      <name val="Open Sans"/>
    </font>
    <font>
      <sz val="8.0"/>
      <name val="Calibri"/>
    </font>
    <font>
      <b/>
      <u/>
      <sz val="9.0"/>
      <color rgb="FF0000FF"/>
      <name val="Calibri"/>
    </font>
  </fonts>
  <fills count="11">
    <fill>
      <patternFill patternType="none"/>
    </fill>
    <fill>
      <patternFill patternType="lightGray"/>
    </fill>
    <fill>
      <patternFill patternType="solid">
        <fgColor rgb="FFF3F3F3"/>
        <bgColor rgb="FFF3F3F3"/>
      </patternFill>
    </fill>
    <fill>
      <patternFill patternType="solid">
        <fgColor rgb="FFFFE599"/>
        <bgColor rgb="FFFFE599"/>
      </patternFill>
    </fill>
    <fill>
      <patternFill patternType="solid">
        <fgColor rgb="FFD9D9D9"/>
        <bgColor rgb="FFD9D9D9"/>
      </patternFill>
    </fill>
    <fill>
      <patternFill patternType="solid">
        <fgColor rgb="FFFFFFFF"/>
        <bgColor rgb="FFFFFFFF"/>
      </patternFill>
    </fill>
    <fill>
      <patternFill patternType="solid">
        <fgColor rgb="FF434343"/>
        <bgColor rgb="FF434343"/>
      </patternFill>
    </fill>
    <fill>
      <patternFill patternType="solid">
        <fgColor rgb="FF9E424B"/>
        <bgColor rgb="FF9E424B"/>
      </patternFill>
    </fill>
    <fill>
      <patternFill patternType="solid">
        <fgColor rgb="FF666666"/>
        <bgColor rgb="FF666666"/>
      </patternFill>
    </fill>
    <fill>
      <patternFill patternType="solid">
        <fgColor rgb="FFEFEFEF"/>
        <bgColor rgb="FFEFEFEF"/>
      </patternFill>
    </fill>
    <fill>
      <patternFill patternType="solid">
        <fgColor rgb="FFF1F0F0"/>
        <bgColor rgb="FFF1F0F0"/>
      </patternFill>
    </fill>
  </fills>
  <borders count="36">
    <border/>
    <border>
      <bottom style="thin">
        <color rgb="FFD9D9D9"/>
      </bottom>
    </border>
    <border>
      <top style="medium">
        <color rgb="FF9E424B"/>
      </top>
    </border>
    <border>
      <right style="thin">
        <color rgb="FFB7B7B7"/>
      </right>
    </border>
    <border>
      <bottom style="thin">
        <color rgb="FFB7B7B7"/>
      </bottom>
    </border>
    <border>
      <right style="thin">
        <color rgb="FFB7B7B7"/>
      </right>
      <bottom style="thin">
        <color rgb="FFB7B7B7"/>
      </bottom>
    </border>
    <border>
      <left style="thin">
        <color rgb="FF9E424B"/>
      </left>
      <right style="thin">
        <color rgb="FF9E424B"/>
      </right>
      <top style="thin">
        <color rgb="FF9E424B"/>
      </top>
      <bottom style="thin">
        <color rgb="FF9E424B"/>
      </bottom>
    </border>
    <border>
      <left style="thick">
        <color rgb="FFFFFFFF"/>
      </left>
    </border>
    <border>
      <right style="thick">
        <color rgb="FFFFFFFF"/>
      </right>
    </border>
    <border>
      <left style="thin">
        <color rgb="FF9E424B"/>
      </left>
      <top style="thin">
        <color rgb="FF9E424B"/>
      </top>
      <bottom style="thin">
        <color rgb="FF9E424B"/>
      </bottom>
    </border>
    <border>
      <top style="thin">
        <color rgb="FF9E424B"/>
      </top>
      <bottom style="thin">
        <color rgb="FF9E424B"/>
      </bottom>
    </border>
    <border>
      <right style="thin">
        <color rgb="FF9E424B"/>
      </right>
      <top style="thin">
        <color rgb="FF9E424B"/>
      </top>
      <bottom style="thin">
        <color rgb="FF9E424B"/>
      </bottom>
    </border>
    <border>
      <left style="thin">
        <color rgb="FFFFFFFF"/>
      </left>
      <right style="thin">
        <color rgb="FFFFFFFF"/>
      </right>
      <top style="thin">
        <color rgb="FFFFFFFF"/>
      </top>
    </border>
    <border>
      <top style="thin">
        <color rgb="FFD9D9D9"/>
      </top>
    </border>
    <border>
      <left style="thick">
        <color rgb="FF999999"/>
      </left>
      <top style="thick">
        <color rgb="FF999999"/>
      </top>
      <bottom style="thick">
        <color rgb="FF999999"/>
      </bottom>
    </border>
    <border>
      <right style="thick">
        <color rgb="FF999999"/>
      </right>
      <top style="thick">
        <color rgb="FF999999"/>
      </top>
      <bottom style="thick">
        <color rgb="FF999999"/>
      </bottom>
    </border>
    <border>
      <bottom style="thick">
        <color rgb="FFD75966"/>
      </bottom>
    </border>
    <border>
      <left style="thin">
        <color rgb="FFB7B7B7"/>
      </left>
    </border>
    <border>
      <right style="thin">
        <color rgb="FFB7B7B7"/>
      </right>
      <top style="thick">
        <color rgb="FFD75966"/>
      </top>
    </border>
    <border>
      <left style="thin">
        <color rgb="FFB7B7B7"/>
      </left>
      <bottom style="thin">
        <color rgb="FFB7B7B7"/>
      </bottom>
    </border>
    <border>
      <left style="thick">
        <color rgb="FFFFFFFF"/>
      </left>
      <right style="thick">
        <color rgb="FFFFFFFF"/>
      </right>
    </border>
    <border>
      <right style="thin">
        <color rgb="FF000000"/>
      </right>
    </border>
    <border>
      <bottom style="thin">
        <color rgb="FF000000"/>
      </bottom>
    </border>
    <border>
      <right style="thin">
        <color rgb="FF000000"/>
      </right>
      <bottom style="thin">
        <color rgb="FF000000"/>
      </bottom>
    </border>
    <border>
      <right/>
    </border>
    <border>
      <left style="dotted">
        <color rgb="FF999999"/>
      </left>
      <top style="dotted">
        <color rgb="FF999999"/>
      </top>
    </border>
    <border>
      <top style="dotted">
        <color rgb="FF999999"/>
      </top>
    </border>
    <border>
      <right style="dotted">
        <color rgb="FF999999"/>
      </right>
      <top style="dotted">
        <color rgb="FF999999"/>
      </top>
    </border>
    <border>
      <left style="dotted">
        <color rgb="FF999999"/>
      </left>
      <bottom style="dotted">
        <color rgb="FF999999"/>
      </bottom>
    </border>
    <border>
      <bottom style="dotted">
        <color rgb="FF999999"/>
      </bottom>
    </border>
    <border>
      <right style="dotted">
        <color rgb="FF999999"/>
      </right>
      <bottom style="dotted">
        <color rgb="FF999999"/>
      </bottom>
    </border>
    <border>
      <left style="dotted">
        <color rgb="FF999999"/>
      </left>
    </border>
    <border>
      <right style="dotted">
        <color rgb="FF999999"/>
      </right>
    </border>
    <border>
      <left style="dotted">
        <color rgb="FF999999"/>
      </left>
      <top style="dotted">
        <color rgb="FF999999"/>
      </top>
      <bottom style="dotted">
        <color rgb="FF999999"/>
      </bottom>
    </border>
    <border>
      <top style="dotted">
        <color rgb="FF999999"/>
      </top>
      <bottom style="dotted">
        <color rgb="FF999999"/>
      </bottom>
    </border>
    <border>
      <right style="dotted">
        <color rgb="FF999999"/>
      </right>
      <top style="dotted">
        <color rgb="FF999999"/>
      </top>
      <bottom style="dotted">
        <color rgb="FF999999"/>
      </bottom>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xf>
    <xf borderId="0" fillId="0" fontId="1" numFmtId="0" xfId="0" applyAlignment="1" applyFont="1">
      <alignment readingOrder="0"/>
    </xf>
    <xf borderId="1" fillId="0" fontId="1" numFmtId="0" xfId="0" applyBorder="1" applyFont="1"/>
    <xf borderId="0" fillId="2" fontId="1" numFmtId="0" xfId="0" applyFill="1" applyFont="1"/>
    <xf borderId="2" fillId="2" fontId="3" numFmtId="0" xfId="0" applyAlignment="1" applyBorder="1" applyFont="1">
      <alignment readingOrder="0"/>
    </xf>
    <xf borderId="0" fillId="2" fontId="4" numFmtId="0" xfId="0" applyAlignment="1" applyFont="1">
      <alignment readingOrder="0" shrinkToFit="0" wrapText="1"/>
    </xf>
    <xf borderId="0" fillId="2" fontId="3" numFmtId="0" xfId="0" applyAlignment="1" applyFont="1">
      <alignment readingOrder="0"/>
    </xf>
    <xf borderId="0" fillId="2" fontId="1" numFmtId="0" xfId="0" applyAlignment="1" applyFont="1">
      <alignment vertical="center"/>
    </xf>
    <xf borderId="0" fillId="2" fontId="5" numFmtId="0" xfId="0" applyAlignment="1" applyFont="1">
      <alignment horizontal="right" readingOrder="0" vertical="center"/>
    </xf>
    <xf borderId="0" fillId="2" fontId="4" numFmtId="0" xfId="0" applyAlignment="1" applyFont="1">
      <alignment readingOrder="0" shrinkToFit="0" vertical="center" wrapText="1"/>
    </xf>
    <xf borderId="0" fillId="2" fontId="4" numFmtId="0" xfId="0" applyAlignment="1" applyFont="1">
      <alignment readingOrder="0" shrinkToFit="0" vertical="center" wrapText="1"/>
    </xf>
    <xf borderId="0" fillId="0" fontId="6" numFmtId="0" xfId="0" applyAlignment="1" applyFont="1">
      <alignment horizontal="center" readingOrder="0" shrinkToFit="0" vertical="center" wrapText="1"/>
    </xf>
    <xf borderId="3" fillId="0" fontId="7" numFmtId="0" xfId="0" applyBorder="1" applyFont="1"/>
    <xf borderId="4" fillId="0" fontId="7" numFmtId="0" xfId="0" applyBorder="1" applyFont="1"/>
    <xf borderId="5" fillId="0" fontId="7" numFmtId="0" xfId="0" applyBorder="1" applyFont="1"/>
    <xf borderId="0" fillId="2" fontId="4" numFmtId="0" xfId="0" applyAlignment="1" applyFont="1">
      <alignment readingOrder="0" shrinkToFit="0" wrapText="0"/>
    </xf>
    <xf borderId="0" fillId="2" fontId="8" numFmtId="0" xfId="0" applyAlignment="1" applyFont="1">
      <alignment readingOrder="0" shrinkToFit="0" wrapText="1"/>
    </xf>
    <xf borderId="0" fillId="2" fontId="8" numFmtId="0" xfId="0" applyFont="1"/>
    <xf borderId="0" fillId="2" fontId="9" numFmtId="0" xfId="0" applyAlignment="1" applyFont="1">
      <alignment horizontal="right" readingOrder="0"/>
    </xf>
    <xf borderId="0" fillId="2" fontId="1" numFmtId="0" xfId="0" applyAlignment="1" applyFont="1">
      <alignment readingOrder="0"/>
    </xf>
    <xf borderId="0" fillId="2" fontId="10" numFmtId="0" xfId="0" applyAlignment="1" applyFont="1">
      <alignment readingOrder="0" vertical="center"/>
    </xf>
    <xf borderId="0" fillId="2" fontId="8" numFmtId="0" xfId="0" applyAlignment="1" applyFont="1">
      <alignment vertical="center"/>
    </xf>
    <xf borderId="0" fillId="2" fontId="8" numFmtId="0" xfId="0" applyAlignment="1" applyFont="1">
      <alignment readingOrder="0" shrinkToFit="0" vertical="center" wrapText="1"/>
    </xf>
    <xf borderId="0" fillId="2" fontId="11" numFmtId="0" xfId="0" applyAlignment="1" applyFont="1">
      <alignment vertical="center"/>
    </xf>
    <xf borderId="0" fillId="2" fontId="11" numFmtId="0" xfId="0" applyAlignment="1" applyFont="1">
      <alignment readingOrder="0" vertical="center"/>
    </xf>
    <xf borderId="0" fillId="2" fontId="8" numFmtId="0" xfId="0" applyAlignment="1" applyFont="1">
      <alignment readingOrder="0" vertical="center"/>
    </xf>
    <xf borderId="0" fillId="2" fontId="10" numFmtId="0" xfId="0" applyAlignment="1" applyFont="1">
      <alignment readingOrder="0" shrinkToFit="0" vertical="center" wrapText="1"/>
    </xf>
    <xf borderId="0" fillId="2" fontId="12" numFmtId="0" xfId="0" applyAlignment="1" applyFont="1">
      <alignment readingOrder="0"/>
    </xf>
    <xf borderId="0" fillId="2" fontId="12" numFmtId="0" xfId="0" applyAlignment="1" applyFont="1">
      <alignment readingOrder="0" vertical="center"/>
    </xf>
    <xf borderId="0" fillId="0" fontId="13" numFmtId="0" xfId="0" applyAlignment="1" applyFont="1">
      <alignment horizontal="center" readingOrder="0" vertical="center"/>
    </xf>
    <xf borderId="0" fillId="2" fontId="14" numFmtId="0" xfId="0" applyFont="1"/>
    <xf borderId="0" fillId="2" fontId="15" numFmtId="0" xfId="0" applyFont="1"/>
    <xf borderId="0" fillId="2" fontId="16" numFmtId="0" xfId="0" applyAlignment="1" applyFont="1">
      <alignment readingOrder="0"/>
    </xf>
    <xf borderId="0" fillId="2" fontId="17" numFmtId="0" xfId="0" applyAlignment="1" applyFont="1">
      <alignment readingOrder="0"/>
    </xf>
    <xf borderId="0" fillId="2" fontId="17" numFmtId="0" xfId="0" applyFont="1"/>
    <xf borderId="0" fillId="2" fontId="14" numFmtId="0" xfId="0" applyAlignment="1" applyFont="1">
      <alignment readingOrder="0"/>
    </xf>
    <xf borderId="0" fillId="2" fontId="15" numFmtId="0" xfId="0" applyAlignment="1" applyFont="1">
      <alignment readingOrder="0"/>
    </xf>
    <xf borderId="0" fillId="2" fontId="7" numFmtId="0" xfId="0" applyFont="1"/>
    <xf borderId="0" fillId="2" fontId="18" numFmtId="0" xfId="0" applyAlignment="1" applyFont="1">
      <alignment horizontal="right" readingOrder="0"/>
    </xf>
    <xf borderId="0" fillId="2" fontId="16" numFmtId="0" xfId="0" applyAlignment="1" applyFont="1">
      <alignment horizontal="left" readingOrder="0"/>
    </xf>
    <xf borderId="6" fillId="3" fontId="15" numFmtId="0" xfId="0" applyAlignment="1" applyBorder="1" applyFill="1" applyFont="1">
      <alignment horizontal="center" readingOrder="0"/>
    </xf>
    <xf borderId="0" fillId="2" fontId="19" numFmtId="0" xfId="0" applyAlignment="1" applyFont="1">
      <alignment readingOrder="0" vertical="bottom"/>
    </xf>
    <xf borderId="0" fillId="2" fontId="20" numFmtId="0" xfId="0" applyAlignment="1" applyFont="1">
      <alignment readingOrder="0"/>
    </xf>
    <xf borderId="0" fillId="2" fontId="21" numFmtId="0" xfId="0" applyAlignment="1" applyFont="1">
      <alignment readingOrder="0" shrinkToFit="0" vertical="bottom" wrapText="0"/>
    </xf>
    <xf borderId="0" fillId="2" fontId="18" numFmtId="0" xfId="0" applyFont="1"/>
    <xf borderId="0" fillId="2" fontId="22" numFmtId="0" xfId="0" applyAlignment="1" applyFont="1">
      <alignment horizontal="right" readingOrder="0"/>
    </xf>
    <xf borderId="0" fillId="2" fontId="22" numFmtId="0" xfId="0" applyAlignment="1" applyFont="1">
      <alignment readingOrder="0"/>
    </xf>
    <xf borderId="0" fillId="2" fontId="22" numFmtId="0" xfId="0" applyFont="1"/>
    <xf borderId="0" fillId="2" fontId="16" numFmtId="0" xfId="0" applyFont="1"/>
    <xf borderId="0" fillId="2" fontId="18" numFmtId="0" xfId="0" applyAlignment="1" applyFont="1">
      <alignment horizontal="center" readingOrder="0"/>
    </xf>
    <xf borderId="0" fillId="4" fontId="16" numFmtId="164" xfId="0" applyAlignment="1" applyFill="1" applyFont="1" applyNumberFormat="1">
      <alignment horizontal="right" readingOrder="0"/>
    </xf>
    <xf borderId="7" fillId="4" fontId="15" numFmtId="0" xfId="0" applyAlignment="1" applyBorder="1" applyFont="1">
      <alignment readingOrder="0"/>
    </xf>
    <xf borderId="0" fillId="4" fontId="23" numFmtId="165" xfId="0" applyAlignment="1" applyFont="1" applyNumberFormat="1">
      <alignment horizontal="left" readingOrder="0"/>
    </xf>
    <xf borderId="0" fillId="4" fontId="15" numFmtId="166" xfId="0" applyAlignment="1" applyFont="1" applyNumberFormat="1">
      <alignment readingOrder="0"/>
    </xf>
    <xf borderId="8" fillId="4" fontId="23" numFmtId="1" xfId="0" applyAlignment="1" applyBorder="1" applyFont="1" applyNumberFormat="1">
      <alignment horizontal="center"/>
    </xf>
    <xf borderId="0" fillId="4" fontId="15" numFmtId="0" xfId="0" applyAlignment="1" applyFont="1">
      <alignment readingOrder="0"/>
    </xf>
    <xf borderId="0" fillId="4" fontId="15" numFmtId="166" xfId="0" applyAlignment="1" applyFont="1" applyNumberFormat="1">
      <alignment readingOrder="0"/>
    </xf>
    <xf borderId="0" fillId="4" fontId="23" numFmtId="1" xfId="0" applyAlignment="1" applyFont="1" applyNumberFormat="1">
      <alignment horizontal="center"/>
    </xf>
    <xf borderId="0" fillId="2" fontId="18" numFmtId="0" xfId="0" applyAlignment="1" applyFont="1">
      <alignment readingOrder="0"/>
    </xf>
    <xf borderId="0" fillId="2" fontId="24" numFmtId="0" xfId="0" applyAlignment="1" applyFont="1">
      <alignment horizontal="right" readingOrder="0"/>
    </xf>
    <xf borderId="0" fillId="2" fontId="24" numFmtId="0" xfId="0" applyAlignment="1" applyFont="1">
      <alignment readingOrder="0"/>
    </xf>
    <xf borderId="0" fillId="3" fontId="16" numFmtId="164" xfId="0" applyAlignment="1" applyFont="1" applyNumberFormat="1">
      <alignment horizontal="right" readingOrder="0"/>
    </xf>
    <xf borderId="7" fillId="3" fontId="16" numFmtId="0" xfId="0" applyAlignment="1" applyBorder="1" applyFont="1">
      <alignment readingOrder="0"/>
    </xf>
    <xf borderId="0" fillId="3" fontId="25" numFmtId="165" xfId="0" applyAlignment="1" applyFont="1" applyNumberFormat="1">
      <alignment horizontal="left" readingOrder="0"/>
    </xf>
    <xf borderId="0" fillId="3" fontId="16" numFmtId="166" xfId="0" applyAlignment="1" applyFont="1" applyNumberFormat="1">
      <alignment horizontal="left" readingOrder="0"/>
    </xf>
    <xf borderId="0" fillId="0" fontId="26" numFmtId="1" xfId="0" applyAlignment="1" applyFont="1" applyNumberFormat="1">
      <alignment horizontal="center"/>
    </xf>
    <xf borderId="0" fillId="3" fontId="16" numFmtId="166" xfId="0" applyAlignment="1" applyFont="1" applyNumberFormat="1">
      <alignment horizontal="left" readingOrder="0"/>
    </xf>
    <xf borderId="0" fillId="0" fontId="16" numFmtId="164" xfId="0" applyAlignment="1" applyFont="1" applyNumberFormat="1">
      <alignment horizontal="right" readingOrder="0"/>
    </xf>
    <xf borderId="7" fillId="0" fontId="16" numFmtId="0" xfId="0" applyAlignment="1" applyBorder="1" applyFont="1">
      <alignment readingOrder="0"/>
    </xf>
    <xf borderId="0" fillId="0" fontId="25" numFmtId="165" xfId="0" applyAlignment="1" applyFont="1" applyNumberFormat="1">
      <alignment horizontal="left" readingOrder="0"/>
    </xf>
    <xf borderId="0" fillId="0" fontId="16" numFmtId="166" xfId="0" applyAlignment="1" applyFont="1" applyNumberFormat="1">
      <alignment horizontal="left" readingOrder="0"/>
    </xf>
    <xf borderId="0" fillId="0" fontId="27" numFmtId="1" xfId="0" applyAlignment="1" applyFont="1" applyNumberFormat="1">
      <alignment horizontal="center"/>
    </xf>
    <xf borderId="0" fillId="0" fontId="16" numFmtId="167" xfId="0" applyAlignment="1" applyFont="1" applyNumberFormat="1">
      <alignment horizontal="left" readingOrder="0"/>
    </xf>
    <xf borderId="7" fillId="0" fontId="16" numFmtId="0" xfId="0" applyBorder="1" applyFont="1"/>
    <xf borderId="0" fillId="0" fontId="16" numFmtId="166" xfId="0" applyAlignment="1" applyFont="1" applyNumberFormat="1">
      <alignment horizontal="left"/>
    </xf>
    <xf borderId="0" fillId="0" fontId="16" numFmtId="167" xfId="0" applyAlignment="1" applyFont="1" applyNumberFormat="1">
      <alignment horizontal="left"/>
    </xf>
    <xf borderId="0" fillId="0" fontId="25" numFmtId="1" xfId="0" applyAlignment="1" applyFont="1" applyNumberFormat="1">
      <alignment horizontal="center"/>
    </xf>
    <xf borderId="0" fillId="0" fontId="28" numFmtId="0" xfId="0" applyAlignment="1" applyFont="1">
      <alignment horizontal="right" readingOrder="0"/>
    </xf>
    <xf borderId="9" fillId="3" fontId="29" numFmtId="168" xfId="0" applyAlignment="1" applyBorder="1" applyFont="1" applyNumberFormat="1">
      <alignment horizontal="left" readingOrder="0"/>
    </xf>
    <xf borderId="10" fillId="0" fontId="7" numFmtId="0" xfId="0" applyBorder="1" applyFont="1"/>
    <xf borderId="11" fillId="0" fontId="7" numFmtId="0" xfId="0" applyBorder="1" applyFont="1"/>
    <xf borderId="0" fillId="2" fontId="30" numFmtId="0" xfId="0" applyAlignment="1" applyFont="1">
      <alignment horizontal="right" readingOrder="0" vertical="center"/>
    </xf>
    <xf borderId="9" fillId="3" fontId="29" numFmtId="0" xfId="0" applyAlignment="1" applyBorder="1" applyFont="1">
      <alignment horizontal="left" readingOrder="0"/>
    </xf>
    <xf borderId="0" fillId="0" fontId="14" numFmtId="0" xfId="0" applyAlignment="1" applyFont="1">
      <alignment horizontal="right" readingOrder="0"/>
    </xf>
    <xf borderId="0" fillId="0" fontId="15" numFmtId="0" xfId="0" applyAlignment="1" applyFont="1">
      <alignment horizontal="right" readingOrder="0"/>
    </xf>
    <xf borderId="0" fillId="0" fontId="23" numFmtId="0" xfId="0" applyAlignment="1" applyFont="1">
      <alignment horizontal="right" readingOrder="0"/>
    </xf>
    <xf borderId="0" fillId="0" fontId="31" numFmtId="0" xfId="0" applyAlignment="1" applyFont="1">
      <alignment horizontal="right" readingOrder="0"/>
    </xf>
    <xf borderId="0" fillId="0" fontId="32" numFmtId="0" xfId="0" applyAlignment="1" applyFont="1">
      <alignment horizontal="right" readingOrder="0"/>
    </xf>
    <xf borderId="0" fillId="0" fontId="32" numFmtId="169" xfId="0" applyAlignment="1" applyFont="1" applyNumberFormat="1">
      <alignment horizontal="right" readingOrder="0"/>
    </xf>
    <xf borderId="0" fillId="0" fontId="32" numFmtId="170" xfId="0" applyAlignment="1" applyFont="1" applyNumberFormat="1">
      <alignment horizontal="right" readingOrder="0"/>
    </xf>
    <xf borderId="0" fillId="0" fontId="33" numFmtId="0" xfId="0" applyAlignment="1" applyFont="1">
      <alignment horizontal="right"/>
    </xf>
    <xf borderId="6" fillId="0" fontId="16" numFmtId="0" xfId="0" applyAlignment="1" applyBorder="1" applyFont="1">
      <alignment horizontal="right" readingOrder="0"/>
    </xf>
    <xf borderId="0" fillId="0" fontId="32" numFmtId="169" xfId="0" applyAlignment="1" applyFont="1" applyNumberFormat="1">
      <alignment horizontal="right" readingOrder="0"/>
    </xf>
    <xf borderId="0" fillId="0" fontId="29" numFmtId="1" xfId="0" applyAlignment="1" applyFont="1" applyNumberFormat="1">
      <alignment horizontal="left"/>
    </xf>
    <xf borderId="0" fillId="0" fontId="32" numFmtId="170" xfId="0" applyAlignment="1" applyFont="1" applyNumberFormat="1">
      <alignment horizontal="right" readingOrder="0"/>
    </xf>
    <xf borderId="9" fillId="3" fontId="34" numFmtId="0" xfId="0" applyAlignment="1" applyBorder="1" applyFont="1">
      <alignment horizontal="left" readingOrder="0"/>
    </xf>
    <xf borderId="0" fillId="0" fontId="28" numFmtId="0" xfId="0" applyAlignment="1" applyFont="1">
      <alignment horizontal="right"/>
    </xf>
    <xf borderId="0" fillId="2" fontId="35" numFmtId="0" xfId="0" applyAlignment="1" applyFont="1">
      <alignment readingOrder="0" vertical="center"/>
    </xf>
    <xf borderId="0" fillId="2" fontId="36" numFmtId="0" xfId="0" applyFont="1"/>
    <xf borderId="0" fillId="2" fontId="28" numFmtId="0" xfId="0" applyAlignment="1" applyFont="1">
      <alignment horizontal="right"/>
    </xf>
    <xf borderId="0" fillId="2" fontId="29" numFmtId="0" xfId="0" applyAlignment="1" applyFont="1">
      <alignment horizontal="left"/>
    </xf>
    <xf borderId="0" fillId="2" fontId="30" numFmtId="0" xfId="0" applyAlignment="1" applyFont="1">
      <alignment readingOrder="0"/>
    </xf>
    <xf borderId="9" fillId="3" fontId="25" numFmtId="0" xfId="0" applyAlignment="1" applyBorder="1" applyFont="1">
      <alignment horizontal="left" readingOrder="0"/>
    </xf>
    <xf borderId="0" fillId="0" fontId="16" numFmtId="0" xfId="0" applyAlignment="1" applyFont="1">
      <alignment horizontal="right" readingOrder="0"/>
    </xf>
    <xf borderId="6" fillId="3" fontId="16" numFmtId="0" xfId="0" applyAlignment="1" applyBorder="1" applyFont="1">
      <alignment readingOrder="0"/>
    </xf>
    <xf borderId="0" fillId="0" fontId="16" numFmtId="0" xfId="0" applyFont="1"/>
    <xf borderId="0" fillId="0" fontId="29" numFmtId="0" xfId="0" applyAlignment="1" applyFont="1">
      <alignment horizontal="left"/>
    </xf>
    <xf borderId="0" fillId="2" fontId="25" numFmtId="0" xfId="0" applyAlignment="1" applyFont="1">
      <alignment horizontal="left"/>
    </xf>
    <xf borderId="0" fillId="2" fontId="28" numFmtId="0" xfId="0" applyAlignment="1" applyFont="1">
      <alignment horizontal="right" readingOrder="0"/>
    </xf>
    <xf borderId="9" fillId="3" fontId="29" numFmtId="171" xfId="0" applyAlignment="1" applyBorder="1" applyFont="1" applyNumberFormat="1">
      <alignment horizontal="left" readingOrder="0"/>
    </xf>
    <xf borderId="0" fillId="2" fontId="28" numFmtId="0" xfId="0" applyAlignment="1" applyFont="1">
      <alignment horizontal="left"/>
    </xf>
    <xf borderId="9" fillId="3" fontId="29" numFmtId="172" xfId="0" applyAlignment="1" applyBorder="1" applyFont="1" applyNumberFormat="1">
      <alignment horizontal="left" readingOrder="0"/>
    </xf>
    <xf borderId="0" fillId="2" fontId="28" numFmtId="0" xfId="0" applyAlignment="1" applyFont="1">
      <alignment horizontal="right" readingOrder="0" vertical="bottom"/>
    </xf>
    <xf borderId="0" fillId="0" fontId="28" numFmtId="0" xfId="0" applyAlignment="1" applyFont="1">
      <alignment horizontal="right" readingOrder="0" vertical="bottom"/>
    </xf>
    <xf borderId="0" fillId="0" fontId="29" numFmtId="0" xfId="0" applyAlignment="1" applyFont="1">
      <alignment horizontal="left" readingOrder="0"/>
    </xf>
    <xf borderId="0" fillId="5" fontId="37" numFmtId="0" xfId="0" applyAlignment="1" applyFill="1" applyFont="1">
      <alignment readingOrder="0"/>
    </xf>
    <xf borderId="0" fillId="0" fontId="18" numFmtId="0" xfId="0" applyFont="1"/>
    <xf borderId="0" fillId="0" fontId="38" numFmtId="0" xfId="0" applyAlignment="1" applyFont="1">
      <alignment horizontal="right" readingOrder="0"/>
    </xf>
    <xf borderId="0" fillId="0" fontId="15" numFmtId="0" xfId="0" applyAlignment="1" applyFont="1">
      <alignment readingOrder="0"/>
    </xf>
    <xf borderId="0" fillId="0" fontId="39" numFmtId="173" xfId="0" applyAlignment="1" applyFont="1" applyNumberFormat="1">
      <alignment horizontal="center" readingOrder="0"/>
    </xf>
    <xf borderId="0" fillId="0" fontId="15" numFmtId="0" xfId="0" applyFont="1"/>
    <xf borderId="0" fillId="0" fontId="15" numFmtId="0" xfId="0" applyAlignment="1" applyFont="1">
      <alignment horizontal="center"/>
    </xf>
    <xf borderId="0" fillId="0" fontId="15" numFmtId="1" xfId="0" applyAlignment="1" applyFont="1" applyNumberFormat="1">
      <alignment horizontal="left"/>
    </xf>
    <xf borderId="0" fillId="0" fontId="40" numFmtId="0" xfId="0" applyAlignment="1" applyFont="1">
      <alignment horizontal="right"/>
    </xf>
    <xf borderId="0" fillId="0" fontId="41" numFmtId="0" xfId="0" applyAlignment="1" applyFont="1">
      <alignment readingOrder="0"/>
    </xf>
    <xf borderId="0" fillId="0" fontId="15" numFmtId="168" xfId="0" applyAlignment="1" applyFont="1" applyNumberFormat="1">
      <alignment horizontal="center" readingOrder="0"/>
    </xf>
    <xf borderId="0" fillId="0" fontId="41" numFmtId="0" xfId="0" applyFont="1"/>
    <xf borderId="0" fillId="0" fontId="39" numFmtId="173" xfId="0" applyAlignment="1" applyFont="1" applyNumberFormat="1">
      <alignment horizontal="center"/>
    </xf>
    <xf borderId="0" fillId="0" fontId="42" numFmtId="174" xfId="0" applyAlignment="1" applyFont="1" applyNumberFormat="1">
      <alignment horizontal="left" readingOrder="0"/>
    </xf>
    <xf borderId="12" fillId="0" fontId="43" numFmtId="175" xfId="0" applyAlignment="1" applyBorder="1" applyFont="1" applyNumberFormat="1">
      <alignment horizontal="center"/>
    </xf>
    <xf borderId="0" fillId="0" fontId="44" numFmtId="0" xfId="0" applyAlignment="1" applyFont="1">
      <alignment readingOrder="0"/>
    </xf>
    <xf borderId="0" fillId="0" fontId="15" numFmtId="0" xfId="0" applyAlignment="1" applyFont="1">
      <alignment horizontal="right"/>
    </xf>
    <xf borderId="0" fillId="0" fontId="44" numFmtId="0" xfId="0" applyFont="1"/>
    <xf borderId="1" fillId="0" fontId="18" numFmtId="0" xfId="0" applyBorder="1" applyFont="1"/>
    <xf borderId="1" fillId="0" fontId="40" numFmtId="0" xfId="0" applyAlignment="1" applyBorder="1" applyFont="1">
      <alignment horizontal="right"/>
    </xf>
    <xf borderId="1" fillId="0" fontId="15" numFmtId="0" xfId="0" applyAlignment="1" applyBorder="1" applyFont="1">
      <alignment readingOrder="0"/>
    </xf>
    <xf borderId="1" fillId="0" fontId="39" numFmtId="173" xfId="0" applyAlignment="1" applyBorder="1" applyFont="1" applyNumberFormat="1">
      <alignment horizontal="center" readingOrder="0"/>
    </xf>
    <xf borderId="1" fillId="0" fontId="38" numFmtId="0" xfId="0" applyAlignment="1" applyBorder="1" applyFont="1">
      <alignment horizontal="left" readingOrder="0"/>
    </xf>
    <xf borderId="1" fillId="0" fontId="15" numFmtId="0" xfId="0" applyAlignment="1" applyBorder="1" applyFont="1">
      <alignment horizontal="center"/>
    </xf>
    <xf borderId="1" fillId="0" fontId="15" numFmtId="1" xfId="0" applyAlignment="1" applyBorder="1" applyFont="1" applyNumberFormat="1">
      <alignment horizontal="left"/>
    </xf>
    <xf borderId="1" fillId="0" fontId="15" numFmtId="0" xfId="0" applyBorder="1" applyFont="1"/>
    <xf borderId="0" fillId="2" fontId="38" numFmtId="0" xfId="0" applyAlignment="1" applyFont="1">
      <alignment horizontal="right" readingOrder="0"/>
    </xf>
    <xf borderId="0" fillId="2" fontId="39" numFmtId="173" xfId="0" applyAlignment="1" applyFont="1" applyNumberFormat="1">
      <alignment horizontal="center" readingOrder="0"/>
    </xf>
    <xf borderId="0" fillId="2" fontId="15" numFmtId="0" xfId="0" applyAlignment="1" applyFont="1">
      <alignment horizontal="center"/>
    </xf>
    <xf borderId="13" fillId="2" fontId="15" numFmtId="0" xfId="0" applyAlignment="1" applyBorder="1" applyFont="1">
      <alignment horizontal="center"/>
    </xf>
    <xf borderId="0" fillId="2" fontId="15" numFmtId="1" xfId="0" applyAlignment="1" applyFont="1" applyNumberFormat="1">
      <alignment horizontal="left" readingOrder="0"/>
    </xf>
    <xf borderId="0" fillId="2" fontId="15" numFmtId="1" xfId="0" applyAlignment="1" applyFont="1" applyNumberFormat="1">
      <alignment horizontal="left"/>
    </xf>
    <xf borderId="0" fillId="2" fontId="31" numFmtId="0" xfId="0" applyAlignment="1" applyFont="1">
      <alignment horizontal="left" readingOrder="0"/>
    </xf>
    <xf borderId="0" fillId="2" fontId="23" numFmtId="0" xfId="0" applyAlignment="1" applyFont="1">
      <alignment readingOrder="0"/>
    </xf>
    <xf borderId="0" fillId="2" fontId="39" numFmtId="173" xfId="0" applyAlignment="1" applyFont="1" applyNumberFormat="1">
      <alignment horizontal="center"/>
    </xf>
    <xf borderId="0" fillId="2" fontId="45" numFmtId="0" xfId="0" applyAlignment="1" applyFont="1">
      <alignment horizontal="left" readingOrder="0" vertical="center"/>
    </xf>
    <xf borderId="14" fillId="2" fontId="45" numFmtId="0" xfId="0" applyAlignment="1" applyBorder="1" applyFont="1">
      <alignment readingOrder="0"/>
    </xf>
    <xf borderId="15" fillId="0" fontId="7" numFmtId="0" xfId="0" applyBorder="1" applyFont="1"/>
    <xf borderId="0" fillId="2" fontId="15" numFmtId="0" xfId="0" applyAlignment="1" applyFont="1">
      <alignment horizontal="center" readingOrder="0"/>
    </xf>
    <xf borderId="0" fillId="2" fontId="46" numFmtId="0" xfId="0" applyAlignment="1" applyFont="1">
      <alignment horizontal="center" readingOrder="0"/>
    </xf>
    <xf borderId="0" fillId="2" fontId="15" numFmtId="1" xfId="0" applyAlignment="1" applyFont="1" applyNumberFormat="1">
      <alignment readingOrder="0"/>
    </xf>
    <xf borderId="0" fillId="2" fontId="31" numFmtId="1" xfId="0" applyAlignment="1" applyFont="1" applyNumberFormat="1">
      <alignment horizontal="left"/>
    </xf>
    <xf borderId="0" fillId="2" fontId="31" numFmtId="1" xfId="0" applyAlignment="1" applyFont="1" applyNumberFormat="1">
      <alignment horizontal="left" readingOrder="0"/>
    </xf>
    <xf borderId="0" fillId="2" fontId="31" numFmtId="0" xfId="0" applyAlignment="1" applyFont="1">
      <alignment horizontal="left"/>
    </xf>
    <xf borderId="0" fillId="2" fontId="47" numFmtId="0" xfId="0" applyAlignment="1" applyFont="1">
      <alignment horizontal="center" readingOrder="0"/>
    </xf>
    <xf borderId="0" fillId="2" fontId="28" numFmtId="0" xfId="0" applyAlignment="1" applyFont="1">
      <alignment horizontal="center" readingOrder="0"/>
    </xf>
    <xf borderId="0" fillId="2" fontId="28" numFmtId="173" xfId="0" applyAlignment="1" applyFont="1" applyNumberFormat="1">
      <alignment horizontal="center" readingOrder="0"/>
    </xf>
    <xf borderId="0" fillId="2" fontId="48" numFmtId="0" xfId="0" applyAlignment="1" applyFont="1">
      <alignment readingOrder="0"/>
    </xf>
    <xf borderId="0" fillId="2" fontId="28" numFmtId="0" xfId="0" applyAlignment="1" applyFont="1">
      <alignment readingOrder="0"/>
    </xf>
    <xf borderId="0" fillId="2" fontId="28" numFmtId="1" xfId="0" applyAlignment="1" applyFont="1" applyNumberFormat="1">
      <alignment horizontal="left" readingOrder="0"/>
    </xf>
    <xf borderId="0" fillId="0" fontId="23" numFmtId="0" xfId="0" applyAlignment="1" applyFont="1">
      <alignment readingOrder="0"/>
    </xf>
    <xf borderId="0" fillId="0" fontId="15" numFmtId="176" xfId="0" applyAlignment="1" applyFont="1" applyNumberFormat="1">
      <alignment readingOrder="0"/>
    </xf>
    <xf borderId="0" fillId="0" fontId="15" numFmtId="0" xfId="0" applyAlignment="1" applyFont="1">
      <alignment horizontal="left" readingOrder="0"/>
    </xf>
    <xf borderId="0" fillId="0" fontId="15" numFmtId="177" xfId="0" applyAlignment="1" applyFont="1" applyNumberFormat="1">
      <alignment horizontal="center" readingOrder="0"/>
    </xf>
    <xf borderId="0" fillId="0" fontId="15" numFmtId="0" xfId="0" applyAlignment="1" applyFont="1">
      <alignment horizontal="center" readingOrder="0"/>
    </xf>
    <xf borderId="0" fillId="0" fontId="15" numFmtId="177" xfId="0" applyAlignment="1" applyFont="1" applyNumberFormat="1">
      <alignment horizontal="center" readingOrder="0"/>
    </xf>
    <xf quotePrefix="1" borderId="0" fillId="0" fontId="15" numFmtId="0" xfId="0" applyAlignment="1" applyFont="1">
      <alignment horizontal="center" readingOrder="0"/>
    </xf>
    <xf borderId="0" fillId="2" fontId="15" numFmtId="176" xfId="0" applyAlignment="1" applyFont="1" applyNumberFormat="1">
      <alignment readingOrder="0"/>
    </xf>
    <xf borderId="0" fillId="2" fontId="15" numFmtId="0" xfId="0" applyAlignment="1" applyFont="1">
      <alignment horizontal="left" readingOrder="0"/>
    </xf>
    <xf borderId="0" fillId="2" fontId="15" numFmtId="177" xfId="0" applyAlignment="1" applyFont="1" applyNumberFormat="1">
      <alignment horizontal="center" readingOrder="0"/>
    </xf>
    <xf borderId="0" fillId="2" fontId="7" numFmtId="0" xfId="0" applyAlignment="1" applyFont="1">
      <alignment readingOrder="0"/>
    </xf>
    <xf borderId="0" fillId="0" fontId="15" numFmtId="178" xfId="0" applyAlignment="1" applyFont="1" applyNumberFormat="1">
      <alignment horizontal="left" readingOrder="0"/>
    </xf>
    <xf quotePrefix="1" borderId="0" fillId="0" fontId="15" numFmtId="0" xfId="0" applyAlignment="1" applyFont="1">
      <alignment horizontal="left" readingOrder="0"/>
    </xf>
    <xf borderId="0" fillId="0" fontId="15" numFmtId="176" xfId="0" applyAlignment="1" applyFont="1" applyNumberFormat="1">
      <alignment horizontal="right" readingOrder="0"/>
    </xf>
    <xf borderId="0" fillId="2" fontId="38" numFmtId="0" xfId="0" applyAlignment="1" applyFont="1">
      <alignment horizontal="right"/>
    </xf>
    <xf borderId="0" fillId="0" fontId="23" numFmtId="0" xfId="0" applyFont="1"/>
    <xf quotePrefix="1" borderId="0" fillId="5" fontId="21" numFmtId="0" xfId="0" applyAlignment="1" applyFont="1">
      <alignment horizontal="center" readingOrder="0"/>
    </xf>
    <xf borderId="0" fillId="2" fontId="23" numFmtId="0" xfId="0" applyFont="1"/>
    <xf borderId="0" fillId="2" fontId="15" numFmtId="177" xfId="0" applyAlignment="1" applyFont="1" applyNumberFormat="1">
      <alignment horizontal="center" readingOrder="0"/>
    </xf>
    <xf borderId="0" fillId="0" fontId="15" numFmtId="0" xfId="0" applyAlignment="1" applyFont="1">
      <alignment readingOrder="0" vertical="center"/>
    </xf>
    <xf borderId="0" fillId="6" fontId="18" numFmtId="0" xfId="0" applyAlignment="1" applyFill="1" applyFont="1">
      <alignment readingOrder="0" vertical="center"/>
    </xf>
    <xf borderId="0" fillId="6" fontId="18" numFmtId="0" xfId="0" applyAlignment="1" applyFont="1">
      <alignment vertical="center"/>
    </xf>
    <xf borderId="0" fillId="0" fontId="18" numFmtId="0" xfId="0" applyAlignment="1" applyFont="1">
      <alignment vertical="center"/>
    </xf>
    <xf borderId="0" fillId="6" fontId="15" numFmtId="0" xfId="0" applyFont="1"/>
    <xf borderId="0" fillId="0" fontId="49" numFmtId="0" xfId="0" applyAlignment="1" applyFont="1">
      <alignment vertical="top"/>
    </xf>
    <xf borderId="0" fillId="0" fontId="50" numFmtId="0" xfId="0" applyAlignment="1" applyFont="1">
      <alignment vertical="top"/>
    </xf>
    <xf borderId="0" fillId="6" fontId="7" numFmtId="0" xfId="0" applyFont="1"/>
    <xf borderId="0" fillId="0" fontId="51" numFmtId="0" xfId="0" applyAlignment="1" applyFont="1">
      <alignment shrinkToFit="0" vertical="bottom" wrapText="1"/>
    </xf>
    <xf borderId="0" fillId="0" fontId="15" numFmtId="0" xfId="0" applyAlignment="1" applyFont="1">
      <alignment vertical="center"/>
    </xf>
    <xf borderId="0" fillId="7" fontId="15" numFmtId="0" xfId="0" applyFill="1" applyFont="1"/>
    <xf borderId="0" fillId="7" fontId="7" numFmtId="0" xfId="0" applyFont="1"/>
    <xf borderId="0" fillId="7" fontId="52" numFmtId="0" xfId="0" applyAlignment="1" applyFont="1">
      <alignment readingOrder="0"/>
    </xf>
    <xf borderId="0" fillId="0" fontId="7" numFmtId="0" xfId="0" applyAlignment="1" applyFont="1">
      <alignment readingOrder="0"/>
    </xf>
    <xf borderId="0" fillId="0" fontId="53" numFmtId="0" xfId="0" applyAlignment="1" applyFont="1">
      <alignment shrinkToFit="0" vertical="top" wrapText="1"/>
    </xf>
    <xf borderId="0" fillId="8" fontId="54" numFmtId="0" xfId="0" applyAlignment="1" applyFill="1" applyFont="1">
      <alignment horizontal="left" readingOrder="0" shrinkToFit="0" vertical="bottom" wrapText="0"/>
    </xf>
    <xf borderId="0" fillId="7" fontId="55" numFmtId="0" xfId="0" applyAlignment="1" applyFont="1">
      <alignment horizontal="right" readingOrder="0"/>
    </xf>
    <xf borderId="0" fillId="0" fontId="30" numFmtId="0" xfId="0" applyAlignment="1" applyFont="1">
      <alignment horizontal="left" vertical="top"/>
    </xf>
    <xf borderId="0" fillId="0" fontId="56" numFmtId="0" xfId="0" applyAlignment="1" applyFont="1">
      <alignment shrinkToFit="0" vertical="center" wrapText="1"/>
    </xf>
    <xf borderId="0" fillId="9" fontId="57" numFmtId="0" xfId="0" applyAlignment="1" applyFill="1" applyFont="1">
      <alignment horizontal="left" readingOrder="0" shrinkToFit="0" vertical="bottom" wrapText="0"/>
    </xf>
    <xf borderId="0" fillId="9" fontId="58" numFmtId="0" xfId="0" applyAlignment="1" applyFont="1">
      <alignment horizontal="left" readingOrder="0" shrinkToFit="0" vertical="bottom" wrapText="0"/>
    </xf>
    <xf borderId="0" fillId="5" fontId="57" numFmtId="0" xfId="0" applyAlignment="1" applyFont="1">
      <alignment horizontal="left" readingOrder="0" shrinkToFit="0" vertical="bottom" wrapText="0"/>
    </xf>
    <xf borderId="0" fillId="5" fontId="58" numFmtId="0" xfId="0" applyAlignment="1" applyFont="1">
      <alignment horizontal="left" readingOrder="0" shrinkToFit="0" vertical="bottom" wrapText="0"/>
    </xf>
    <xf borderId="0" fillId="0" fontId="58" numFmtId="0" xfId="0" applyAlignment="1" applyFont="1">
      <alignment horizontal="left" readingOrder="0" shrinkToFit="0" vertical="bottom" wrapText="0"/>
    </xf>
    <xf borderId="16" fillId="7" fontId="15" numFmtId="0" xfId="0" applyBorder="1" applyFont="1"/>
    <xf borderId="16" fillId="0" fontId="15" numFmtId="0" xfId="0" applyBorder="1" applyFont="1"/>
    <xf borderId="17" fillId="0" fontId="28" numFmtId="0" xfId="0" applyAlignment="1" applyBorder="1" applyFont="1">
      <alignment horizontal="right" readingOrder="0"/>
    </xf>
    <xf borderId="0" fillId="0" fontId="30" numFmtId="0" xfId="0" applyAlignment="1" applyFont="1">
      <alignment horizontal="left" readingOrder="0"/>
    </xf>
    <xf borderId="17" fillId="0" fontId="30" numFmtId="0" xfId="0" applyAlignment="1" applyBorder="1" applyFont="1">
      <alignment horizontal="left" readingOrder="0"/>
    </xf>
    <xf borderId="18" fillId="0" fontId="59" numFmtId="0" xfId="0" applyAlignment="1" applyBorder="1" applyFont="1">
      <alignment vertical="bottom"/>
    </xf>
    <xf borderId="0" fillId="0" fontId="28" numFmtId="0" xfId="0" applyAlignment="1" applyFont="1">
      <alignment horizontal="left" readingOrder="0"/>
    </xf>
    <xf borderId="0" fillId="0" fontId="60" numFmtId="0" xfId="0" applyAlignment="1" applyFont="1">
      <alignment horizontal="left" readingOrder="0"/>
    </xf>
    <xf borderId="0" fillId="0" fontId="61" numFmtId="0" xfId="0" applyAlignment="1" applyFont="1">
      <alignment horizontal="left" vertical="center"/>
    </xf>
    <xf borderId="17" fillId="0" fontId="7" numFmtId="0" xfId="0" applyBorder="1" applyFont="1"/>
    <xf borderId="0" fillId="0" fontId="62" numFmtId="0" xfId="0" applyAlignment="1" applyFont="1">
      <alignment horizontal="left" readingOrder="0"/>
    </xf>
    <xf borderId="3" fillId="0" fontId="59" numFmtId="0" xfId="0" applyAlignment="1" applyBorder="1" applyFont="1">
      <alignment vertical="bottom"/>
    </xf>
    <xf borderId="0" fillId="0" fontId="62" numFmtId="0" xfId="0" applyAlignment="1" applyFont="1">
      <alignment horizontal="left" vertical="center"/>
    </xf>
    <xf borderId="0" fillId="0" fontId="63" numFmtId="0" xfId="0" applyFont="1"/>
    <xf borderId="0" fillId="0" fontId="57" numFmtId="0" xfId="0" applyAlignment="1" applyFont="1">
      <alignment horizontal="left" readingOrder="0" shrinkToFit="0" vertical="bottom" wrapText="0"/>
    </xf>
    <xf borderId="0" fillId="0" fontId="64" numFmtId="0" xfId="0" applyAlignment="1" applyFont="1">
      <alignment readingOrder="0"/>
    </xf>
    <xf borderId="17" fillId="0" fontId="65" numFmtId="0" xfId="0" applyAlignment="1" applyBorder="1" applyFont="1">
      <alignment horizontal="right" readingOrder="0" vertical="top"/>
    </xf>
    <xf borderId="0" fillId="9" fontId="58" numFmtId="178" xfId="0" applyAlignment="1" applyFont="1" applyNumberFormat="1">
      <alignment horizontal="left" readingOrder="0" shrinkToFit="0" vertical="bottom" wrapText="0"/>
    </xf>
    <xf borderId="17" fillId="0" fontId="15" numFmtId="0" xfId="0" applyBorder="1" applyFont="1"/>
    <xf borderId="4" fillId="0" fontId="15" numFmtId="0" xfId="0" applyAlignment="1" applyBorder="1" applyFont="1">
      <alignment readingOrder="0"/>
    </xf>
    <xf borderId="4" fillId="0" fontId="15" numFmtId="0" xfId="0" applyBorder="1" applyFont="1"/>
    <xf borderId="19" fillId="0" fontId="15" numFmtId="0" xfId="0" applyBorder="1" applyFont="1"/>
    <xf borderId="5" fillId="0" fontId="59" numFmtId="0" xfId="0" applyAlignment="1" applyBorder="1" applyFont="1">
      <alignment vertical="bottom"/>
    </xf>
    <xf borderId="17" fillId="0" fontId="1" numFmtId="0" xfId="0" applyBorder="1" applyFont="1"/>
    <xf borderId="0" fillId="0" fontId="62" numFmtId="0" xfId="0" applyAlignment="1" applyFont="1">
      <alignment horizontal="left"/>
    </xf>
    <xf borderId="17" fillId="0" fontId="15" numFmtId="0" xfId="0" applyAlignment="1" applyBorder="1" applyFont="1">
      <alignment readingOrder="0"/>
    </xf>
    <xf borderId="0" fillId="5" fontId="66" numFmtId="0" xfId="0" applyFont="1"/>
    <xf borderId="0" fillId="0" fontId="14" numFmtId="0" xfId="0" applyFont="1"/>
    <xf borderId="0" fillId="0" fontId="14" numFmtId="0" xfId="0" applyAlignment="1" applyFont="1">
      <alignment readingOrder="0"/>
    </xf>
    <xf borderId="0" fillId="0" fontId="67" numFmtId="179" xfId="0" applyAlignment="1" applyFont="1" applyNumberFormat="1">
      <alignment horizontal="right" readingOrder="0" vertical="center"/>
    </xf>
    <xf borderId="0" fillId="0" fontId="68" numFmtId="0" xfId="0" applyAlignment="1" applyFont="1">
      <alignment horizontal="left"/>
    </xf>
    <xf borderId="0" fillId="0" fontId="69" numFmtId="0" xfId="0" applyFont="1"/>
    <xf borderId="0" fillId="0" fontId="54" numFmtId="0" xfId="0" applyAlignment="1" applyFont="1">
      <alignment vertical="top"/>
    </xf>
    <xf borderId="0" fillId="6" fontId="70" numFmtId="0" xfId="0" applyAlignment="1" applyFont="1">
      <alignment readingOrder="0" vertical="center"/>
    </xf>
    <xf borderId="0" fillId="6" fontId="70" numFmtId="0" xfId="0" applyAlignment="1" applyFont="1">
      <alignment vertical="center"/>
    </xf>
    <xf borderId="0" fillId="6" fontId="70" numFmtId="0" xfId="0" applyAlignment="1" applyFont="1">
      <alignment horizontal="left" readingOrder="0" vertical="center"/>
    </xf>
    <xf borderId="0" fillId="0" fontId="54" numFmtId="0" xfId="0" applyAlignment="1" applyFont="1">
      <alignment horizontal="left" readingOrder="0" vertical="center"/>
    </xf>
    <xf borderId="8" fillId="4" fontId="30" numFmtId="164" xfId="0" applyAlignment="1" applyBorder="1" applyFont="1" applyNumberFormat="1">
      <alignment horizontal="left"/>
    </xf>
    <xf borderId="20" fillId="4" fontId="30" numFmtId="0" xfId="0" applyAlignment="1" applyBorder="1" applyFont="1">
      <alignment horizontal="left" readingOrder="0"/>
    </xf>
    <xf borderId="20" fillId="4" fontId="30" numFmtId="0" xfId="0" applyAlignment="1" applyBorder="1" applyFont="1">
      <alignment horizontal="left"/>
    </xf>
    <xf borderId="7" fillId="4" fontId="30" numFmtId="0" xfId="0" applyAlignment="1" applyBorder="1" applyFont="1">
      <alignment horizontal="left" readingOrder="0"/>
    </xf>
    <xf borderId="7" fillId="0" fontId="18" numFmtId="0" xfId="0" applyAlignment="1" applyBorder="1" applyFont="1">
      <alignment horizontal="left" readingOrder="0"/>
    </xf>
    <xf borderId="8" fillId="5" fontId="30" numFmtId="164" xfId="0" applyAlignment="1" applyBorder="1" applyFont="1" applyNumberFormat="1">
      <alignment horizontal="left"/>
    </xf>
    <xf borderId="20" fillId="5" fontId="30" numFmtId="0" xfId="0" applyAlignment="1" applyBorder="1" applyFont="1">
      <alignment horizontal="left" readingOrder="0"/>
    </xf>
    <xf borderId="20" fillId="5" fontId="30" numFmtId="0" xfId="0" applyAlignment="1" applyBorder="1" applyFont="1">
      <alignment horizontal="left"/>
    </xf>
    <xf borderId="7" fillId="5" fontId="30" numFmtId="0" xfId="0" applyAlignment="1" applyBorder="1" applyFont="1">
      <alignment horizontal="left"/>
    </xf>
    <xf borderId="7" fillId="4" fontId="30" numFmtId="0" xfId="0" applyAlignment="1" applyBorder="1" applyFont="1">
      <alignment horizontal="left"/>
    </xf>
    <xf borderId="0" fillId="0" fontId="21" numFmtId="0" xfId="0" applyAlignment="1" applyFont="1">
      <alignment readingOrder="0" shrinkToFit="0" vertical="bottom" wrapText="0"/>
    </xf>
    <xf borderId="0" fillId="0" fontId="57" numFmtId="0" xfId="0" applyAlignment="1" applyFont="1">
      <alignment readingOrder="0" shrinkToFit="0" vertical="bottom" wrapText="0"/>
    </xf>
    <xf borderId="0" fillId="0" fontId="58" numFmtId="0" xfId="0" applyAlignment="1" applyFont="1">
      <alignment readingOrder="0" shrinkToFit="0" vertical="bottom" wrapText="0"/>
    </xf>
    <xf borderId="0" fillId="0" fontId="21" numFmtId="10" xfId="0" applyAlignment="1" applyFont="1" applyNumberFormat="1">
      <alignment horizontal="right" readingOrder="0" shrinkToFit="0" vertical="bottom" wrapText="0"/>
    </xf>
    <xf borderId="0" fillId="0" fontId="47" numFmtId="0" xfId="0" applyAlignment="1" applyFont="1">
      <alignment horizontal="right"/>
    </xf>
    <xf borderId="0" fillId="0" fontId="39" numFmtId="0" xfId="0" applyFont="1"/>
    <xf borderId="0" fillId="5" fontId="15" numFmtId="0" xfId="0" applyFont="1"/>
    <xf borderId="0" fillId="5" fontId="15" numFmtId="0" xfId="0" applyAlignment="1" applyFont="1">
      <alignment horizontal="left"/>
    </xf>
    <xf borderId="0" fillId="0" fontId="18" numFmtId="0" xfId="0" applyAlignment="1" applyFont="1">
      <alignment horizontal="left"/>
    </xf>
    <xf borderId="0" fillId="0" fontId="15" numFmtId="0" xfId="0" applyAlignment="1" applyFont="1">
      <alignment horizontal="left"/>
    </xf>
    <xf borderId="4" fillId="0" fontId="71" numFmtId="0" xfId="0" applyAlignment="1" applyBorder="1" applyFont="1">
      <alignment horizontal="center" readingOrder="0" vertical="center"/>
    </xf>
    <xf borderId="0" fillId="2" fontId="72" numFmtId="0" xfId="0" applyAlignment="1" applyFont="1">
      <alignment horizontal="left" vertical="center"/>
    </xf>
    <xf borderId="0" fillId="2" fontId="73" numFmtId="0" xfId="0" applyAlignment="1" applyFont="1">
      <alignment horizontal="left" readingOrder="0" vertical="center"/>
    </xf>
    <xf borderId="0" fillId="2" fontId="72" numFmtId="0" xfId="0" applyAlignment="1" applyFont="1">
      <alignment horizontal="left" readingOrder="0" vertical="center"/>
    </xf>
    <xf borderId="0" fillId="2" fontId="74" numFmtId="0" xfId="0" applyAlignment="1" applyFont="1">
      <alignment horizontal="left" readingOrder="0" vertical="center"/>
    </xf>
    <xf borderId="0" fillId="2" fontId="5" numFmtId="0" xfId="0" applyAlignment="1" applyFont="1">
      <alignment horizontal="right" readingOrder="0" vertical="top"/>
    </xf>
    <xf borderId="0" fillId="0" fontId="75" numFmtId="0" xfId="0" applyAlignment="1" applyFont="1">
      <alignment readingOrder="0"/>
    </xf>
    <xf borderId="0" fillId="0" fontId="8" numFmtId="0" xfId="0" applyAlignment="1" applyFont="1">
      <alignment readingOrder="0" vertical="top"/>
    </xf>
    <xf borderId="1" fillId="0" fontId="7" numFmtId="0" xfId="0" applyBorder="1" applyFont="1"/>
    <xf borderId="0" fillId="2" fontId="23" numFmtId="0" xfId="0" applyAlignment="1" applyFont="1">
      <alignment horizontal="center" readingOrder="0"/>
    </xf>
    <xf borderId="0" fillId="2" fontId="25" numFmtId="0" xfId="0" applyAlignment="1" applyFont="1">
      <alignment horizontal="center" readingOrder="0"/>
    </xf>
    <xf borderId="0" fillId="2" fontId="76" numFmtId="0" xfId="0" applyAlignment="1" applyFont="1">
      <alignment horizontal="center" readingOrder="0" textRotation="90" vertical="center"/>
    </xf>
    <xf borderId="0" fillId="2" fontId="77" numFmtId="0" xfId="0" applyAlignment="1" applyFont="1">
      <alignment horizontal="center" readingOrder="0" textRotation="90" vertical="center"/>
    </xf>
    <xf borderId="0" fillId="2" fontId="30" numFmtId="0" xfId="0" applyAlignment="1" applyFont="1">
      <alignment horizontal="right" readingOrder="0" shrinkToFit="0" vertical="bottom" wrapText="0"/>
    </xf>
    <xf borderId="0" fillId="2" fontId="30" numFmtId="0" xfId="0" applyAlignment="1" applyFont="1">
      <alignment horizontal="center" readingOrder="0" shrinkToFit="0" vertical="bottom" wrapText="0"/>
    </xf>
    <xf borderId="0" fillId="0" fontId="21" numFmtId="180" xfId="0" applyAlignment="1" applyFont="1" applyNumberFormat="1">
      <alignment horizontal="center" readingOrder="0" shrinkToFit="0" vertical="bottom" wrapText="0"/>
    </xf>
    <xf borderId="0" fillId="2" fontId="78" numFmtId="0" xfId="0" applyAlignment="1" applyFont="1">
      <alignment horizontal="center" shrinkToFit="0" vertical="bottom" wrapText="0"/>
    </xf>
    <xf borderId="0" fillId="2" fontId="21" numFmtId="180" xfId="0" applyAlignment="1" applyFont="1" applyNumberFormat="1">
      <alignment horizontal="center" shrinkToFit="0" vertical="bottom" wrapText="0"/>
    </xf>
    <xf borderId="0" fillId="2" fontId="77" numFmtId="0" xfId="0" applyAlignment="1" applyFont="1">
      <alignment readingOrder="0"/>
    </xf>
    <xf borderId="0" fillId="2" fontId="79" numFmtId="0" xfId="0" applyFont="1"/>
    <xf borderId="0" fillId="2" fontId="79" numFmtId="0" xfId="0" applyAlignment="1" applyFont="1">
      <alignment readingOrder="0"/>
    </xf>
    <xf borderId="0" fillId="2" fontId="80" numFmtId="0" xfId="0" applyFont="1"/>
    <xf borderId="0" fillId="10" fontId="81" numFmtId="0" xfId="0" applyAlignment="1" applyFill="1" applyFont="1">
      <alignment horizontal="left" readingOrder="0"/>
    </xf>
    <xf borderId="0" fillId="2" fontId="25" numFmtId="0" xfId="0" applyAlignment="1" applyFont="1">
      <alignment readingOrder="0"/>
    </xf>
    <xf borderId="0" fillId="2" fontId="25" numFmtId="0" xfId="0" applyFont="1"/>
    <xf borderId="0" fillId="2" fontId="16" numFmtId="0" xfId="0" applyAlignment="1" applyFont="1">
      <alignment readingOrder="0" shrinkToFit="0" vertical="top" wrapText="1"/>
    </xf>
    <xf borderId="0" fillId="2" fontId="30" numFmtId="0" xfId="0" applyAlignment="1" applyFont="1">
      <alignment readingOrder="0" shrinkToFit="0" vertical="center" wrapText="1"/>
    </xf>
    <xf borderId="0" fillId="5" fontId="28" numFmtId="0" xfId="0" applyAlignment="1" applyFont="1">
      <alignment readingOrder="0"/>
    </xf>
    <xf borderId="0" fillId="5" fontId="28" numFmtId="0" xfId="0" applyFont="1"/>
    <xf borderId="0" fillId="5" fontId="30" numFmtId="0" xfId="0" applyAlignment="1" applyFont="1">
      <alignment readingOrder="0" shrinkToFit="0" vertical="top" wrapText="1"/>
    </xf>
    <xf borderId="0" fillId="5" fontId="30" numFmtId="0" xfId="0" applyAlignment="1" applyFont="1">
      <alignment readingOrder="0" shrinkToFit="0" vertical="center" wrapText="1"/>
    </xf>
    <xf borderId="0" fillId="5" fontId="28" numFmtId="0" xfId="0" applyAlignment="1" applyFont="1">
      <alignment readingOrder="0" vertical="center"/>
    </xf>
    <xf borderId="0" fillId="5" fontId="28" numFmtId="0" xfId="0" applyAlignment="1" applyFont="1">
      <alignment vertical="center"/>
    </xf>
    <xf quotePrefix="1" borderId="0" fillId="5" fontId="28" numFmtId="0" xfId="0" applyAlignment="1" applyFont="1">
      <alignment readingOrder="0" vertical="center"/>
    </xf>
    <xf borderId="0" fillId="2" fontId="28" numFmtId="0" xfId="0" applyAlignment="1" applyFont="1">
      <alignment readingOrder="0" vertical="center"/>
    </xf>
    <xf borderId="0" fillId="2" fontId="30" numFmtId="0" xfId="0" applyAlignment="1" applyFont="1">
      <alignment readingOrder="0" shrinkToFit="0" vertical="top" wrapText="1"/>
    </xf>
    <xf borderId="0" fillId="2" fontId="82" numFmtId="0" xfId="0" applyFont="1"/>
    <xf borderId="0" fillId="2" fontId="58" numFmtId="0" xfId="0" applyAlignment="1" applyFont="1">
      <alignment readingOrder="0" shrinkToFit="0" vertical="bottom" wrapText="0"/>
    </xf>
    <xf borderId="0" fillId="2" fontId="58" numFmtId="0" xfId="0" applyAlignment="1" applyFont="1">
      <alignment shrinkToFit="0" vertical="bottom" wrapText="0"/>
    </xf>
    <xf borderId="0" fillId="2" fontId="33" numFmtId="0" xfId="0" applyAlignment="1" applyFont="1">
      <alignment readingOrder="0"/>
    </xf>
    <xf borderId="0" fillId="2" fontId="83" numFmtId="0" xfId="0" applyAlignment="1" applyFont="1">
      <alignment readingOrder="0"/>
    </xf>
    <xf borderId="0" fillId="5" fontId="83" numFmtId="0" xfId="0" applyAlignment="1" applyFont="1">
      <alignment readingOrder="0"/>
    </xf>
    <xf borderId="0" fillId="0" fontId="30" numFmtId="0" xfId="0" applyAlignment="1" applyFont="1">
      <alignment readingOrder="0" shrinkToFit="0" vertical="center" wrapText="1"/>
    </xf>
    <xf borderId="0" fillId="5" fontId="38" numFmtId="0" xfId="0" applyAlignment="1" applyFont="1">
      <alignment readingOrder="0"/>
    </xf>
    <xf borderId="0" fillId="5" fontId="26" numFmtId="0" xfId="0" applyAlignment="1" applyFont="1">
      <alignment readingOrder="0"/>
    </xf>
    <xf borderId="0" fillId="5" fontId="84" numFmtId="0" xfId="0" applyAlignment="1" applyFont="1">
      <alignment readingOrder="0"/>
    </xf>
    <xf borderId="0" fillId="5" fontId="15" numFmtId="0" xfId="0" applyAlignment="1" applyFont="1">
      <alignment readingOrder="0"/>
    </xf>
    <xf borderId="0" fillId="2" fontId="85" numFmtId="0" xfId="0" applyAlignment="1" applyFont="1">
      <alignment readingOrder="0" shrinkToFit="0" vertical="bottom" wrapText="0"/>
    </xf>
    <xf borderId="0" fillId="0" fontId="25" numFmtId="0" xfId="0" applyAlignment="1" applyFont="1">
      <alignment readingOrder="0"/>
    </xf>
    <xf borderId="0" fillId="5" fontId="86" numFmtId="0" xfId="0" applyAlignment="1" applyFont="1">
      <alignment readingOrder="0"/>
    </xf>
    <xf borderId="0" fillId="0" fontId="30" numFmtId="0" xfId="0" applyAlignment="1" applyFont="1">
      <alignment readingOrder="0" shrinkToFit="0" vertical="bottom" wrapText="1"/>
    </xf>
    <xf borderId="0" fillId="0" fontId="30" numFmtId="0" xfId="0" applyAlignment="1" applyFont="1">
      <alignment readingOrder="0" shrinkToFit="0" vertical="bottom" wrapText="0"/>
    </xf>
    <xf borderId="0" fillId="2" fontId="15" numFmtId="0" xfId="0" applyAlignment="1" applyFont="1">
      <alignment readingOrder="0"/>
    </xf>
    <xf borderId="0" fillId="0" fontId="30" numFmtId="0" xfId="0" applyAlignment="1" applyFont="1">
      <alignment readingOrder="0" shrinkToFit="0" vertical="top" wrapText="1"/>
    </xf>
    <xf borderId="0" fillId="5" fontId="26" numFmtId="0" xfId="0" applyAlignment="1" applyFont="1">
      <alignment readingOrder="0" vertical="bottom"/>
    </xf>
    <xf borderId="0" fillId="5" fontId="87" numFmtId="0" xfId="0" applyAlignment="1" applyFont="1">
      <alignment vertical="bottom"/>
    </xf>
    <xf borderId="0" fillId="5" fontId="39" numFmtId="0" xfId="0" applyAlignment="1" applyFont="1">
      <alignment readingOrder="0"/>
    </xf>
    <xf borderId="0" fillId="2" fontId="88" numFmtId="0" xfId="0" applyAlignment="1" applyFont="1">
      <alignment readingOrder="0"/>
    </xf>
    <xf borderId="0" fillId="0" fontId="30" numFmtId="0" xfId="0" applyAlignment="1" applyFont="1">
      <alignment readingOrder="0"/>
    </xf>
    <xf borderId="0" fillId="0" fontId="16" numFmtId="0" xfId="0" applyAlignment="1" applyFont="1">
      <alignment readingOrder="0"/>
    </xf>
    <xf borderId="0" fillId="6" fontId="66" numFmtId="0" xfId="0" applyAlignment="1" applyFont="1">
      <alignment readingOrder="0"/>
    </xf>
    <xf borderId="0" fillId="6" fontId="30" numFmtId="0" xfId="0" applyAlignment="1" applyFont="1">
      <alignment readingOrder="0" shrinkToFit="0" vertical="bottom" wrapText="0"/>
    </xf>
    <xf borderId="0" fillId="6" fontId="16" numFmtId="0" xfId="0" applyFont="1"/>
    <xf borderId="21" fillId="6" fontId="16" numFmtId="0" xfId="0" applyBorder="1" applyFont="1"/>
    <xf borderId="0" fillId="6" fontId="89" numFmtId="0" xfId="0" applyAlignment="1" applyFont="1">
      <alignment readingOrder="0" shrinkToFit="0" vertical="center" wrapText="1"/>
    </xf>
    <xf borderId="21" fillId="0" fontId="7" numFmtId="0" xfId="0" applyBorder="1" applyFont="1"/>
    <xf borderId="22" fillId="6" fontId="30" numFmtId="0" xfId="0" applyAlignment="1" applyBorder="1" applyFont="1">
      <alignment readingOrder="0" shrinkToFit="0" vertical="bottom" wrapText="0"/>
    </xf>
    <xf borderId="22" fillId="6" fontId="16" numFmtId="0" xfId="0" applyBorder="1" applyFont="1"/>
    <xf borderId="23" fillId="6" fontId="16" numFmtId="0" xfId="0" applyBorder="1" applyFont="1"/>
    <xf borderId="0" fillId="0" fontId="30" numFmtId="0" xfId="0" applyAlignment="1" applyFont="1">
      <alignment readingOrder="0" shrinkToFit="0" vertical="top" wrapText="1"/>
    </xf>
    <xf borderId="0" fillId="0" fontId="28" numFmtId="0" xfId="0" applyAlignment="1" applyFont="1">
      <alignment readingOrder="0" vertical="center"/>
    </xf>
    <xf borderId="0" fillId="0" fontId="16" numFmtId="1" xfId="0" applyAlignment="1" applyFont="1" applyNumberFormat="1">
      <alignment horizontal="left" readingOrder="0" vertical="center"/>
    </xf>
    <xf borderId="24" fillId="2" fontId="16" numFmtId="0" xfId="0" applyAlignment="1" applyBorder="1" applyFont="1">
      <alignment shrinkToFit="0" vertical="bottom" wrapText="0"/>
    </xf>
    <xf borderId="0" fillId="0" fontId="28" numFmtId="0" xfId="0" applyAlignment="1" applyFont="1">
      <alignment shrinkToFit="0" vertical="center" wrapText="0"/>
    </xf>
    <xf borderId="24" fillId="0" fontId="7" numFmtId="0" xfId="0" applyBorder="1" applyFont="1"/>
    <xf borderId="0" fillId="2" fontId="58" numFmtId="0" xfId="0" applyAlignment="1" applyFont="1">
      <alignment shrinkToFit="0" vertical="bottom" wrapText="0"/>
    </xf>
    <xf borderId="24" fillId="2" fontId="15" numFmtId="0" xfId="0" applyAlignment="1" applyBorder="1" applyFont="1">
      <alignment shrinkToFit="0" vertical="bottom" wrapText="0"/>
    </xf>
    <xf borderId="0" fillId="0" fontId="47" numFmtId="0" xfId="0" applyAlignment="1" applyFont="1">
      <alignment shrinkToFit="0" vertical="center" wrapText="0"/>
    </xf>
    <xf borderId="0" fillId="2" fontId="30" numFmtId="0" xfId="0" applyAlignment="1" applyFont="1">
      <alignment readingOrder="0" shrinkToFit="0" vertical="top" wrapText="1"/>
    </xf>
    <xf borderId="0" fillId="0" fontId="30" numFmtId="0" xfId="0" applyAlignment="1" applyFont="1">
      <alignment readingOrder="0" shrinkToFit="0" vertical="center" wrapText="1"/>
    </xf>
    <xf borderId="0" fillId="0" fontId="39" numFmtId="0" xfId="0" applyAlignment="1" applyFont="1">
      <alignment readingOrder="0"/>
    </xf>
    <xf borderId="0" fillId="0" fontId="39" numFmtId="0" xfId="0" applyAlignment="1" applyFont="1">
      <alignment readingOrder="0" shrinkToFit="0" vertical="top" wrapText="1"/>
    </xf>
    <xf borderId="25" fillId="0" fontId="15" numFmtId="0" xfId="0" applyAlignment="1" applyBorder="1" applyFont="1">
      <alignment readingOrder="0" vertical="top"/>
    </xf>
    <xf borderId="26" fillId="0" fontId="7" numFmtId="0" xfId="0" applyBorder="1" applyFont="1"/>
    <xf borderId="27" fillId="0" fontId="7" numFmtId="0" xfId="0" applyBorder="1" applyFont="1"/>
    <xf borderId="25" fillId="0" fontId="15" numFmtId="0" xfId="0" applyAlignment="1" applyBorder="1" applyFont="1">
      <alignment vertical="top"/>
    </xf>
    <xf borderId="28" fillId="0" fontId="7" numFmtId="0" xfId="0" applyBorder="1" applyFont="1"/>
    <xf borderId="29" fillId="0" fontId="7" numFmtId="0" xfId="0" applyBorder="1" applyFont="1"/>
    <xf borderId="30" fillId="0" fontId="7" numFmtId="0" xfId="0" applyBorder="1" applyFont="1"/>
    <xf borderId="31" fillId="0" fontId="7" numFmtId="0" xfId="0" applyBorder="1" applyFont="1"/>
    <xf borderId="32" fillId="0" fontId="7" numFmtId="0" xfId="0" applyBorder="1" applyFont="1"/>
    <xf borderId="0" fillId="0" fontId="90" numFmtId="0" xfId="0" applyAlignment="1" applyFont="1">
      <alignment horizontal="right" readingOrder="0"/>
    </xf>
    <xf borderId="0" fillId="0" fontId="47" numFmtId="0" xfId="0" applyAlignment="1" applyFont="1">
      <alignment readingOrder="0"/>
    </xf>
    <xf borderId="0" fillId="0" fontId="91" numFmtId="0" xfId="0" applyAlignment="1" applyFont="1">
      <alignment horizontal="center" readingOrder="0"/>
    </xf>
    <xf borderId="0" fillId="0" fontId="47" numFmtId="0" xfId="0" applyAlignment="1" applyFont="1">
      <alignment horizontal="center" readingOrder="0"/>
    </xf>
    <xf borderId="0" fillId="2" fontId="15" numFmtId="0" xfId="0" applyAlignment="1" applyFont="1">
      <alignment horizontal="left"/>
    </xf>
    <xf borderId="0" fillId="2" fontId="23" numFmtId="0" xfId="0" applyAlignment="1" applyFont="1">
      <alignment horizontal="left"/>
    </xf>
    <xf borderId="0" fillId="0" fontId="39" numFmtId="0" xfId="0" applyAlignment="1" applyFont="1">
      <alignment horizontal="right" readingOrder="0"/>
    </xf>
    <xf borderId="33" fillId="0" fontId="15" numFmtId="0" xfId="0" applyAlignment="1" applyBorder="1" applyFont="1">
      <alignment shrinkToFit="0" vertical="top" wrapText="1"/>
    </xf>
    <xf borderId="34" fillId="0" fontId="7" numFmtId="0" xfId="0" applyBorder="1" applyFont="1"/>
    <xf borderId="35" fillId="0" fontId="7" numFmtId="0" xfId="0" applyBorder="1" applyFont="1"/>
    <xf borderId="0" fillId="0" fontId="39" numFmtId="0" xfId="0" applyAlignment="1" applyFont="1">
      <alignment readingOrder="0" shrinkToFit="0" wrapText="1"/>
    </xf>
    <xf borderId="0" fillId="0" fontId="39" numFmtId="0" xfId="0" applyAlignment="1" applyFont="1">
      <alignment readingOrder="0" shrinkToFit="0" vertical="center" wrapText="1"/>
    </xf>
    <xf borderId="33" fillId="0" fontId="39" numFmtId="0" xfId="0" applyAlignment="1" applyBorder="1" applyFont="1">
      <alignment readingOrder="0" shrinkToFit="0" vertical="top" wrapText="1"/>
    </xf>
  </cellXfs>
  <cellStyles count="1">
    <cellStyle xfId="0" name="Normal" builtinId="0"/>
  </cellStyles>
  <dxfs count="9">
    <dxf>
      <font/>
      <fill>
        <patternFill patternType="none"/>
      </fill>
      <border/>
    </dxf>
    <dxf>
      <font/>
      <fill>
        <patternFill patternType="solid">
          <fgColor rgb="FFD9D9D9"/>
          <bgColor rgb="FFD9D9D9"/>
        </patternFill>
      </fill>
      <border/>
    </dxf>
    <dxf>
      <font/>
      <fill>
        <patternFill patternType="solid">
          <fgColor rgb="FFFFFFFF"/>
          <bgColor rgb="FFFFFFFF"/>
        </patternFill>
      </fill>
      <border/>
    </dxf>
    <dxf>
      <font>
        <b/>
        <color rgb="FF9E424B"/>
      </font>
      <fill>
        <patternFill patternType="none"/>
      </fill>
      <border/>
    </dxf>
    <dxf>
      <font/>
      <fill>
        <patternFill patternType="solid">
          <fgColor rgb="FFF2D5D5"/>
          <bgColor rgb="FFF2D5D5"/>
        </patternFill>
      </fill>
      <border/>
    </dxf>
    <dxf>
      <font>
        <color rgb="FF000000"/>
      </font>
      <fill>
        <patternFill patternType="solid">
          <fgColor rgb="FFFFAFA9"/>
          <bgColor rgb="FFFFAFA9"/>
        </patternFill>
      </fill>
      <border/>
    </dxf>
    <dxf>
      <font>
        <color rgb="FF000000"/>
      </font>
      <fill>
        <patternFill patternType="solid">
          <fgColor rgb="FFCCCCCC"/>
          <bgColor rgb="FFCCCCCC"/>
        </patternFill>
      </fill>
      <border/>
    </dxf>
    <dxf>
      <font>
        <color rgb="FF000000"/>
      </font>
      <fill>
        <patternFill patternType="solid">
          <fgColor rgb="FFF2D5D5"/>
          <bgColor rgb="FFF2D5D5"/>
        </patternFill>
      </fill>
      <border/>
    </dxf>
    <dxf>
      <font>
        <b/>
      </font>
      <fill>
        <patternFill patternType="solid">
          <fgColor rgb="FFF2C8C8"/>
          <bgColor rgb="FFF2C8C8"/>
        </patternFill>
      </fill>
      <border/>
    </dxf>
  </dxfs>
  <tableStyles count="2">
    <tableStyle count="2" pivot="0" name="Personal Info-style">
      <tableStyleElement dxfId="1" type="firstRowStripe"/>
      <tableStyleElement dxfId="2" type="secondRowStripe"/>
    </tableStyle>
    <tableStyle count="2" pivot="0" name="Referenc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E424B">
                <a:alpha val="50000"/>
              </a:srgbClr>
            </a:solidFill>
            <a:ln cmpd="sng">
              <a:solidFill>
                <a:srgbClr val="9E424B">
                  <a:alpha val="100000"/>
                </a:srgbClr>
              </a:solidFill>
            </a:ln>
          </c:spPr>
          <c:dLbls>
            <c:numFmt formatCode="General" sourceLinked="1"/>
            <c:txPr>
              <a:bodyPr/>
              <a:lstStyle/>
              <a:p>
                <a:pPr lvl="0">
                  <a:defRPr/>
                </a:pPr>
              </a:p>
            </c:txPr>
            <c:showLegendKey val="0"/>
            <c:showVal val="1"/>
            <c:showCatName val="0"/>
            <c:showSerName val="0"/>
            <c:showPercent val="0"/>
            <c:showBubbleSize val="0"/>
          </c:dLbls>
          <c:val>
            <c:numRef>
              <c:f>Home!$C$22:$C$401</c:f>
              <c:numCache/>
            </c:numRef>
          </c:val>
        </c:ser>
        <c:axId val="1287466936"/>
        <c:axId val="2003299384"/>
      </c:areaChart>
      <c:catAx>
        <c:axId val="128746693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03299384"/>
      </c:catAx>
      <c:valAx>
        <c:axId val="2003299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tickLblPos val="nextTo"/>
        <c:spPr>
          <a:ln/>
        </c:spPr>
        <c:txPr>
          <a:bodyPr/>
          <a:lstStyle/>
          <a:p>
            <a:pPr lvl="0">
              <a:defRPr b="0" i="0" sz="600">
                <a:solidFill>
                  <a:srgbClr val="FFFFFF"/>
                </a:solidFill>
                <a:latin typeface="Roboto"/>
              </a:defRPr>
            </a:pPr>
          </a:p>
        </c:txPr>
        <c:crossAx val="1287466936"/>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a:solidFill>
                <a:srgbClr val="9E424B">
                  <a:alpha val="100000"/>
                </a:srgbClr>
              </a:solidFill>
            </a:ln>
          </c:spPr>
          <c:marker>
            <c:symbol val="circle"/>
            <c:size val="10"/>
            <c:spPr>
              <a:solidFill>
                <a:srgbClr val="9E424B">
                  <a:alpha val="100000"/>
                </a:srgbClr>
              </a:solidFill>
              <a:ln cmpd="sng">
                <a:solidFill>
                  <a:srgbClr val="9E424B">
                    <a:alpha val="100000"/>
                  </a:srgbClr>
                </a:solidFill>
              </a:ln>
            </c:spPr>
          </c:marker>
          <c:cat>
            <c:strRef>
              <c:f>Reference!$F$79:$F$90</c:f>
            </c:strRef>
          </c:cat>
          <c:val>
            <c:numRef>
              <c:f>Reference!$G$79:$G$90</c:f>
              <c:numCache/>
            </c:numRef>
          </c:val>
          <c:smooth val="1"/>
        </c:ser>
        <c:axId val="483889500"/>
        <c:axId val="1806855606"/>
      </c:radarChart>
      <c:catAx>
        <c:axId val="483889500"/>
        <c:scaling>
          <c:orientation val="minMax"/>
        </c:scaling>
        <c:delete val="0"/>
        <c:axPos val="b"/>
        <c:crossAx val="1806855606"/>
      </c:catAx>
      <c:valAx>
        <c:axId val="1806855606"/>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rot="0"/>
          <a:lstStyle/>
          <a:p>
            <a:pPr lvl="0">
              <a:defRPr b="0">
                <a:solidFill>
                  <a:srgbClr val="000000"/>
                </a:solidFill>
                <a:latin typeface="Roboto"/>
              </a:defRPr>
            </a:pPr>
          </a:p>
        </c:txPr>
        <c:crossAx val="483889500"/>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jp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g"/><Relationship Id="rId3" Type="http://schemas.openxmlformats.org/officeDocument/2006/relationships/image" Target="../media/image5.jp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190500</xdr:rowOff>
    </xdr:from>
    <xdr:ext cx="371475" cy="409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xdr:row>
      <xdr:rowOff>95250</xdr:rowOff>
    </xdr:from>
    <xdr:ext cx="371475" cy="409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18</xdr:row>
      <xdr:rowOff>0</xdr:rowOff>
    </xdr:from>
    <xdr:ext cx="12668250" cy="962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542925</xdr:colOff>
      <xdr:row>1</xdr:row>
      <xdr:rowOff>257175</xdr:rowOff>
    </xdr:from>
    <xdr:ext cx="3324225" cy="2085975"/>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66675</xdr:colOff>
      <xdr:row>0</xdr:row>
      <xdr:rowOff>76200</xdr:rowOff>
    </xdr:from>
    <xdr:ext cx="1228725" cy="4572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190500</xdr:rowOff>
    </xdr:from>
    <xdr:ext cx="371475" cy="409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495300</xdr:colOff>
      <xdr:row>12</xdr:row>
      <xdr:rowOff>123825</xdr:rowOff>
    </xdr:from>
    <xdr:ext cx="4448175" cy="3352800"/>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1143000</xdr:colOff>
      <xdr:row>31</xdr:row>
      <xdr:rowOff>142875</xdr:rowOff>
    </xdr:from>
    <xdr:ext cx="7553325" cy="2981325"/>
    <xdr:pic>
      <xdr:nvPicPr>
        <xdr:cNvPr id="0" name="image5.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78</xdr:row>
      <xdr:rowOff>0</xdr:rowOff>
    </xdr:from>
    <xdr:ext cx="3057525" cy="23812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190500</xdr:rowOff>
    </xdr:from>
    <xdr:ext cx="371475" cy="4095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K15:W21"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ersonal Info-style" showColumnStripes="0" showFirstColumn="1" showLastColumn="1" showRowStripes="1"/>
</table>
</file>

<file path=xl/tables/table2.xml><?xml version="1.0" encoding="utf-8"?>
<table xmlns="http://schemas.openxmlformats.org/spreadsheetml/2006/main" headerRowCount="0" ref="G9:R16"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Reference-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youtube.com/watch?v=8MJVz3Xs-ks" TargetMode="External"/><Relationship Id="rId22" Type="http://schemas.openxmlformats.org/officeDocument/2006/relationships/hyperlink" Target="https://youtu.be/yZCURyhwsgg" TargetMode="External"/><Relationship Id="rId21" Type="http://schemas.openxmlformats.org/officeDocument/2006/relationships/hyperlink" Target="https://youtu.be/qj3u4u4xeQc" TargetMode="External"/><Relationship Id="rId24" Type="http://schemas.openxmlformats.org/officeDocument/2006/relationships/hyperlink" Target="https://youtu.be/B6X35u5mVsE" TargetMode="External"/><Relationship Id="rId23" Type="http://schemas.openxmlformats.org/officeDocument/2006/relationships/hyperlink" Target="https://youtu.be/JsdrrWn2pok" TargetMode="External"/><Relationship Id="rId1" Type="http://schemas.openxmlformats.org/officeDocument/2006/relationships/hyperlink" Target="https://www.youtube.com/watch?v=m2OFz37JHug" TargetMode="External"/><Relationship Id="rId2" Type="http://schemas.openxmlformats.org/officeDocument/2006/relationships/hyperlink" Target="https://youtu.be/G36qMURBIYQ" TargetMode="External"/><Relationship Id="rId3" Type="http://schemas.openxmlformats.org/officeDocument/2006/relationships/hyperlink" Target="https://youtu.be/T-oqbuTAf9M" TargetMode="External"/><Relationship Id="rId4" Type="http://schemas.openxmlformats.org/officeDocument/2006/relationships/hyperlink" Target="https://youtu.be/EpsujHUAnrg" TargetMode="External"/><Relationship Id="rId9" Type="http://schemas.openxmlformats.org/officeDocument/2006/relationships/hyperlink" Target="https://youtu.be/B6J3RZ9gWvs" TargetMode="External"/><Relationship Id="rId26" Type="http://schemas.openxmlformats.org/officeDocument/2006/relationships/hyperlink" Target="https://youtu.be/niLD6dKW2hc" TargetMode="External"/><Relationship Id="rId25" Type="http://schemas.openxmlformats.org/officeDocument/2006/relationships/hyperlink" Target="https://youtu.be/bu43fj3wEKU" TargetMode="External"/><Relationship Id="rId28" Type="http://schemas.openxmlformats.org/officeDocument/2006/relationships/hyperlink" Target="https://youtu.be/hUcAnkJxhgw" TargetMode="External"/><Relationship Id="rId27" Type="http://schemas.openxmlformats.org/officeDocument/2006/relationships/hyperlink" Target="https://youtu.be/9jTbbpYD_f0" TargetMode="External"/><Relationship Id="rId5" Type="http://schemas.openxmlformats.org/officeDocument/2006/relationships/hyperlink" Target="https://youtu.be/VWX0PPZrdfA" TargetMode="External"/><Relationship Id="rId6" Type="http://schemas.openxmlformats.org/officeDocument/2006/relationships/hyperlink" Target="https://youtu.be/qxN_S3yh3cg" TargetMode="External"/><Relationship Id="rId29" Type="http://schemas.openxmlformats.org/officeDocument/2006/relationships/hyperlink" Target="https://youtu.be/h5HWM9XbFrk" TargetMode="External"/><Relationship Id="rId7" Type="http://schemas.openxmlformats.org/officeDocument/2006/relationships/hyperlink" Target="https://youtu.be/2P6YrYAk6qs" TargetMode="External"/><Relationship Id="rId8" Type="http://schemas.openxmlformats.org/officeDocument/2006/relationships/hyperlink" Target="https://youtu.be/LAWF0nyBeRA" TargetMode="External"/><Relationship Id="rId31" Type="http://schemas.openxmlformats.org/officeDocument/2006/relationships/hyperlink" Target="https://youtu.be/7bAt9R7VJk0" TargetMode="External"/><Relationship Id="rId30" Type="http://schemas.openxmlformats.org/officeDocument/2006/relationships/hyperlink" Target="https://youtu.be/MdH5DdS9ItQ" TargetMode="External"/><Relationship Id="rId11" Type="http://schemas.openxmlformats.org/officeDocument/2006/relationships/hyperlink" Target="https://youtu.be/4JTichJq6qI" TargetMode="External"/><Relationship Id="rId33" Type="http://schemas.openxmlformats.org/officeDocument/2006/relationships/hyperlink" Target="https://youtu.be/2JJ8CjDLDpU" TargetMode="External"/><Relationship Id="rId10" Type="http://schemas.openxmlformats.org/officeDocument/2006/relationships/hyperlink" Target="https://youtu.be/us49hqMvR64" TargetMode="External"/><Relationship Id="rId32" Type="http://schemas.openxmlformats.org/officeDocument/2006/relationships/hyperlink" Target="https://youtu.be/4k-WAWAHn4Q" TargetMode="External"/><Relationship Id="rId13" Type="http://schemas.openxmlformats.org/officeDocument/2006/relationships/hyperlink" Target="https://youtu.be/mC9Kx_TjGXk" TargetMode="External"/><Relationship Id="rId12" Type="http://schemas.openxmlformats.org/officeDocument/2006/relationships/hyperlink" Target="https://youtu.be/LHVyCpZyByw" TargetMode="External"/><Relationship Id="rId34" Type="http://schemas.openxmlformats.org/officeDocument/2006/relationships/drawing" Target="../drawings/drawing6.xml"/><Relationship Id="rId15" Type="http://schemas.openxmlformats.org/officeDocument/2006/relationships/hyperlink" Target="https://youtu.be/QYe4rAFsUxI" TargetMode="External"/><Relationship Id="rId14" Type="http://schemas.openxmlformats.org/officeDocument/2006/relationships/hyperlink" Target="https://youtu.be/qj3u4u4xeQc" TargetMode="External"/><Relationship Id="rId36" Type="http://schemas.openxmlformats.org/officeDocument/2006/relationships/table" Target="../tables/table2.xml"/><Relationship Id="rId17" Type="http://schemas.openxmlformats.org/officeDocument/2006/relationships/hyperlink" Target="https://youtu.be/DRfxeWZrODQ?t=2m23s" TargetMode="External"/><Relationship Id="rId16" Type="http://schemas.openxmlformats.org/officeDocument/2006/relationships/hyperlink" Target="https://youtu.be/tqXkkUIGPas" TargetMode="External"/><Relationship Id="rId19" Type="http://schemas.openxmlformats.org/officeDocument/2006/relationships/hyperlink" Target="https://youtu.be/Y7Th_hwenck" TargetMode="External"/><Relationship Id="rId18" Type="http://schemas.openxmlformats.org/officeDocument/2006/relationships/hyperlink" Target="https://youtu.be/V02CCfGPct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8"/>
    <col customWidth="1" min="2" max="2" width="5.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G2" s="1"/>
      <c r="H2" s="1"/>
      <c r="I2" s="1"/>
      <c r="J2" s="1"/>
      <c r="K2" s="1"/>
      <c r="L2" s="1"/>
      <c r="M2" s="1"/>
      <c r="N2" s="1"/>
      <c r="O2" s="1"/>
      <c r="P2" s="1"/>
      <c r="Q2" s="1"/>
      <c r="R2" s="1"/>
      <c r="S2" s="1"/>
      <c r="T2" s="1"/>
      <c r="U2" s="1"/>
      <c r="V2" s="1"/>
      <c r="W2" s="1"/>
      <c r="X2" s="1"/>
      <c r="Y2" s="1"/>
      <c r="Z2" s="1"/>
    </row>
    <row r="3">
      <c r="A3" s="1"/>
      <c r="B3" s="3" t="s">
        <v>1</v>
      </c>
      <c r="C3" s="1"/>
      <c r="D3" s="1"/>
      <c r="E3" s="1"/>
      <c r="F3" s="1"/>
      <c r="G3" s="1"/>
      <c r="H3" s="1"/>
      <c r="I3" s="1"/>
      <c r="J3" s="1"/>
      <c r="K3" s="1"/>
      <c r="L3" s="1"/>
      <c r="M3" s="1"/>
      <c r="N3" s="1"/>
      <c r="O3" s="1"/>
      <c r="P3" s="1"/>
      <c r="Q3" s="1"/>
      <c r="R3" s="1"/>
      <c r="S3" s="1"/>
      <c r="T3" s="1"/>
      <c r="U3" s="1"/>
      <c r="V3" s="1"/>
      <c r="W3" s="1"/>
      <c r="X3" s="1"/>
      <c r="Y3" s="1"/>
      <c r="Z3" s="1"/>
    </row>
    <row r="4">
      <c r="A4" s="4"/>
      <c r="B4" s="4"/>
      <c r="C4" s="4"/>
      <c r="D4" s="4"/>
      <c r="E4" s="4"/>
      <c r="F4" s="4"/>
      <c r="G4" s="4"/>
      <c r="H4" s="4"/>
      <c r="I4" s="4"/>
      <c r="J4" s="4"/>
      <c r="K4" s="4"/>
      <c r="L4" s="4"/>
      <c r="M4" s="4"/>
      <c r="N4" s="4"/>
      <c r="O4" s="4"/>
      <c r="P4" s="4"/>
      <c r="Q4" s="4"/>
      <c r="R4" s="4"/>
      <c r="S4" s="4"/>
      <c r="T4" s="4"/>
      <c r="U4" s="4"/>
      <c r="V4" s="4"/>
      <c r="W4" s="4"/>
      <c r="X4" s="4"/>
      <c r="Y4" s="4"/>
      <c r="Z4" s="4"/>
    </row>
    <row r="5">
      <c r="A5" s="5"/>
      <c r="B5" s="5"/>
      <c r="C5" s="5"/>
      <c r="D5" s="5"/>
      <c r="E5" s="5"/>
      <c r="F5" s="5"/>
      <c r="G5" s="5"/>
      <c r="H5" s="5"/>
      <c r="I5" s="5"/>
      <c r="J5" s="5"/>
      <c r="K5" s="5"/>
      <c r="L5" s="5"/>
      <c r="M5" s="5"/>
      <c r="N5" s="5"/>
      <c r="O5" s="5"/>
      <c r="P5" s="5"/>
      <c r="Q5" s="5"/>
      <c r="R5" s="5"/>
      <c r="S5" s="5"/>
      <c r="T5" s="5"/>
      <c r="U5" s="5"/>
      <c r="V5" s="5"/>
      <c r="W5" s="5"/>
      <c r="X5" s="5"/>
      <c r="Y5" s="5"/>
      <c r="Z5" s="5"/>
    </row>
    <row r="6">
      <c r="A6" s="5"/>
      <c r="B6" s="6" t="s">
        <v>2</v>
      </c>
      <c r="C6" s="7"/>
      <c r="D6" s="7"/>
      <c r="E6" s="7"/>
      <c r="F6" s="7"/>
      <c r="G6" s="7"/>
      <c r="H6" s="7"/>
      <c r="I6" s="7"/>
      <c r="J6" s="5"/>
      <c r="K6" s="5"/>
      <c r="L6" s="5"/>
      <c r="M6" s="5"/>
      <c r="N6" s="5"/>
      <c r="O6" s="5"/>
      <c r="P6" s="5"/>
      <c r="Q6" s="5"/>
      <c r="R6" s="5"/>
      <c r="S6" s="5"/>
      <c r="T6" s="5"/>
      <c r="U6" s="5"/>
      <c r="V6" s="5"/>
      <c r="W6" s="5"/>
      <c r="X6" s="5"/>
      <c r="Y6" s="5"/>
      <c r="Z6" s="5"/>
    </row>
    <row r="7">
      <c r="A7" s="5"/>
      <c r="B7" s="8"/>
      <c r="C7" s="7"/>
      <c r="D7" s="7"/>
      <c r="E7" s="7"/>
      <c r="F7" s="7"/>
      <c r="G7" s="7"/>
      <c r="H7" s="7"/>
      <c r="I7" s="7"/>
      <c r="J7" s="5"/>
      <c r="K7" s="5"/>
      <c r="L7" s="5"/>
      <c r="M7" s="5"/>
      <c r="N7" s="5"/>
      <c r="O7" s="5"/>
      <c r="P7" s="5"/>
      <c r="Q7" s="5"/>
      <c r="R7" s="5"/>
      <c r="S7" s="5"/>
      <c r="T7" s="5"/>
      <c r="U7" s="5"/>
      <c r="V7" s="5"/>
      <c r="W7" s="5"/>
      <c r="X7" s="5"/>
      <c r="Y7" s="5"/>
      <c r="Z7" s="5"/>
    </row>
    <row r="8" ht="33.75" customHeight="1">
      <c r="A8" s="9"/>
      <c r="B8" s="10">
        <v>1.0</v>
      </c>
      <c r="C8" s="11" t="s">
        <v>3</v>
      </c>
      <c r="J8" s="9"/>
      <c r="K8" s="9"/>
      <c r="L8" s="9"/>
      <c r="M8" s="9"/>
      <c r="N8" s="9"/>
      <c r="O8" s="9"/>
      <c r="P8" s="9"/>
      <c r="Q8" s="9"/>
      <c r="R8" s="9"/>
      <c r="S8" s="9"/>
      <c r="T8" s="9"/>
      <c r="U8" s="9"/>
      <c r="V8" s="9"/>
      <c r="W8" s="9"/>
      <c r="X8" s="9"/>
      <c r="Y8" s="9"/>
      <c r="Z8" s="9"/>
    </row>
    <row r="9">
      <c r="A9" s="9"/>
      <c r="B9" s="10">
        <v>2.0</v>
      </c>
      <c r="C9" s="11" t="s">
        <v>4</v>
      </c>
      <c r="J9" s="9"/>
      <c r="K9" s="9"/>
      <c r="L9" s="9"/>
      <c r="M9" s="9"/>
      <c r="N9" s="9"/>
      <c r="O9" s="9"/>
      <c r="P9" s="9"/>
      <c r="Q9" s="9"/>
      <c r="R9" s="9"/>
      <c r="S9" s="9"/>
      <c r="T9" s="9"/>
      <c r="U9" s="9"/>
      <c r="V9" s="9"/>
      <c r="W9" s="9"/>
      <c r="X9" s="9"/>
      <c r="Y9" s="9"/>
      <c r="Z9" s="9"/>
    </row>
    <row r="10">
      <c r="A10" s="9"/>
      <c r="B10" s="10">
        <v>3.0</v>
      </c>
      <c r="C10" s="11" t="s">
        <v>5</v>
      </c>
      <c r="J10" s="9"/>
      <c r="K10" s="9"/>
      <c r="L10" s="9"/>
      <c r="M10" s="9"/>
      <c r="N10" s="9"/>
      <c r="O10" s="9"/>
      <c r="P10" s="9"/>
      <c r="Q10" s="9"/>
      <c r="R10" s="9"/>
      <c r="S10" s="9"/>
      <c r="T10" s="9"/>
      <c r="U10" s="9"/>
      <c r="V10" s="9"/>
      <c r="W10" s="9"/>
      <c r="X10" s="9"/>
      <c r="Y10" s="9"/>
      <c r="Z10" s="9"/>
    </row>
    <row r="11">
      <c r="A11" s="9"/>
      <c r="B11" s="10">
        <v>4.0</v>
      </c>
      <c r="C11" s="12" t="str">
        <f>Hyperlink("mailto:support@thestrengthathlete.com","Read through the FAQ below, and if you have further questions, don't hesitate to email us by clicking here.") </f>
        <v>Read through the FAQ below, and if you have further questions, don't hesitate to email us by clicking here.</v>
      </c>
      <c r="J11" s="9"/>
      <c r="K11" s="9"/>
      <c r="L11" s="9"/>
      <c r="M11" s="9"/>
      <c r="N11" s="9"/>
      <c r="O11" s="9"/>
      <c r="P11" s="9"/>
      <c r="Q11" s="9"/>
      <c r="R11" s="9"/>
      <c r="S11" s="9"/>
      <c r="T11" s="9"/>
      <c r="U11" s="9"/>
      <c r="V11" s="9"/>
      <c r="W11" s="9"/>
      <c r="X11" s="9"/>
      <c r="Y11" s="9"/>
      <c r="Z11" s="9"/>
    </row>
    <row r="12">
      <c r="A12" s="9"/>
      <c r="B12" s="10">
        <v>5.0</v>
      </c>
      <c r="C12" s="11" t="s">
        <v>6</v>
      </c>
      <c r="J12" s="9"/>
      <c r="K12" s="9"/>
      <c r="L12" s="9"/>
      <c r="M12" s="9"/>
      <c r="N12" s="9"/>
      <c r="O12" s="9"/>
      <c r="P12" s="9"/>
      <c r="Q12" s="9"/>
      <c r="R12" s="9"/>
      <c r="S12" s="9"/>
      <c r="T12" s="9"/>
      <c r="U12" s="9"/>
      <c r="V12" s="9"/>
      <c r="W12" s="9"/>
      <c r="X12" s="9"/>
      <c r="Y12" s="9"/>
      <c r="Z12" s="9"/>
    </row>
    <row r="13">
      <c r="A13" s="5"/>
      <c r="B13" s="8"/>
      <c r="C13" s="7"/>
      <c r="D13" s="7"/>
      <c r="E13" s="7"/>
      <c r="F13" s="7"/>
      <c r="G13" s="7"/>
      <c r="H13" s="7"/>
      <c r="I13" s="7"/>
      <c r="J13" s="5"/>
      <c r="K13" s="5"/>
      <c r="L13" s="5"/>
      <c r="M13" s="5"/>
      <c r="N13" s="5"/>
      <c r="O13" s="5"/>
      <c r="P13" s="5"/>
      <c r="Q13" s="5"/>
      <c r="R13" s="5"/>
      <c r="S13" s="5"/>
      <c r="T13" s="5"/>
      <c r="U13" s="5"/>
      <c r="V13" s="5"/>
      <c r="W13" s="5"/>
      <c r="X13" s="5"/>
      <c r="Y13" s="5"/>
      <c r="Z13" s="5"/>
    </row>
    <row r="14">
      <c r="A14" s="5"/>
      <c r="B14" s="8"/>
      <c r="C14" s="13" t="str">
        <f>HYPERLINK("http://www.thestrengthathlete.com/donate","DONATE HERE")</f>
        <v>DONATE HERE</v>
      </c>
      <c r="E14" s="14"/>
      <c r="F14" s="7"/>
      <c r="G14" s="13" t="str">
        <f>HYPERLINK("mailto:support@thestrengthathlete.com","CONTACT US")</f>
        <v>CONTACT US</v>
      </c>
      <c r="I14" s="14"/>
      <c r="J14" s="5"/>
      <c r="K14" s="5"/>
      <c r="L14" s="5"/>
      <c r="M14" s="5"/>
      <c r="N14" s="5"/>
      <c r="O14" s="5"/>
      <c r="P14" s="5"/>
      <c r="Q14" s="5"/>
      <c r="R14" s="5"/>
      <c r="S14" s="5"/>
      <c r="T14" s="5"/>
      <c r="U14" s="5"/>
      <c r="V14" s="5"/>
      <c r="W14" s="5"/>
      <c r="X14" s="5"/>
      <c r="Y14" s="5"/>
      <c r="Z14" s="5"/>
    </row>
    <row r="15">
      <c r="A15" s="5"/>
      <c r="B15" s="8"/>
      <c r="C15" s="15"/>
      <c r="D15" s="15"/>
      <c r="E15" s="16"/>
      <c r="F15" s="7"/>
      <c r="G15" s="15"/>
      <c r="H15" s="15"/>
      <c r="I15" s="16"/>
      <c r="J15" s="5"/>
      <c r="K15" s="5"/>
      <c r="L15" s="5"/>
      <c r="M15" s="5"/>
      <c r="N15" s="5"/>
      <c r="O15" s="5"/>
      <c r="P15" s="5"/>
      <c r="Q15" s="5"/>
      <c r="R15" s="5"/>
      <c r="S15" s="5"/>
      <c r="T15" s="5"/>
      <c r="U15" s="5"/>
      <c r="V15" s="5"/>
      <c r="W15" s="5"/>
      <c r="X15" s="5"/>
      <c r="Y15" s="5"/>
      <c r="Z15" s="5"/>
    </row>
    <row r="16">
      <c r="A16" s="5"/>
      <c r="B16" s="8"/>
      <c r="C16" s="7"/>
      <c r="D16" s="7"/>
      <c r="E16" s="7"/>
      <c r="F16" s="7"/>
      <c r="G16" s="7"/>
      <c r="H16" s="7"/>
      <c r="I16" s="7"/>
      <c r="J16" s="5"/>
      <c r="K16" s="5"/>
      <c r="L16" s="5"/>
      <c r="M16" s="5"/>
      <c r="N16" s="5"/>
      <c r="O16" s="5"/>
      <c r="P16" s="5"/>
      <c r="Q16" s="5"/>
      <c r="R16" s="5"/>
      <c r="S16" s="5"/>
      <c r="T16" s="5"/>
      <c r="U16" s="5"/>
      <c r="V16" s="5"/>
      <c r="W16" s="5"/>
      <c r="X16" s="5"/>
      <c r="Y16" s="5"/>
      <c r="Z16" s="5"/>
    </row>
    <row r="17">
      <c r="A17" s="5"/>
      <c r="B17" s="8"/>
      <c r="C17" s="7"/>
      <c r="D17" s="7"/>
      <c r="E17" s="7"/>
      <c r="F17" s="7"/>
      <c r="G17" s="7"/>
      <c r="H17" s="7"/>
      <c r="I17" s="7"/>
      <c r="J17" s="5"/>
      <c r="K17" s="5"/>
      <c r="L17" s="5"/>
      <c r="M17" s="5"/>
      <c r="N17" s="5"/>
      <c r="O17" s="5"/>
      <c r="P17" s="5"/>
      <c r="Q17" s="5"/>
      <c r="R17" s="5"/>
      <c r="S17" s="5"/>
      <c r="T17" s="5"/>
      <c r="U17" s="5"/>
      <c r="V17" s="5"/>
      <c r="W17" s="5"/>
      <c r="X17" s="5"/>
      <c r="Y17" s="5"/>
      <c r="Z17" s="5"/>
    </row>
    <row r="18">
      <c r="A18" s="5"/>
      <c r="B18" s="8"/>
      <c r="C18" s="7"/>
      <c r="D18" s="7"/>
      <c r="E18" s="7"/>
      <c r="F18" s="7"/>
      <c r="G18" s="7"/>
      <c r="H18" s="7"/>
      <c r="I18" s="7"/>
      <c r="J18" s="5"/>
      <c r="K18" s="5"/>
      <c r="L18" s="5"/>
      <c r="M18" s="5"/>
      <c r="N18" s="5"/>
      <c r="O18" s="5"/>
      <c r="P18" s="5"/>
      <c r="Q18" s="5"/>
      <c r="R18" s="5"/>
      <c r="S18" s="5"/>
      <c r="T18" s="5"/>
      <c r="U18" s="5"/>
      <c r="V18" s="5"/>
      <c r="W18" s="5"/>
      <c r="X18" s="5"/>
      <c r="Y18" s="5"/>
      <c r="Z18" s="5"/>
    </row>
    <row r="19">
      <c r="A19" s="5"/>
      <c r="B19" s="8"/>
      <c r="C19" s="7"/>
      <c r="D19" s="7"/>
      <c r="E19" s="7"/>
      <c r="F19" s="7"/>
      <c r="G19" s="7"/>
      <c r="H19" s="7"/>
      <c r="I19" s="7"/>
      <c r="J19" s="5"/>
      <c r="K19" s="5"/>
      <c r="L19" s="5"/>
      <c r="M19" s="5"/>
      <c r="N19" s="5"/>
      <c r="O19" s="5"/>
      <c r="P19" s="5"/>
      <c r="Q19" s="5"/>
      <c r="R19" s="5"/>
      <c r="S19" s="5"/>
      <c r="T19" s="5"/>
      <c r="U19" s="5"/>
      <c r="V19" s="5"/>
      <c r="W19" s="5"/>
      <c r="X19" s="5"/>
      <c r="Y19" s="5"/>
      <c r="Z19" s="5"/>
    </row>
    <row r="20">
      <c r="A20" s="5"/>
      <c r="B20" s="6" t="s">
        <v>7</v>
      </c>
      <c r="C20" s="7"/>
      <c r="D20" s="7"/>
      <c r="E20" s="7"/>
      <c r="F20" s="7"/>
      <c r="G20" s="7"/>
      <c r="H20" s="7"/>
      <c r="I20" s="7"/>
      <c r="J20" s="5"/>
      <c r="K20" s="5"/>
      <c r="L20" s="5"/>
      <c r="M20" s="5"/>
      <c r="N20" s="5"/>
      <c r="O20" s="5"/>
      <c r="P20" s="5"/>
      <c r="Q20" s="5"/>
      <c r="R20" s="5"/>
      <c r="S20" s="5"/>
      <c r="T20" s="5"/>
      <c r="U20" s="5"/>
      <c r="V20" s="5"/>
      <c r="W20" s="5"/>
      <c r="X20" s="5"/>
      <c r="Y20" s="5"/>
      <c r="Z20" s="5"/>
    </row>
    <row r="21">
      <c r="A21" s="5"/>
      <c r="B21" s="17"/>
      <c r="C21" s="17"/>
      <c r="D21" s="17"/>
      <c r="E21" s="17"/>
      <c r="F21" s="17"/>
      <c r="G21" s="17"/>
      <c r="H21" s="17"/>
      <c r="I21" s="17"/>
      <c r="J21" s="5"/>
      <c r="K21" s="5"/>
      <c r="L21" s="5"/>
      <c r="M21" s="5"/>
      <c r="N21" s="5"/>
      <c r="O21" s="5"/>
      <c r="P21" s="5"/>
      <c r="Q21" s="5"/>
      <c r="R21" s="5"/>
      <c r="S21" s="5"/>
      <c r="T21" s="5"/>
      <c r="U21" s="5"/>
      <c r="V21" s="5"/>
      <c r="W21" s="5"/>
      <c r="X21" s="5"/>
      <c r="Y21" s="5"/>
      <c r="Z21" s="5"/>
    </row>
    <row r="22" ht="60.0" customHeight="1">
      <c r="A22" s="5"/>
      <c r="B22" s="18" t="s">
        <v>8</v>
      </c>
      <c r="J22" s="5"/>
      <c r="K22" s="5"/>
      <c r="L22" s="5"/>
      <c r="M22" s="5"/>
      <c r="N22" s="5"/>
      <c r="O22" s="5"/>
      <c r="P22" s="5"/>
      <c r="Q22" s="5"/>
      <c r="R22" s="5"/>
      <c r="S22" s="5"/>
      <c r="T22" s="5"/>
      <c r="U22" s="5"/>
      <c r="V22" s="5"/>
      <c r="W22" s="5"/>
      <c r="X22" s="5"/>
      <c r="Y22" s="5"/>
      <c r="Z22" s="5"/>
    </row>
    <row r="23" ht="8.25" customHeight="1">
      <c r="A23" s="5"/>
      <c r="B23" s="19"/>
      <c r="C23" s="19"/>
      <c r="D23" s="19"/>
      <c r="E23" s="19"/>
      <c r="F23" s="19"/>
      <c r="G23" s="19"/>
      <c r="H23" s="19"/>
      <c r="I23" s="19"/>
      <c r="J23" s="5"/>
      <c r="K23" s="5"/>
      <c r="L23" s="5"/>
      <c r="M23" s="5"/>
      <c r="N23" s="5"/>
      <c r="O23" s="5"/>
      <c r="P23" s="5"/>
      <c r="Q23" s="5"/>
      <c r="R23" s="5"/>
      <c r="S23" s="5"/>
      <c r="T23" s="5"/>
      <c r="U23" s="5"/>
      <c r="V23" s="5"/>
      <c r="W23" s="5"/>
      <c r="X23" s="5"/>
      <c r="Y23" s="5"/>
      <c r="Z23" s="5"/>
    </row>
    <row r="24" ht="70.5" customHeight="1">
      <c r="A24" s="5"/>
      <c r="B24" s="18" t="s">
        <v>9</v>
      </c>
      <c r="J24" s="5"/>
      <c r="K24" s="5"/>
      <c r="L24" s="5"/>
      <c r="M24" s="5"/>
      <c r="N24" s="5"/>
      <c r="O24" s="5"/>
      <c r="P24" s="5"/>
      <c r="Q24" s="5"/>
      <c r="R24" s="5"/>
      <c r="S24" s="5"/>
      <c r="T24" s="5"/>
      <c r="U24" s="5"/>
      <c r="V24" s="5"/>
      <c r="W24" s="5"/>
      <c r="X24" s="5"/>
      <c r="Y24" s="5"/>
      <c r="Z24" s="5"/>
    </row>
    <row r="25" ht="9.75" customHeight="1">
      <c r="A25" s="5"/>
      <c r="B25" s="19"/>
      <c r="C25" s="19"/>
      <c r="D25" s="19"/>
      <c r="E25" s="19"/>
      <c r="F25" s="19"/>
      <c r="G25" s="19"/>
      <c r="H25" s="19"/>
      <c r="I25" s="19"/>
      <c r="J25" s="5"/>
      <c r="K25" s="5"/>
      <c r="L25" s="5"/>
      <c r="M25" s="5"/>
      <c r="N25" s="5"/>
      <c r="O25" s="5"/>
      <c r="P25" s="5"/>
      <c r="Q25" s="5"/>
      <c r="R25" s="5"/>
      <c r="S25" s="5"/>
      <c r="T25" s="5"/>
      <c r="U25" s="5"/>
      <c r="V25" s="5"/>
      <c r="W25" s="5"/>
      <c r="X25" s="5"/>
      <c r="Y25" s="5"/>
      <c r="Z25" s="5"/>
    </row>
    <row r="26" ht="55.5" customHeight="1">
      <c r="A26" s="5"/>
      <c r="B26" s="18" t="s">
        <v>10</v>
      </c>
      <c r="J26" s="5"/>
      <c r="K26" s="5"/>
      <c r="L26" s="5"/>
      <c r="M26" s="5"/>
      <c r="N26" s="5"/>
      <c r="O26" s="5"/>
      <c r="P26" s="5"/>
      <c r="Q26" s="5"/>
      <c r="R26" s="5"/>
      <c r="S26" s="5"/>
      <c r="T26" s="5"/>
      <c r="U26" s="5"/>
      <c r="V26" s="5"/>
      <c r="W26" s="5"/>
      <c r="X26" s="5"/>
      <c r="Y26" s="5"/>
      <c r="Z26" s="5"/>
    </row>
    <row r="27" ht="9.75" customHeight="1">
      <c r="A27" s="5"/>
      <c r="B27" s="19"/>
      <c r="C27" s="19"/>
      <c r="D27" s="19"/>
      <c r="E27" s="19"/>
      <c r="F27" s="19"/>
      <c r="G27" s="19"/>
      <c r="H27" s="19"/>
      <c r="I27" s="19"/>
      <c r="J27" s="5"/>
      <c r="K27" s="5"/>
      <c r="L27" s="5"/>
      <c r="M27" s="5"/>
      <c r="N27" s="5"/>
      <c r="O27" s="5"/>
      <c r="P27" s="5"/>
      <c r="Q27" s="5"/>
      <c r="R27" s="5"/>
      <c r="S27" s="5"/>
      <c r="T27" s="5"/>
      <c r="U27" s="5"/>
      <c r="V27" s="5"/>
      <c r="W27" s="5"/>
      <c r="X27" s="5"/>
      <c r="Y27" s="5"/>
      <c r="Z27" s="5"/>
    </row>
    <row r="28" ht="55.5" customHeight="1">
      <c r="A28" s="5"/>
      <c r="B28" s="18" t="s">
        <v>11</v>
      </c>
      <c r="J28" s="5"/>
      <c r="K28" s="5"/>
      <c r="L28" s="5"/>
      <c r="M28" s="5"/>
      <c r="N28" s="5"/>
      <c r="O28" s="5"/>
      <c r="P28" s="5"/>
      <c r="Q28" s="5"/>
      <c r="R28" s="5"/>
      <c r="S28" s="5"/>
      <c r="T28" s="5"/>
      <c r="U28" s="5"/>
      <c r="V28" s="5"/>
      <c r="W28" s="5"/>
      <c r="X28" s="5"/>
      <c r="Y28" s="5"/>
      <c r="Z28" s="5"/>
    </row>
    <row r="29" ht="8.25" customHeight="1">
      <c r="A29" s="5"/>
      <c r="B29" s="19"/>
      <c r="C29" s="19"/>
      <c r="D29" s="19"/>
      <c r="E29" s="19"/>
      <c r="F29" s="19"/>
      <c r="G29" s="19"/>
      <c r="H29" s="19"/>
      <c r="I29" s="19"/>
      <c r="J29" s="5"/>
      <c r="K29" s="5"/>
      <c r="L29" s="5"/>
      <c r="M29" s="5"/>
      <c r="N29" s="5"/>
      <c r="O29" s="5"/>
      <c r="P29" s="5"/>
      <c r="Q29" s="5"/>
      <c r="R29" s="5"/>
      <c r="S29" s="5"/>
      <c r="T29" s="5"/>
      <c r="U29" s="5"/>
      <c r="V29" s="5"/>
      <c r="W29" s="5"/>
      <c r="X29" s="5"/>
      <c r="Y29" s="5"/>
      <c r="Z29" s="5"/>
    </row>
    <row r="30">
      <c r="A30" s="5"/>
      <c r="B30" s="18" t="s">
        <v>12</v>
      </c>
      <c r="J30" s="5"/>
      <c r="K30" s="5"/>
      <c r="L30" s="5"/>
      <c r="M30" s="5"/>
      <c r="N30" s="5"/>
      <c r="O30" s="5"/>
      <c r="P30" s="5"/>
      <c r="Q30" s="5"/>
      <c r="R30" s="5"/>
      <c r="S30" s="5"/>
      <c r="T30" s="5"/>
      <c r="U30" s="5"/>
      <c r="V30" s="5"/>
      <c r="W30" s="5"/>
      <c r="X30" s="5"/>
      <c r="Y30" s="5"/>
      <c r="Z30" s="5"/>
    </row>
    <row r="31" ht="8.25" customHeight="1">
      <c r="A31" s="5"/>
      <c r="B31" s="19"/>
      <c r="C31" s="19"/>
      <c r="D31" s="19"/>
      <c r="E31" s="19"/>
      <c r="F31" s="19"/>
      <c r="G31" s="19"/>
      <c r="H31" s="19"/>
      <c r="I31" s="19"/>
      <c r="J31" s="5"/>
      <c r="K31" s="5"/>
      <c r="L31" s="5"/>
      <c r="M31" s="5"/>
      <c r="N31" s="5"/>
      <c r="O31" s="5"/>
      <c r="P31" s="5"/>
      <c r="Q31" s="5"/>
      <c r="R31" s="5"/>
      <c r="S31" s="5"/>
      <c r="T31" s="5"/>
      <c r="U31" s="5"/>
      <c r="V31" s="5"/>
      <c r="W31" s="5"/>
      <c r="X31" s="5"/>
      <c r="Y31" s="5"/>
      <c r="Z31" s="5"/>
    </row>
    <row r="32">
      <c r="A32" s="5"/>
      <c r="B32" s="18" t="s">
        <v>13</v>
      </c>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6" t="s">
        <v>14</v>
      </c>
      <c r="C34" s="5"/>
      <c r="D34" s="5"/>
      <c r="E34" s="5"/>
      <c r="F34" s="5"/>
      <c r="G34" s="5"/>
      <c r="H34" s="5"/>
      <c r="I34" s="5"/>
      <c r="J34" s="5"/>
      <c r="K34" s="5"/>
      <c r="L34" s="5"/>
      <c r="M34" s="5"/>
      <c r="N34" s="5"/>
      <c r="O34" s="5"/>
      <c r="P34" s="5"/>
      <c r="Q34" s="5"/>
      <c r="R34" s="5"/>
      <c r="S34" s="5"/>
      <c r="T34" s="5"/>
      <c r="U34" s="5"/>
      <c r="V34" s="5"/>
      <c r="W34" s="5"/>
      <c r="X34" s="5"/>
      <c r="Y34" s="5"/>
      <c r="Z34" s="5"/>
    </row>
    <row r="35">
      <c r="A35" s="5"/>
      <c r="B35" s="20"/>
      <c r="C35" s="21"/>
      <c r="D35" s="5"/>
      <c r="E35" s="5"/>
      <c r="F35" s="5"/>
      <c r="G35" s="5"/>
      <c r="H35" s="5"/>
      <c r="I35" s="5"/>
      <c r="J35" s="5"/>
      <c r="K35" s="5"/>
      <c r="L35" s="5"/>
      <c r="M35" s="5"/>
      <c r="N35" s="5"/>
      <c r="O35" s="5"/>
      <c r="P35" s="5"/>
      <c r="Q35" s="5"/>
      <c r="R35" s="5"/>
      <c r="S35" s="5"/>
      <c r="T35" s="5"/>
      <c r="U35" s="5"/>
      <c r="V35" s="5"/>
      <c r="W35" s="5"/>
      <c r="X35" s="5"/>
      <c r="Y35" s="5"/>
      <c r="Z35" s="5"/>
    </row>
    <row r="36">
      <c r="A36" s="9"/>
      <c r="B36" s="10" t="s">
        <v>15</v>
      </c>
      <c r="C36" s="22" t="s">
        <v>16</v>
      </c>
      <c r="D36" s="23"/>
      <c r="E36" s="23"/>
      <c r="F36" s="23"/>
      <c r="G36" s="23"/>
      <c r="H36" s="23"/>
      <c r="I36" s="23"/>
      <c r="J36" s="9"/>
      <c r="K36" s="9"/>
      <c r="L36" s="9"/>
      <c r="M36" s="9"/>
      <c r="N36" s="9"/>
      <c r="O36" s="9"/>
      <c r="P36" s="9"/>
      <c r="Q36" s="9"/>
      <c r="R36" s="9"/>
      <c r="S36" s="9"/>
      <c r="T36" s="9"/>
      <c r="U36" s="9"/>
      <c r="V36" s="9"/>
      <c r="W36" s="9"/>
      <c r="X36" s="9"/>
      <c r="Y36" s="9"/>
      <c r="Z36" s="9"/>
    </row>
    <row r="37">
      <c r="A37" s="9"/>
      <c r="B37" s="10" t="s">
        <v>17</v>
      </c>
      <c r="C37" s="24" t="s">
        <v>18</v>
      </c>
      <c r="J37" s="9"/>
      <c r="K37" s="9"/>
      <c r="L37" s="9"/>
      <c r="M37" s="9"/>
      <c r="N37" s="9"/>
      <c r="O37" s="9"/>
      <c r="P37" s="9"/>
      <c r="Q37" s="9"/>
      <c r="R37" s="9"/>
      <c r="S37" s="9"/>
      <c r="T37" s="9"/>
      <c r="U37" s="9"/>
      <c r="V37" s="9"/>
      <c r="W37" s="9"/>
      <c r="X37" s="9"/>
      <c r="Y37" s="9"/>
      <c r="Z37" s="9"/>
    </row>
    <row r="38">
      <c r="A38" s="9"/>
      <c r="B38" s="25"/>
      <c r="C38" s="23"/>
      <c r="D38" s="23"/>
      <c r="E38" s="23"/>
      <c r="F38" s="23"/>
      <c r="G38" s="23"/>
      <c r="H38" s="23"/>
      <c r="I38" s="23"/>
      <c r="J38" s="9"/>
      <c r="K38" s="9"/>
      <c r="L38" s="9"/>
      <c r="M38" s="9"/>
      <c r="N38" s="9"/>
      <c r="O38" s="9"/>
      <c r="P38" s="9"/>
      <c r="Q38" s="9"/>
      <c r="R38" s="9"/>
      <c r="S38" s="9"/>
      <c r="T38" s="9"/>
      <c r="U38" s="9"/>
      <c r="V38" s="9"/>
      <c r="W38" s="9"/>
      <c r="X38" s="9"/>
      <c r="Y38" s="9"/>
      <c r="Z38" s="9"/>
    </row>
    <row r="39">
      <c r="A39" s="9"/>
      <c r="B39" s="10" t="s">
        <v>15</v>
      </c>
      <c r="C39" s="22" t="s">
        <v>19</v>
      </c>
      <c r="J39" s="9"/>
      <c r="K39" s="9"/>
      <c r="L39" s="9"/>
      <c r="M39" s="9"/>
      <c r="N39" s="9"/>
      <c r="O39" s="9"/>
      <c r="P39" s="9"/>
      <c r="Q39" s="9"/>
      <c r="R39" s="9"/>
      <c r="S39" s="9"/>
      <c r="T39" s="9"/>
      <c r="U39" s="9"/>
      <c r="V39" s="9"/>
      <c r="W39" s="9"/>
      <c r="X39" s="9"/>
      <c r="Y39" s="9"/>
      <c r="Z39" s="9"/>
    </row>
    <row r="40">
      <c r="A40" s="9"/>
      <c r="B40" s="10" t="s">
        <v>17</v>
      </c>
      <c r="C40" s="24" t="s">
        <v>20</v>
      </c>
      <c r="J40" s="9"/>
      <c r="K40" s="9"/>
      <c r="L40" s="9"/>
      <c r="M40" s="9"/>
      <c r="N40" s="9"/>
      <c r="O40" s="9"/>
      <c r="P40" s="9"/>
      <c r="Q40" s="9"/>
      <c r="R40" s="9"/>
      <c r="S40" s="9"/>
      <c r="T40" s="9"/>
      <c r="U40" s="9"/>
      <c r="V40" s="9"/>
      <c r="W40" s="9"/>
      <c r="X40" s="9"/>
      <c r="Y40" s="9"/>
      <c r="Z40" s="9"/>
    </row>
    <row r="41">
      <c r="A41" s="9"/>
      <c r="B41" s="25"/>
      <c r="C41" s="23"/>
      <c r="D41" s="23"/>
      <c r="E41" s="23"/>
      <c r="F41" s="23"/>
      <c r="G41" s="23"/>
      <c r="H41" s="23"/>
      <c r="I41" s="23"/>
      <c r="J41" s="9"/>
      <c r="K41" s="9"/>
      <c r="L41" s="9"/>
      <c r="M41" s="9"/>
      <c r="N41" s="9"/>
      <c r="O41" s="9"/>
      <c r="P41" s="9"/>
      <c r="Q41" s="9"/>
      <c r="R41" s="9"/>
      <c r="S41" s="9"/>
      <c r="T41" s="9"/>
      <c r="U41" s="9"/>
      <c r="V41" s="9"/>
      <c r="W41" s="9"/>
      <c r="X41" s="9"/>
      <c r="Y41" s="9"/>
      <c r="Z41" s="9"/>
    </row>
    <row r="42">
      <c r="A42" s="9"/>
      <c r="B42" s="10" t="s">
        <v>15</v>
      </c>
      <c r="C42" s="22" t="s">
        <v>21</v>
      </c>
      <c r="D42" s="23"/>
      <c r="E42" s="23"/>
      <c r="F42" s="23"/>
      <c r="G42" s="23"/>
      <c r="H42" s="23"/>
      <c r="I42" s="23"/>
      <c r="J42" s="9"/>
      <c r="K42" s="9"/>
      <c r="L42" s="9"/>
      <c r="M42" s="9"/>
      <c r="N42" s="9"/>
      <c r="O42" s="9"/>
      <c r="P42" s="9"/>
      <c r="Q42" s="9"/>
      <c r="R42" s="9"/>
      <c r="S42" s="9"/>
      <c r="T42" s="9"/>
      <c r="U42" s="9"/>
      <c r="V42" s="9"/>
      <c r="W42" s="9"/>
      <c r="X42" s="9"/>
      <c r="Y42" s="9"/>
      <c r="Z42" s="9"/>
    </row>
    <row r="43">
      <c r="A43" s="9"/>
      <c r="B43" s="10" t="s">
        <v>17</v>
      </c>
      <c r="C43" s="24" t="s">
        <v>22</v>
      </c>
      <c r="J43" s="9"/>
      <c r="K43" s="9"/>
      <c r="L43" s="9"/>
      <c r="M43" s="9"/>
      <c r="N43" s="9"/>
      <c r="O43" s="9"/>
      <c r="P43" s="9"/>
      <c r="Q43" s="9"/>
      <c r="R43" s="9"/>
      <c r="S43" s="9"/>
      <c r="T43" s="9"/>
      <c r="U43" s="9"/>
      <c r="V43" s="9"/>
      <c r="W43" s="9"/>
      <c r="X43" s="9"/>
      <c r="Y43" s="9"/>
      <c r="Z43" s="9"/>
    </row>
    <row r="44">
      <c r="A44" s="9"/>
      <c r="B44" s="26"/>
      <c r="C44" s="27"/>
      <c r="D44" s="23"/>
      <c r="E44" s="23"/>
      <c r="F44" s="23"/>
      <c r="G44" s="23"/>
      <c r="H44" s="23"/>
      <c r="I44" s="23"/>
      <c r="J44" s="9"/>
      <c r="K44" s="9"/>
      <c r="L44" s="9"/>
      <c r="M44" s="9"/>
      <c r="N44" s="9"/>
      <c r="O44" s="9"/>
      <c r="P44" s="9"/>
      <c r="Q44" s="9"/>
      <c r="R44" s="9"/>
      <c r="S44" s="9"/>
      <c r="T44" s="9"/>
      <c r="U44" s="9"/>
      <c r="V44" s="9"/>
      <c r="W44" s="9"/>
      <c r="X44" s="9"/>
      <c r="Y44" s="9"/>
      <c r="Z44" s="9"/>
    </row>
    <row r="45">
      <c r="A45" s="9"/>
      <c r="B45" s="10" t="s">
        <v>15</v>
      </c>
      <c r="C45" s="28" t="s">
        <v>23</v>
      </c>
      <c r="J45" s="9"/>
      <c r="K45" s="9"/>
      <c r="L45" s="9"/>
      <c r="M45" s="9"/>
      <c r="N45" s="9"/>
      <c r="O45" s="9"/>
      <c r="P45" s="9"/>
      <c r="Q45" s="9"/>
      <c r="R45" s="9"/>
      <c r="S45" s="9"/>
      <c r="T45" s="9"/>
      <c r="U45" s="9"/>
      <c r="V45" s="9"/>
      <c r="W45" s="9"/>
      <c r="X45" s="9"/>
      <c r="Y45" s="9"/>
      <c r="Z45" s="9"/>
    </row>
    <row r="46">
      <c r="A46" s="9"/>
      <c r="B46" s="10" t="s">
        <v>17</v>
      </c>
      <c r="C46" s="24" t="s">
        <v>24</v>
      </c>
      <c r="J46" s="9"/>
      <c r="K46" s="9"/>
      <c r="L46" s="9"/>
      <c r="M46" s="9"/>
      <c r="N46" s="9"/>
      <c r="O46" s="9"/>
      <c r="P46" s="9"/>
      <c r="Q46" s="9"/>
      <c r="R46" s="9"/>
      <c r="S46" s="9"/>
      <c r="T46" s="9"/>
      <c r="U46" s="9"/>
      <c r="V46" s="9"/>
      <c r="W46" s="9"/>
      <c r="X46" s="9"/>
      <c r="Y46" s="9"/>
      <c r="Z46" s="9"/>
    </row>
    <row r="47">
      <c r="A47" s="9"/>
      <c r="B47" s="23"/>
      <c r="C47" s="23"/>
      <c r="D47" s="23"/>
      <c r="E47" s="23"/>
      <c r="F47" s="23"/>
      <c r="G47" s="23"/>
      <c r="H47" s="23"/>
      <c r="I47" s="23"/>
      <c r="J47" s="9"/>
      <c r="K47" s="9"/>
      <c r="L47" s="9"/>
      <c r="M47" s="9"/>
      <c r="N47" s="9"/>
      <c r="O47" s="9"/>
      <c r="P47" s="9"/>
      <c r="Q47" s="9"/>
      <c r="R47" s="9"/>
      <c r="S47" s="9"/>
      <c r="T47" s="9"/>
      <c r="U47" s="9"/>
      <c r="V47" s="9"/>
      <c r="W47" s="9"/>
      <c r="X47" s="9"/>
      <c r="Y47" s="9"/>
      <c r="Z47" s="9"/>
    </row>
    <row r="48">
      <c r="A48" s="5"/>
      <c r="B48" s="6" t="s">
        <v>25</v>
      </c>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29"/>
      <c r="D49" s="29"/>
      <c r="E49" s="29"/>
      <c r="F49" s="29"/>
      <c r="G49" s="29"/>
      <c r="H49" s="29"/>
      <c r="I49" s="29"/>
      <c r="J49" s="5"/>
      <c r="K49" s="5"/>
      <c r="L49" s="5"/>
      <c r="M49" s="5"/>
      <c r="N49" s="5"/>
      <c r="O49" s="5"/>
      <c r="P49" s="5"/>
      <c r="Q49" s="5"/>
      <c r="R49" s="5"/>
      <c r="S49" s="5"/>
      <c r="T49" s="5"/>
      <c r="U49" s="5"/>
      <c r="V49" s="5"/>
      <c r="W49" s="5"/>
      <c r="X49" s="5"/>
      <c r="Y49" s="5"/>
      <c r="Z49" s="5"/>
    </row>
    <row r="50">
      <c r="A50" s="9"/>
      <c r="B50" s="10" t="s">
        <v>15</v>
      </c>
      <c r="C50" s="22" t="s">
        <v>26</v>
      </c>
      <c r="J50" s="9"/>
      <c r="K50" s="9"/>
      <c r="L50" s="9"/>
      <c r="M50" s="9"/>
      <c r="N50" s="9"/>
      <c r="O50" s="9"/>
      <c r="P50" s="9"/>
      <c r="Q50" s="9"/>
      <c r="R50" s="9"/>
      <c r="S50" s="9"/>
      <c r="T50" s="9"/>
      <c r="U50" s="9"/>
      <c r="V50" s="9"/>
      <c r="W50" s="9"/>
      <c r="X50" s="9"/>
      <c r="Y50" s="9"/>
      <c r="Z50" s="9"/>
    </row>
    <row r="51">
      <c r="A51" s="9"/>
      <c r="B51" s="10" t="s">
        <v>17</v>
      </c>
      <c r="C51" s="24" t="s">
        <v>27</v>
      </c>
      <c r="J51" s="9"/>
      <c r="K51" s="9"/>
      <c r="L51" s="9"/>
      <c r="M51" s="9"/>
      <c r="N51" s="9"/>
      <c r="O51" s="9"/>
      <c r="P51" s="9"/>
      <c r="Q51" s="9"/>
      <c r="R51" s="9"/>
      <c r="S51" s="9"/>
      <c r="T51" s="9"/>
      <c r="U51" s="9"/>
      <c r="V51" s="9"/>
      <c r="W51" s="9"/>
      <c r="X51" s="9"/>
      <c r="Y51" s="9"/>
      <c r="Z51" s="9"/>
    </row>
    <row r="52">
      <c r="A52" s="9"/>
      <c r="B52" s="9"/>
      <c r="C52" s="23"/>
      <c r="D52" s="9"/>
      <c r="E52" s="9"/>
      <c r="F52" s="9"/>
      <c r="G52" s="9"/>
      <c r="H52" s="9"/>
      <c r="I52" s="9"/>
      <c r="J52" s="9"/>
      <c r="K52" s="9"/>
      <c r="L52" s="9"/>
      <c r="M52" s="9"/>
      <c r="N52" s="9"/>
      <c r="O52" s="9"/>
      <c r="P52" s="9"/>
      <c r="Q52" s="9"/>
      <c r="R52" s="9"/>
      <c r="S52" s="9"/>
      <c r="T52" s="9"/>
      <c r="U52" s="9"/>
      <c r="V52" s="9"/>
      <c r="W52" s="9"/>
      <c r="X52" s="9"/>
      <c r="Y52" s="9"/>
      <c r="Z52" s="9"/>
    </row>
    <row r="53">
      <c r="A53" s="9"/>
      <c r="B53" s="10" t="s">
        <v>15</v>
      </c>
      <c r="C53" s="28" t="s">
        <v>28</v>
      </c>
      <c r="J53" s="9"/>
      <c r="K53" s="9"/>
      <c r="L53" s="9"/>
      <c r="M53" s="9"/>
      <c r="N53" s="9"/>
      <c r="O53" s="9"/>
      <c r="P53" s="9"/>
      <c r="Q53" s="9"/>
      <c r="R53" s="9"/>
      <c r="S53" s="9"/>
      <c r="T53" s="9"/>
      <c r="U53" s="9"/>
      <c r="V53" s="9"/>
      <c r="W53" s="9"/>
      <c r="X53" s="9"/>
      <c r="Y53" s="9"/>
      <c r="Z53" s="9"/>
    </row>
    <row r="54">
      <c r="A54" s="9"/>
      <c r="B54" s="10" t="s">
        <v>17</v>
      </c>
      <c r="C54" s="24" t="s">
        <v>29</v>
      </c>
      <c r="J54" s="9"/>
      <c r="K54" s="9"/>
      <c r="L54" s="9"/>
      <c r="M54" s="9"/>
      <c r="N54" s="9"/>
      <c r="O54" s="9"/>
      <c r="P54" s="9"/>
      <c r="Q54" s="9"/>
      <c r="R54" s="9"/>
      <c r="S54" s="9"/>
      <c r="T54" s="9"/>
      <c r="U54" s="9"/>
      <c r="V54" s="9"/>
      <c r="W54" s="9"/>
      <c r="X54" s="9"/>
      <c r="Y54" s="9"/>
      <c r="Z54" s="9"/>
    </row>
    <row r="55">
      <c r="A55" s="9"/>
      <c r="B55" s="9"/>
      <c r="C55" s="23"/>
      <c r="D55" s="9"/>
      <c r="E55" s="9"/>
      <c r="F55" s="9"/>
      <c r="G55" s="9"/>
      <c r="H55" s="9"/>
      <c r="I55" s="9"/>
      <c r="J55" s="9"/>
      <c r="K55" s="9"/>
      <c r="L55" s="9"/>
      <c r="M55" s="9"/>
      <c r="N55" s="9"/>
      <c r="O55" s="9"/>
      <c r="P55" s="9"/>
      <c r="Q55" s="9"/>
      <c r="R55" s="9"/>
      <c r="S55" s="9"/>
      <c r="T55" s="9"/>
      <c r="U55" s="9"/>
      <c r="V55" s="9"/>
      <c r="W55" s="9"/>
      <c r="X55" s="9"/>
      <c r="Y55" s="9"/>
      <c r="Z55" s="9"/>
    </row>
    <row r="56">
      <c r="A56" s="9"/>
      <c r="B56" s="10" t="s">
        <v>15</v>
      </c>
      <c r="C56" s="28" t="s">
        <v>30</v>
      </c>
      <c r="J56" s="9"/>
      <c r="K56" s="9"/>
      <c r="L56" s="9"/>
      <c r="M56" s="9"/>
      <c r="N56" s="9"/>
      <c r="O56" s="9"/>
      <c r="P56" s="9"/>
      <c r="Q56" s="9"/>
      <c r="R56" s="9"/>
      <c r="S56" s="9"/>
      <c r="T56" s="9"/>
      <c r="U56" s="9"/>
      <c r="V56" s="9"/>
      <c r="W56" s="9"/>
      <c r="X56" s="9"/>
      <c r="Y56" s="9"/>
      <c r="Z56" s="9"/>
    </row>
    <row r="57">
      <c r="A57" s="9"/>
      <c r="B57" s="10" t="s">
        <v>17</v>
      </c>
      <c r="C57" s="24" t="s">
        <v>31</v>
      </c>
      <c r="J57" s="9"/>
      <c r="K57" s="9"/>
      <c r="L57" s="9"/>
      <c r="M57" s="9"/>
      <c r="N57" s="9"/>
      <c r="O57" s="9"/>
      <c r="P57" s="9"/>
      <c r="Q57" s="9"/>
      <c r="R57" s="9"/>
      <c r="S57" s="9"/>
      <c r="T57" s="9"/>
      <c r="U57" s="9"/>
      <c r="V57" s="9"/>
      <c r="W57" s="9"/>
      <c r="X57" s="9"/>
      <c r="Y57" s="9"/>
      <c r="Z57" s="9"/>
    </row>
    <row r="58">
      <c r="A58" s="9"/>
      <c r="B58" s="9"/>
      <c r="C58" s="23"/>
      <c r="D58" s="9"/>
      <c r="E58" s="9"/>
      <c r="F58" s="9"/>
      <c r="G58" s="9"/>
      <c r="H58" s="9"/>
      <c r="I58" s="9"/>
      <c r="J58" s="9"/>
      <c r="K58" s="9"/>
      <c r="L58" s="9"/>
      <c r="M58" s="9"/>
      <c r="N58" s="9"/>
      <c r="O58" s="9"/>
      <c r="P58" s="9"/>
      <c r="Q58" s="9"/>
      <c r="R58" s="9"/>
      <c r="S58" s="9"/>
      <c r="T58" s="9"/>
      <c r="U58" s="9"/>
      <c r="V58" s="9"/>
      <c r="W58" s="9"/>
      <c r="X58" s="9"/>
      <c r="Y58" s="9"/>
      <c r="Z58" s="9"/>
    </row>
    <row r="59">
      <c r="A59" s="9"/>
      <c r="B59" s="10" t="s">
        <v>15</v>
      </c>
      <c r="C59" s="28" t="s">
        <v>32</v>
      </c>
      <c r="J59" s="9"/>
      <c r="K59" s="9"/>
      <c r="L59" s="9"/>
      <c r="M59" s="9"/>
      <c r="N59" s="9"/>
      <c r="O59" s="9"/>
      <c r="P59" s="9"/>
      <c r="Q59" s="9"/>
      <c r="R59" s="9"/>
      <c r="S59" s="9"/>
      <c r="T59" s="9"/>
      <c r="U59" s="9"/>
      <c r="V59" s="9"/>
      <c r="W59" s="9"/>
      <c r="X59" s="9"/>
      <c r="Y59" s="9"/>
      <c r="Z59" s="9"/>
    </row>
    <row r="60">
      <c r="A60" s="9"/>
      <c r="B60" s="10" t="s">
        <v>17</v>
      </c>
      <c r="C60" s="24" t="s">
        <v>33</v>
      </c>
      <c r="J60" s="9"/>
      <c r="K60" s="9"/>
      <c r="L60" s="9"/>
      <c r="M60" s="9"/>
      <c r="N60" s="9"/>
      <c r="O60" s="9"/>
      <c r="P60" s="9"/>
      <c r="Q60" s="9"/>
      <c r="R60" s="9"/>
      <c r="S60" s="9"/>
      <c r="T60" s="9"/>
      <c r="U60" s="9"/>
      <c r="V60" s="9"/>
      <c r="W60" s="9"/>
      <c r="X60" s="9"/>
      <c r="Y60" s="9"/>
      <c r="Z60" s="9"/>
    </row>
    <row r="61">
      <c r="A61" s="9"/>
      <c r="B61" s="9"/>
      <c r="C61" s="23"/>
      <c r="D61" s="9"/>
      <c r="E61" s="9"/>
      <c r="F61" s="9"/>
      <c r="G61" s="9"/>
      <c r="H61" s="9"/>
      <c r="I61" s="9"/>
      <c r="J61" s="9"/>
      <c r="K61" s="9"/>
      <c r="L61" s="9"/>
      <c r="M61" s="9"/>
      <c r="N61" s="9"/>
      <c r="O61" s="9"/>
      <c r="P61" s="9"/>
      <c r="Q61" s="9"/>
      <c r="R61" s="9"/>
      <c r="S61" s="9"/>
      <c r="T61" s="9"/>
      <c r="U61" s="9"/>
      <c r="V61" s="9"/>
      <c r="W61" s="9"/>
      <c r="X61" s="9"/>
      <c r="Y61" s="9"/>
      <c r="Z61" s="9"/>
    </row>
    <row r="62">
      <c r="A62" s="5"/>
      <c r="B62" s="6" t="s">
        <v>34</v>
      </c>
      <c r="C62" s="19"/>
      <c r="D62" s="5"/>
      <c r="E62" s="5"/>
      <c r="F62" s="5"/>
      <c r="G62" s="5"/>
      <c r="H62" s="5"/>
      <c r="I62" s="5"/>
      <c r="J62" s="5"/>
      <c r="K62" s="5"/>
      <c r="L62" s="5"/>
      <c r="M62" s="5"/>
      <c r="N62" s="5"/>
      <c r="O62" s="5"/>
      <c r="P62" s="5"/>
      <c r="Q62" s="5"/>
      <c r="R62" s="5"/>
      <c r="S62" s="5"/>
      <c r="T62" s="5"/>
      <c r="U62" s="5"/>
      <c r="V62" s="5"/>
      <c r="W62" s="5"/>
      <c r="X62" s="5"/>
      <c r="Y62" s="5"/>
      <c r="Z62" s="5"/>
    </row>
    <row r="63">
      <c r="A63" s="5"/>
      <c r="B63" s="5"/>
      <c r="C63" s="19"/>
      <c r="D63" s="5"/>
      <c r="E63" s="5"/>
      <c r="F63" s="5"/>
      <c r="G63" s="5"/>
      <c r="H63" s="5"/>
      <c r="I63" s="5"/>
      <c r="J63" s="5"/>
      <c r="K63" s="5"/>
      <c r="L63" s="5"/>
      <c r="M63" s="5"/>
      <c r="N63" s="5"/>
      <c r="O63" s="5"/>
      <c r="P63" s="5"/>
      <c r="Q63" s="5"/>
      <c r="R63" s="5"/>
      <c r="S63" s="5"/>
      <c r="T63" s="5"/>
      <c r="U63" s="5"/>
      <c r="V63" s="5"/>
      <c r="W63" s="5"/>
      <c r="X63" s="5"/>
      <c r="Y63" s="5"/>
      <c r="Z63" s="5"/>
    </row>
    <row r="64">
      <c r="A64" s="5"/>
      <c r="B64" s="10" t="s">
        <v>15</v>
      </c>
      <c r="C64" s="22" t="s">
        <v>35</v>
      </c>
      <c r="D64" s="5"/>
      <c r="E64" s="5"/>
      <c r="F64" s="5"/>
      <c r="G64" s="5"/>
      <c r="H64" s="5"/>
      <c r="I64" s="5"/>
      <c r="J64" s="5"/>
      <c r="K64" s="5"/>
      <c r="L64" s="5"/>
      <c r="M64" s="5"/>
      <c r="N64" s="5"/>
      <c r="O64" s="5"/>
      <c r="P64" s="5"/>
      <c r="Q64" s="5"/>
      <c r="R64" s="5"/>
      <c r="S64" s="5"/>
      <c r="T64" s="5"/>
      <c r="U64" s="5"/>
      <c r="V64" s="5"/>
      <c r="W64" s="5"/>
      <c r="X64" s="5"/>
      <c r="Y64" s="5"/>
      <c r="Z64" s="5"/>
    </row>
    <row r="65">
      <c r="A65" s="5"/>
      <c r="B65" s="10" t="s">
        <v>17</v>
      </c>
      <c r="C65" s="24" t="s">
        <v>36</v>
      </c>
      <c r="J65" s="5"/>
      <c r="K65" s="5"/>
      <c r="L65" s="5"/>
      <c r="M65" s="5"/>
      <c r="N65" s="5"/>
      <c r="O65" s="5"/>
      <c r="P65" s="5"/>
      <c r="Q65" s="5"/>
      <c r="R65" s="5"/>
      <c r="S65" s="5"/>
      <c r="T65" s="5"/>
      <c r="U65" s="5"/>
      <c r="V65" s="5"/>
      <c r="W65" s="5"/>
      <c r="X65" s="5"/>
      <c r="Y65" s="5"/>
      <c r="Z65" s="5"/>
    </row>
    <row r="66">
      <c r="A66" s="5"/>
      <c r="B66" s="5"/>
      <c r="C66" s="23"/>
      <c r="D66" s="5"/>
      <c r="E66" s="5"/>
      <c r="F66" s="5"/>
      <c r="G66" s="5"/>
      <c r="H66" s="5"/>
      <c r="I66" s="5"/>
      <c r="J66" s="5"/>
      <c r="K66" s="5"/>
      <c r="L66" s="5"/>
      <c r="M66" s="5"/>
      <c r="N66" s="5"/>
      <c r="O66" s="5"/>
      <c r="P66" s="5"/>
      <c r="Q66" s="5"/>
      <c r="R66" s="5"/>
      <c r="S66" s="5"/>
      <c r="T66" s="5"/>
      <c r="U66" s="5"/>
      <c r="V66" s="5"/>
      <c r="W66" s="5"/>
      <c r="X66" s="5"/>
      <c r="Y66" s="5"/>
      <c r="Z66" s="5"/>
    </row>
    <row r="67">
      <c r="A67" s="5"/>
      <c r="B67" s="10" t="s">
        <v>15</v>
      </c>
      <c r="C67" s="22" t="s">
        <v>37</v>
      </c>
      <c r="D67" s="5"/>
      <c r="E67" s="5"/>
      <c r="F67" s="5"/>
      <c r="G67" s="5"/>
      <c r="H67" s="5"/>
      <c r="I67" s="5"/>
      <c r="J67" s="5"/>
      <c r="K67" s="5"/>
      <c r="L67" s="5"/>
      <c r="M67" s="5"/>
      <c r="N67" s="5"/>
      <c r="O67" s="5"/>
      <c r="P67" s="5"/>
      <c r="Q67" s="5"/>
      <c r="R67" s="5"/>
      <c r="S67" s="5"/>
      <c r="T67" s="5"/>
      <c r="U67" s="5"/>
      <c r="V67" s="5"/>
      <c r="W67" s="5"/>
      <c r="X67" s="5"/>
      <c r="Y67" s="5"/>
      <c r="Z67" s="5"/>
    </row>
    <row r="68">
      <c r="A68" s="5"/>
      <c r="B68" s="10" t="s">
        <v>17</v>
      </c>
      <c r="C68" s="24" t="s">
        <v>38</v>
      </c>
      <c r="J68" s="5"/>
      <c r="K68" s="5"/>
      <c r="L68" s="5"/>
      <c r="M68" s="5"/>
      <c r="N68" s="5"/>
      <c r="O68" s="5"/>
      <c r="P68" s="5"/>
      <c r="Q68" s="5"/>
      <c r="R68" s="5"/>
      <c r="S68" s="5"/>
      <c r="T68" s="5"/>
      <c r="U68" s="5"/>
      <c r="V68" s="5"/>
      <c r="W68" s="5"/>
      <c r="X68" s="5"/>
      <c r="Y68" s="5"/>
      <c r="Z68" s="5"/>
    </row>
    <row r="69">
      <c r="A69" s="5"/>
      <c r="B69" s="5"/>
      <c r="C69" s="23"/>
      <c r="D69" s="5"/>
      <c r="E69" s="5"/>
      <c r="F69" s="5"/>
      <c r="G69" s="5"/>
      <c r="H69" s="5"/>
      <c r="I69" s="5"/>
      <c r="J69" s="5"/>
      <c r="K69" s="5"/>
      <c r="L69" s="5"/>
      <c r="M69" s="5"/>
      <c r="N69" s="5"/>
      <c r="O69" s="5"/>
      <c r="P69" s="5"/>
      <c r="Q69" s="5"/>
      <c r="R69" s="5"/>
      <c r="S69" s="5"/>
      <c r="T69" s="5"/>
      <c r="U69" s="5"/>
      <c r="V69" s="5"/>
      <c r="W69" s="5"/>
      <c r="X69" s="5"/>
      <c r="Y69" s="5"/>
      <c r="Z69" s="5"/>
    </row>
    <row r="70">
      <c r="A70" s="5"/>
      <c r="B70" s="10" t="s">
        <v>15</v>
      </c>
      <c r="C70" s="22" t="s">
        <v>39</v>
      </c>
      <c r="D70" s="5"/>
      <c r="E70" s="5"/>
      <c r="F70" s="5"/>
      <c r="G70" s="5"/>
      <c r="H70" s="5"/>
      <c r="I70" s="5"/>
      <c r="J70" s="5"/>
      <c r="K70" s="5"/>
      <c r="L70" s="5"/>
      <c r="M70" s="5"/>
      <c r="N70" s="5"/>
      <c r="O70" s="5"/>
      <c r="P70" s="5"/>
      <c r="Q70" s="5"/>
      <c r="R70" s="5"/>
      <c r="S70" s="5"/>
      <c r="T70" s="5"/>
      <c r="U70" s="5"/>
      <c r="V70" s="5"/>
      <c r="W70" s="5"/>
      <c r="X70" s="5"/>
      <c r="Y70" s="5"/>
      <c r="Z70" s="5"/>
    </row>
    <row r="71">
      <c r="A71" s="5"/>
      <c r="B71" s="10" t="s">
        <v>17</v>
      </c>
      <c r="C71" s="24" t="s">
        <v>40</v>
      </c>
      <c r="J71" s="5"/>
      <c r="K71" s="5"/>
      <c r="L71" s="5"/>
      <c r="M71" s="5"/>
      <c r="N71" s="5"/>
      <c r="O71" s="5"/>
      <c r="P71" s="5"/>
      <c r="Q71" s="5"/>
      <c r="R71" s="5"/>
      <c r="S71" s="5"/>
      <c r="T71" s="5"/>
      <c r="U71" s="5"/>
      <c r="V71" s="5"/>
      <c r="W71" s="5"/>
      <c r="X71" s="5"/>
      <c r="Y71" s="5"/>
      <c r="Z71" s="5"/>
    </row>
    <row r="72">
      <c r="A72" s="5"/>
      <c r="B72" s="5"/>
      <c r="C72" s="23"/>
      <c r="D72" s="5"/>
      <c r="E72" s="5"/>
      <c r="F72" s="5"/>
      <c r="G72" s="5"/>
      <c r="H72" s="5"/>
      <c r="I72" s="5"/>
      <c r="J72" s="5"/>
      <c r="K72" s="5"/>
      <c r="L72" s="5"/>
      <c r="M72" s="5"/>
      <c r="N72" s="5"/>
      <c r="O72" s="5"/>
      <c r="P72" s="5"/>
      <c r="Q72" s="5"/>
      <c r="R72" s="5"/>
      <c r="S72" s="5"/>
      <c r="T72" s="5"/>
      <c r="U72" s="5"/>
      <c r="V72" s="5"/>
      <c r="W72" s="5"/>
      <c r="X72" s="5"/>
      <c r="Y72" s="5"/>
      <c r="Z72" s="5"/>
    </row>
    <row r="73">
      <c r="A73" s="5"/>
      <c r="B73" s="10" t="s">
        <v>15</v>
      </c>
      <c r="C73" s="22" t="s">
        <v>41</v>
      </c>
      <c r="D73" s="5"/>
      <c r="E73" s="5"/>
      <c r="F73" s="5"/>
      <c r="G73" s="5"/>
      <c r="H73" s="5"/>
      <c r="I73" s="5"/>
      <c r="J73" s="5"/>
      <c r="K73" s="5"/>
      <c r="L73" s="5"/>
      <c r="M73" s="5"/>
      <c r="N73" s="5"/>
      <c r="O73" s="5"/>
      <c r="P73" s="5"/>
      <c r="Q73" s="5"/>
      <c r="R73" s="5"/>
      <c r="S73" s="5"/>
      <c r="T73" s="5"/>
      <c r="U73" s="5"/>
      <c r="V73" s="5"/>
      <c r="W73" s="5"/>
      <c r="X73" s="5"/>
      <c r="Y73" s="5"/>
      <c r="Z73" s="5"/>
    </row>
    <row r="74">
      <c r="A74" s="5"/>
      <c r="B74" s="10" t="s">
        <v>17</v>
      </c>
      <c r="C74" s="24" t="s">
        <v>42</v>
      </c>
      <c r="J74" s="5"/>
      <c r="K74" s="5"/>
      <c r="L74" s="5"/>
      <c r="M74" s="5"/>
      <c r="N74" s="5"/>
      <c r="O74" s="5"/>
      <c r="P74" s="5"/>
      <c r="Q74" s="5"/>
      <c r="R74" s="5"/>
      <c r="S74" s="5"/>
      <c r="T74" s="5"/>
      <c r="U74" s="5"/>
      <c r="V74" s="5"/>
      <c r="W74" s="5"/>
      <c r="X74" s="5"/>
      <c r="Y74" s="5"/>
      <c r="Z74" s="5"/>
    </row>
    <row r="75">
      <c r="A75" s="5"/>
      <c r="B75" s="5"/>
      <c r="C75" s="23"/>
      <c r="D75" s="5"/>
      <c r="E75" s="5"/>
      <c r="F75" s="5"/>
      <c r="G75" s="5"/>
      <c r="H75" s="5"/>
      <c r="I75" s="5"/>
      <c r="J75" s="5"/>
      <c r="K75" s="5"/>
      <c r="L75" s="5"/>
      <c r="M75" s="5"/>
      <c r="N75" s="5"/>
      <c r="O75" s="5"/>
      <c r="P75" s="5"/>
      <c r="Q75" s="5"/>
      <c r="R75" s="5"/>
      <c r="S75" s="5"/>
      <c r="T75" s="5"/>
      <c r="U75" s="5"/>
      <c r="V75" s="5"/>
      <c r="W75" s="5"/>
      <c r="X75" s="5"/>
      <c r="Y75" s="5"/>
      <c r="Z75" s="5"/>
    </row>
    <row r="76">
      <c r="A76" s="5"/>
      <c r="B76" s="10" t="s">
        <v>15</v>
      </c>
      <c r="C76" s="22" t="s">
        <v>43</v>
      </c>
      <c r="D76" s="5"/>
      <c r="E76" s="5"/>
      <c r="F76" s="5"/>
      <c r="G76" s="5"/>
      <c r="H76" s="5"/>
      <c r="I76" s="5"/>
      <c r="J76" s="5"/>
      <c r="K76" s="5"/>
      <c r="L76" s="5"/>
      <c r="M76" s="5"/>
      <c r="N76" s="5"/>
      <c r="O76" s="5"/>
      <c r="P76" s="5"/>
      <c r="Q76" s="5"/>
      <c r="R76" s="5"/>
      <c r="S76" s="5"/>
      <c r="T76" s="5"/>
      <c r="U76" s="5"/>
      <c r="V76" s="5"/>
      <c r="W76" s="5"/>
      <c r="X76" s="5"/>
      <c r="Y76" s="5"/>
      <c r="Z76" s="5"/>
    </row>
    <row r="77">
      <c r="A77" s="5"/>
      <c r="B77" s="10" t="s">
        <v>17</v>
      </c>
      <c r="C77" s="24" t="s">
        <v>44</v>
      </c>
      <c r="J77" s="5"/>
      <c r="K77" s="5"/>
      <c r="L77" s="5"/>
      <c r="M77" s="5"/>
      <c r="N77" s="5"/>
      <c r="O77" s="5"/>
      <c r="P77" s="5"/>
      <c r="Q77" s="5"/>
      <c r="R77" s="5"/>
      <c r="S77" s="5"/>
      <c r="T77" s="5"/>
      <c r="U77" s="5"/>
      <c r="V77" s="5"/>
      <c r="W77" s="5"/>
      <c r="X77" s="5"/>
      <c r="Y77" s="5"/>
      <c r="Z77" s="5"/>
    </row>
    <row r="78">
      <c r="A78" s="5"/>
      <c r="B78" s="5"/>
      <c r="C78" s="23"/>
      <c r="D78" s="5"/>
      <c r="E78" s="5"/>
      <c r="F78" s="5"/>
      <c r="G78" s="5"/>
      <c r="H78" s="5"/>
      <c r="I78" s="5"/>
      <c r="J78" s="5"/>
      <c r="K78" s="5"/>
      <c r="L78" s="5"/>
      <c r="M78" s="5"/>
      <c r="N78" s="5"/>
      <c r="O78" s="5"/>
      <c r="P78" s="5"/>
      <c r="Q78" s="5"/>
      <c r="R78" s="5"/>
      <c r="S78" s="5"/>
      <c r="T78" s="5"/>
      <c r="U78" s="5"/>
      <c r="V78" s="5"/>
      <c r="W78" s="5"/>
      <c r="X78" s="5"/>
      <c r="Y78" s="5"/>
      <c r="Z78" s="5"/>
    </row>
    <row r="79">
      <c r="A79" s="5"/>
      <c r="B79" s="10" t="s">
        <v>15</v>
      </c>
      <c r="C79" s="22" t="s">
        <v>45</v>
      </c>
      <c r="D79" s="5"/>
      <c r="E79" s="5"/>
      <c r="F79" s="5"/>
      <c r="G79" s="5"/>
      <c r="H79" s="5"/>
      <c r="I79" s="5"/>
      <c r="J79" s="5"/>
      <c r="K79" s="5"/>
      <c r="L79" s="5"/>
      <c r="M79" s="5"/>
      <c r="N79" s="5"/>
      <c r="O79" s="5"/>
      <c r="P79" s="5"/>
      <c r="Q79" s="5"/>
      <c r="R79" s="5"/>
      <c r="S79" s="5"/>
      <c r="T79" s="5"/>
      <c r="U79" s="5"/>
      <c r="V79" s="5"/>
      <c r="W79" s="5"/>
      <c r="X79" s="5"/>
      <c r="Y79" s="5"/>
      <c r="Z79" s="5"/>
    </row>
    <row r="80">
      <c r="A80" s="5"/>
      <c r="B80" s="10" t="s">
        <v>17</v>
      </c>
      <c r="C80" s="24" t="s">
        <v>46</v>
      </c>
      <c r="J80" s="5"/>
      <c r="K80" s="5"/>
      <c r="L80" s="5"/>
      <c r="M80" s="5"/>
      <c r="N80" s="5"/>
      <c r="O80" s="5"/>
      <c r="P80" s="5"/>
      <c r="Q80" s="5"/>
      <c r="R80" s="5"/>
      <c r="S80" s="5"/>
      <c r="T80" s="5"/>
      <c r="U80" s="5"/>
      <c r="V80" s="5"/>
      <c r="W80" s="5"/>
      <c r="X80" s="5"/>
      <c r="Y80" s="5"/>
      <c r="Z80" s="5"/>
    </row>
    <row r="81">
      <c r="A81" s="5"/>
      <c r="B81" s="5"/>
      <c r="C81" s="23"/>
      <c r="D81" s="5"/>
      <c r="E81" s="5"/>
      <c r="F81" s="5"/>
      <c r="G81" s="5"/>
      <c r="H81" s="5"/>
      <c r="I81" s="5"/>
      <c r="J81" s="5"/>
      <c r="K81" s="5"/>
      <c r="L81" s="5"/>
      <c r="M81" s="5"/>
      <c r="N81" s="5"/>
      <c r="O81" s="5"/>
      <c r="P81" s="5"/>
      <c r="Q81" s="5"/>
      <c r="R81" s="5"/>
      <c r="S81" s="5"/>
      <c r="T81" s="5"/>
      <c r="U81" s="5"/>
      <c r="V81" s="5"/>
      <c r="W81" s="5"/>
      <c r="X81" s="5"/>
      <c r="Y81" s="5"/>
      <c r="Z81" s="5"/>
    </row>
    <row r="82">
      <c r="A82" s="5"/>
      <c r="B82" s="10" t="s">
        <v>15</v>
      </c>
      <c r="C82" s="22" t="s">
        <v>47</v>
      </c>
      <c r="D82" s="5"/>
      <c r="E82" s="5"/>
      <c r="F82" s="5"/>
      <c r="G82" s="5"/>
      <c r="H82" s="5"/>
      <c r="I82" s="5"/>
      <c r="J82" s="5"/>
      <c r="K82" s="5"/>
      <c r="L82" s="5"/>
      <c r="M82" s="5"/>
      <c r="N82" s="5"/>
      <c r="O82" s="5"/>
      <c r="P82" s="5"/>
      <c r="Q82" s="5"/>
      <c r="R82" s="5"/>
      <c r="S82" s="5"/>
      <c r="T82" s="5"/>
      <c r="U82" s="5"/>
      <c r="V82" s="5"/>
      <c r="W82" s="5"/>
      <c r="X82" s="5"/>
      <c r="Y82" s="5"/>
      <c r="Z82" s="5"/>
    </row>
    <row r="83">
      <c r="A83" s="5"/>
      <c r="B83" s="10" t="s">
        <v>17</v>
      </c>
      <c r="C83" s="24" t="s">
        <v>48</v>
      </c>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6" t="s">
        <v>49</v>
      </c>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23"/>
      <c r="D87" s="5"/>
      <c r="E87" s="5"/>
      <c r="F87" s="5"/>
      <c r="G87" s="5"/>
      <c r="H87" s="5"/>
      <c r="I87" s="5"/>
      <c r="J87" s="5"/>
      <c r="K87" s="5"/>
      <c r="L87" s="5"/>
      <c r="M87" s="5"/>
      <c r="N87" s="5"/>
      <c r="O87" s="5"/>
      <c r="P87" s="5"/>
      <c r="Q87" s="5"/>
      <c r="R87" s="5"/>
      <c r="S87" s="5"/>
      <c r="T87" s="5"/>
      <c r="U87" s="5"/>
      <c r="V87" s="5"/>
      <c r="W87" s="5"/>
      <c r="X87" s="5"/>
      <c r="Y87" s="5"/>
      <c r="Z87" s="5"/>
    </row>
    <row r="88">
      <c r="A88" s="5"/>
      <c r="B88" s="10" t="s">
        <v>15</v>
      </c>
      <c r="C88" s="22" t="s">
        <v>50</v>
      </c>
      <c r="D88" s="5"/>
      <c r="E88" s="5"/>
      <c r="F88" s="5"/>
      <c r="G88" s="5"/>
      <c r="H88" s="5"/>
      <c r="I88" s="5"/>
      <c r="J88" s="5"/>
      <c r="K88" s="5"/>
      <c r="L88" s="5"/>
      <c r="M88" s="5"/>
      <c r="N88" s="5"/>
      <c r="O88" s="5"/>
      <c r="P88" s="5"/>
      <c r="Q88" s="5"/>
      <c r="R88" s="5"/>
      <c r="S88" s="5"/>
      <c r="T88" s="5"/>
      <c r="U88" s="5"/>
      <c r="V88" s="5"/>
      <c r="W88" s="5"/>
      <c r="X88" s="5"/>
      <c r="Y88" s="5"/>
      <c r="Z88" s="5"/>
    </row>
    <row r="89">
      <c r="A89" s="5"/>
      <c r="B89" s="10" t="s">
        <v>17</v>
      </c>
      <c r="C89" s="24" t="s">
        <v>51</v>
      </c>
      <c r="J89" s="5"/>
      <c r="K89" s="5"/>
      <c r="L89" s="5"/>
      <c r="M89" s="5"/>
      <c r="N89" s="5"/>
      <c r="O89" s="5"/>
      <c r="P89" s="5"/>
      <c r="Q89" s="5"/>
      <c r="R89" s="5"/>
      <c r="S89" s="5"/>
      <c r="T89" s="5"/>
      <c r="U89" s="5"/>
      <c r="V89" s="5"/>
      <c r="W89" s="5"/>
      <c r="X89" s="5"/>
      <c r="Y89" s="5"/>
      <c r="Z89" s="5"/>
    </row>
    <row r="90">
      <c r="A90" s="5"/>
      <c r="B90" s="5"/>
      <c r="C90" s="23"/>
      <c r="D90" s="5"/>
      <c r="E90" s="5"/>
      <c r="F90" s="5"/>
      <c r="G90" s="5"/>
      <c r="H90" s="5"/>
      <c r="I90" s="5"/>
      <c r="J90" s="5"/>
      <c r="K90" s="5"/>
      <c r="L90" s="5"/>
      <c r="M90" s="5"/>
      <c r="N90" s="5"/>
      <c r="O90" s="5"/>
      <c r="P90" s="5"/>
      <c r="Q90" s="5"/>
      <c r="R90" s="5"/>
      <c r="S90" s="5"/>
      <c r="T90" s="5"/>
      <c r="U90" s="5"/>
      <c r="V90" s="5"/>
      <c r="W90" s="5"/>
      <c r="X90" s="5"/>
      <c r="Y90" s="5"/>
      <c r="Z90" s="5"/>
    </row>
    <row r="91">
      <c r="A91" s="5"/>
      <c r="B91" s="10" t="s">
        <v>15</v>
      </c>
      <c r="C91" s="22" t="s">
        <v>52</v>
      </c>
      <c r="D91" s="5"/>
      <c r="E91" s="5"/>
      <c r="F91" s="5"/>
      <c r="G91" s="5"/>
      <c r="H91" s="5"/>
      <c r="I91" s="5"/>
      <c r="J91" s="5"/>
      <c r="K91" s="5"/>
      <c r="L91" s="5"/>
      <c r="M91" s="5"/>
      <c r="N91" s="5"/>
      <c r="O91" s="5"/>
      <c r="P91" s="5"/>
      <c r="Q91" s="5"/>
      <c r="R91" s="5"/>
      <c r="S91" s="5"/>
      <c r="T91" s="5"/>
      <c r="U91" s="5"/>
      <c r="V91" s="5"/>
      <c r="W91" s="5"/>
      <c r="X91" s="5"/>
      <c r="Y91" s="5"/>
      <c r="Z91" s="5"/>
    </row>
    <row r="92">
      <c r="A92" s="5"/>
      <c r="B92" s="10" t="s">
        <v>17</v>
      </c>
      <c r="C92" s="24" t="s">
        <v>53</v>
      </c>
      <c r="J92" s="5"/>
      <c r="K92" s="5"/>
      <c r="L92" s="5"/>
      <c r="M92" s="5"/>
      <c r="N92" s="5"/>
      <c r="O92" s="5"/>
      <c r="P92" s="5"/>
      <c r="Q92" s="5"/>
      <c r="R92" s="5"/>
      <c r="S92" s="5"/>
      <c r="T92" s="5"/>
      <c r="U92" s="5"/>
      <c r="V92" s="5"/>
      <c r="W92" s="5"/>
      <c r="X92" s="5"/>
      <c r="Y92" s="5"/>
      <c r="Z92" s="5"/>
    </row>
    <row r="93">
      <c r="A93" s="5"/>
      <c r="B93" s="5"/>
      <c r="C93" s="23"/>
      <c r="D93" s="5"/>
      <c r="E93" s="5"/>
      <c r="F93" s="5"/>
      <c r="G93" s="5"/>
      <c r="H93" s="5"/>
      <c r="I93" s="5"/>
      <c r="J93" s="5"/>
      <c r="K93" s="5"/>
      <c r="L93" s="5"/>
      <c r="M93" s="5"/>
      <c r="N93" s="5"/>
      <c r="O93" s="5"/>
      <c r="P93" s="5"/>
      <c r="Q93" s="5"/>
      <c r="R93" s="5"/>
      <c r="S93" s="5"/>
      <c r="T93" s="5"/>
      <c r="U93" s="5"/>
      <c r="V93" s="5"/>
      <c r="W93" s="5"/>
      <c r="X93" s="5"/>
      <c r="Y93" s="5"/>
      <c r="Z93" s="5"/>
    </row>
    <row r="94">
      <c r="A94" s="5"/>
      <c r="B94" s="10" t="s">
        <v>15</v>
      </c>
      <c r="C94" s="22" t="s">
        <v>54</v>
      </c>
      <c r="D94" s="5"/>
      <c r="E94" s="5"/>
      <c r="F94" s="5"/>
      <c r="G94" s="5"/>
      <c r="H94" s="5"/>
      <c r="I94" s="5"/>
      <c r="J94" s="5"/>
      <c r="K94" s="5"/>
      <c r="L94" s="5"/>
      <c r="M94" s="5"/>
      <c r="N94" s="5"/>
      <c r="O94" s="5"/>
      <c r="P94" s="5"/>
      <c r="Q94" s="5"/>
      <c r="R94" s="5"/>
      <c r="S94" s="5"/>
      <c r="T94" s="5"/>
      <c r="U94" s="5"/>
      <c r="V94" s="5"/>
      <c r="W94" s="5"/>
      <c r="X94" s="5"/>
      <c r="Y94" s="5"/>
      <c r="Z94" s="5"/>
    </row>
    <row r="95">
      <c r="A95" s="5"/>
      <c r="B95" s="10" t="s">
        <v>17</v>
      </c>
      <c r="C95" s="24" t="s">
        <v>55</v>
      </c>
      <c r="J95" s="5"/>
      <c r="K95" s="5"/>
      <c r="L95" s="5"/>
      <c r="M95" s="5"/>
      <c r="N95" s="5"/>
      <c r="O95" s="5"/>
      <c r="P95" s="5"/>
      <c r="Q95" s="5"/>
      <c r="R95" s="5"/>
      <c r="S95" s="5"/>
      <c r="T95" s="5"/>
      <c r="U95" s="5"/>
      <c r="V95" s="5"/>
      <c r="W95" s="5"/>
      <c r="X95" s="5"/>
      <c r="Y95" s="5"/>
      <c r="Z95" s="5"/>
    </row>
    <row r="96">
      <c r="A96" s="5"/>
      <c r="B96" s="5"/>
      <c r="C96" s="23"/>
      <c r="D96" s="5"/>
      <c r="E96" s="5"/>
      <c r="F96" s="5"/>
      <c r="G96" s="5"/>
      <c r="H96" s="5"/>
      <c r="I96" s="5"/>
      <c r="J96" s="5"/>
      <c r="K96" s="5"/>
      <c r="L96" s="5"/>
      <c r="M96" s="5"/>
      <c r="N96" s="5"/>
      <c r="O96" s="5"/>
      <c r="P96" s="5"/>
      <c r="Q96" s="5"/>
      <c r="R96" s="5"/>
      <c r="S96" s="5"/>
      <c r="T96" s="5"/>
      <c r="U96" s="5"/>
      <c r="V96" s="5"/>
      <c r="W96" s="5"/>
      <c r="X96" s="5"/>
      <c r="Y96" s="5"/>
      <c r="Z96" s="5"/>
    </row>
    <row r="97">
      <c r="A97" s="5"/>
      <c r="B97" s="10" t="s">
        <v>15</v>
      </c>
      <c r="C97" s="22" t="s">
        <v>56</v>
      </c>
      <c r="D97" s="5"/>
      <c r="E97" s="5"/>
      <c r="F97" s="5"/>
      <c r="G97" s="5"/>
      <c r="H97" s="5"/>
      <c r="I97" s="5"/>
      <c r="J97" s="5"/>
      <c r="K97" s="5"/>
      <c r="L97" s="5"/>
      <c r="M97" s="5"/>
      <c r="N97" s="5"/>
      <c r="O97" s="5"/>
      <c r="P97" s="5"/>
      <c r="Q97" s="5"/>
      <c r="R97" s="5"/>
      <c r="S97" s="5"/>
      <c r="T97" s="5"/>
      <c r="U97" s="5"/>
      <c r="V97" s="5"/>
      <c r="W97" s="5"/>
      <c r="X97" s="5"/>
      <c r="Y97" s="5"/>
      <c r="Z97" s="5"/>
    </row>
    <row r="98">
      <c r="A98" s="5"/>
      <c r="B98" s="10" t="s">
        <v>17</v>
      </c>
      <c r="C98" s="24" t="s">
        <v>57</v>
      </c>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6" t="s">
        <v>58</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30"/>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t="s">
        <v>15</v>
      </c>
      <c r="C102" s="22" t="s">
        <v>59</v>
      </c>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t="s">
        <v>17</v>
      </c>
      <c r="C103" s="24" t="s">
        <v>60</v>
      </c>
      <c r="J103" s="5"/>
      <c r="K103" s="5"/>
      <c r="L103" s="5"/>
      <c r="M103" s="5"/>
      <c r="N103" s="5"/>
      <c r="O103" s="5"/>
      <c r="P103" s="5"/>
      <c r="Q103" s="5"/>
      <c r="R103" s="5"/>
      <c r="S103" s="5"/>
      <c r="T103" s="5"/>
      <c r="U103" s="5"/>
      <c r="V103" s="5"/>
      <c r="W103" s="5"/>
      <c r="X103" s="5"/>
      <c r="Y103" s="5"/>
      <c r="Z103" s="5"/>
    </row>
    <row r="104" ht="61.5" customHeight="1">
      <c r="A104" s="5"/>
      <c r="B104" s="5"/>
      <c r="C104" s="18" t="s">
        <v>61</v>
      </c>
      <c r="J104" s="5"/>
      <c r="K104" s="5"/>
      <c r="L104" s="5"/>
      <c r="M104" s="5"/>
      <c r="N104" s="5"/>
      <c r="O104" s="5"/>
      <c r="P104" s="5"/>
      <c r="Q104" s="5"/>
      <c r="R104" s="5"/>
      <c r="S104" s="5"/>
      <c r="T104" s="5"/>
      <c r="U104" s="5"/>
      <c r="V104" s="5"/>
      <c r="W104" s="5"/>
      <c r="X104" s="5"/>
      <c r="Y104" s="5"/>
      <c r="Z104" s="5"/>
    </row>
    <row r="105">
      <c r="A105" s="5"/>
      <c r="B105" s="5"/>
      <c r="C105" s="27"/>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19"/>
      <c r="D106" s="5"/>
      <c r="E106" s="31" t="str">
        <f>HYPERLINK("mailto:support@thestrengthathlete.com","EMAIL US")</f>
        <v>EMAIL US</v>
      </c>
      <c r="G106" s="14"/>
      <c r="H106" s="5"/>
      <c r="I106" s="5"/>
      <c r="J106" s="5"/>
      <c r="K106" s="5"/>
      <c r="L106" s="5"/>
      <c r="M106" s="5"/>
      <c r="N106" s="5"/>
      <c r="O106" s="5"/>
      <c r="P106" s="5"/>
      <c r="Q106" s="5"/>
      <c r="R106" s="5"/>
      <c r="S106" s="5"/>
      <c r="T106" s="5"/>
      <c r="U106" s="5"/>
      <c r="V106" s="5"/>
      <c r="W106" s="5"/>
      <c r="X106" s="5"/>
      <c r="Y106" s="5"/>
      <c r="Z106" s="5"/>
    </row>
    <row r="107">
      <c r="A107" s="5"/>
      <c r="B107" s="5"/>
      <c r="C107" s="19"/>
      <c r="D107" s="5"/>
      <c r="E107" s="15"/>
      <c r="F107" s="15"/>
      <c r="G107" s="16"/>
      <c r="H107" s="5"/>
      <c r="I107" s="5"/>
      <c r="J107" s="5"/>
      <c r="K107" s="5"/>
      <c r="L107" s="5"/>
      <c r="M107" s="5"/>
      <c r="N107" s="5"/>
      <c r="O107" s="5"/>
      <c r="P107" s="5"/>
      <c r="Q107" s="5"/>
      <c r="R107" s="5"/>
      <c r="S107" s="5"/>
      <c r="T107" s="5"/>
      <c r="U107" s="5"/>
      <c r="V107" s="5"/>
      <c r="W107" s="5"/>
      <c r="X107" s="5"/>
      <c r="Y107" s="5"/>
      <c r="Z107" s="5"/>
    </row>
    <row r="108">
      <c r="A108" s="5"/>
      <c r="B108" s="5"/>
      <c r="C108" s="19"/>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sheetData>
  <mergeCells count="41">
    <mergeCell ref="C8:I8"/>
    <mergeCell ref="C9:I9"/>
    <mergeCell ref="C10:I10"/>
    <mergeCell ref="C11:I11"/>
    <mergeCell ref="C12:I12"/>
    <mergeCell ref="C14:E15"/>
    <mergeCell ref="G14:I15"/>
    <mergeCell ref="B22:I22"/>
    <mergeCell ref="B24:I24"/>
    <mergeCell ref="B26:I26"/>
    <mergeCell ref="B28:I28"/>
    <mergeCell ref="B30:I30"/>
    <mergeCell ref="B32:I32"/>
    <mergeCell ref="C37:I37"/>
    <mergeCell ref="C39:I39"/>
    <mergeCell ref="C40:I40"/>
    <mergeCell ref="C43:I43"/>
    <mergeCell ref="C45:I45"/>
    <mergeCell ref="C46:I46"/>
    <mergeCell ref="C50:I50"/>
    <mergeCell ref="C51:I51"/>
    <mergeCell ref="C53:I53"/>
    <mergeCell ref="C54:I54"/>
    <mergeCell ref="C56:I56"/>
    <mergeCell ref="C57:I57"/>
    <mergeCell ref="C59:I59"/>
    <mergeCell ref="C60:I60"/>
    <mergeCell ref="C65:I65"/>
    <mergeCell ref="C92:I92"/>
    <mergeCell ref="C95:I95"/>
    <mergeCell ref="C98:I98"/>
    <mergeCell ref="C103:I103"/>
    <mergeCell ref="C104:I104"/>
    <mergeCell ref="E106:G107"/>
    <mergeCell ref="C68:I68"/>
    <mergeCell ref="C71:I71"/>
    <mergeCell ref="C74:I74"/>
    <mergeCell ref="C77:I77"/>
    <mergeCell ref="C80:I80"/>
    <mergeCell ref="C83:I83"/>
    <mergeCell ref="C89:I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hidden="1" min="1" max="1" width="12.63"/>
    <col customWidth="1" hidden="1" min="2" max="2" width="3.75"/>
    <col customWidth="1" hidden="1" min="3" max="3" width="15.13"/>
    <col customWidth="1" hidden="1" min="4" max="4" width="4.38"/>
    <col customWidth="1" hidden="1" min="5" max="5" width="13.25"/>
    <col customWidth="1" hidden="1" min="6" max="6" width="3.63"/>
    <col customWidth="1" min="7" max="9" width="4.38"/>
    <col customWidth="1" min="10" max="10" width="10.13"/>
    <col customWidth="1" min="11" max="11" width="20.63"/>
    <col customWidth="1" min="12" max="12" width="8.13"/>
    <col customWidth="1" min="13" max="13" width="5.88"/>
    <col customWidth="1" min="14" max="14" width="8.13"/>
    <col customWidth="1" min="15" max="15" width="7.13"/>
    <col customWidth="1" min="16" max="16" width="11.0"/>
    <col customWidth="1" min="17" max="17" width="10.13"/>
    <col customWidth="1" min="18" max="18" width="9.75"/>
    <col customWidth="1" min="19" max="19" width="9.63"/>
    <col customWidth="1" min="20" max="20" width="13.25"/>
    <col customWidth="1" min="21" max="21" width="6.25"/>
    <col customWidth="1" min="22" max="23" width="8.13"/>
  </cols>
  <sheetData>
    <row r="1">
      <c r="A1" s="32"/>
      <c r="B1" s="32"/>
      <c r="C1" s="32"/>
      <c r="D1" s="32"/>
      <c r="E1" s="32"/>
      <c r="F1" s="32"/>
      <c r="G1" s="33"/>
      <c r="H1" s="33"/>
      <c r="I1" s="33"/>
      <c r="J1" s="33"/>
      <c r="K1" s="33"/>
      <c r="L1" s="33"/>
      <c r="M1" s="33"/>
      <c r="N1" s="33"/>
      <c r="O1" s="33"/>
      <c r="P1" s="33"/>
      <c r="Q1" s="33"/>
      <c r="R1" s="33"/>
      <c r="S1" s="33"/>
      <c r="T1" s="33"/>
      <c r="U1" s="33"/>
      <c r="V1" s="33"/>
      <c r="W1" s="33"/>
      <c r="X1" s="33"/>
      <c r="Y1" s="33"/>
      <c r="Z1" s="33"/>
      <c r="AA1" s="33"/>
      <c r="AB1" s="33"/>
    </row>
    <row r="2">
      <c r="A2" s="32"/>
      <c r="B2" s="32"/>
      <c r="C2" s="32"/>
      <c r="D2" s="32"/>
      <c r="E2" s="32"/>
      <c r="F2" s="32"/>
      <c r="G2" s="33"/>
      <c r="H2" s="33"/>
      <c r="I2" s="33"/>
      <c r="J2" s="33"/>
      <c r="K2" s="34"/>
      <c r="L2" s="33"/>
      <c r="M2" s="33"/>
      <c r="N2" s="33"/>
      <c r="O2" s="33"/>
      <c r="P2" s="33"/>
      <c r="Q2" s="33"/>
      <c r="R2" s="33"/>
      <c r="S2" s="33"/>
      <c r="T2" s="33"/>
      <c r="U2" s="33"/>
      <c r="V2" s="33"/>
      <c r="W2" s="33"/>
      <c r="X2" s="33"/>
      <c r="Y2" s="33"/>
      <c r="Z2" s="33"/>
      <c r="AA2" s="33"/>
      <c r="AB2" s="33"/>
    </row>
    <row r="3" ht="25.5" customHeight="1">
      <c r="A3" s="35" t="s">
        <v>62</v>
      </c>
      <c r="B3" s="36"/>
      <c r="C3" s="35" t="s">
        <v>63</v>
      </c>
      <c r="D3" s="36"/>
      <c r="E3" s="35" t="s">
        <v>64</v>
      </c>
      <c r="F3" s="37"/>
      <c r="G3" s="38"/>
      <c r="H3" s="33"/>
      <c r="I3" s="33"/>
      <c r="J3" s="33"/>
      <c r="K3" s="33"/>
      <c r="L3" s="33"/>
      <c r="M3" s="33"/>
      <c r="N3" s="33"/>
      <c r="O3" s="33"/>
      <c r="P3" s="33"/>
      <c r="Q3" s="33"/>
      <c r="R3" s="33"/>
      <c r="S3" s="33"/>
      <c r="T3" s="33"/>
      <c r="U3" s="33"/>
      <c r="V3" s="33"/>
      <c r="W3" s="33"/>
      <c r="X3" s="33"/>
      <c r="Y3" s="33"/>
      <c r="Z3" s="33"/>
      <c r="AA3" s="33"/>
      <c r="AB3" s="33"/>
    </row>
    <row r="4" ht="24.0" customHeight="1">
      <c r="A4" s="37" t="s">
        <v>65</v>
      </c>
      <c r="B4" s="37" t="str">
        <f t="array" ref="B4:B108">IF(A4:A108="",,"sq")</f>
        <v>sq</v>
      </c>
      <c r="C4" s="37" t="s">
        <v>66</v>
      </c>
      <c r="D4" s="37" t="str">
        <f t="array" ref="D4:D108">IF(C4:C108="",,"bn")</f>
        <v>bn</v>
      </c>
      <c r="E4" s="37" t="s">
        <v>67</v>
      </c>
      <c r="F4" s="37" t="str">
        <f t="array" ref="F4:F108">IF(E4:E108="",,"dl")</f>
        <v>dl</v>
      </c>
      <c r="G4" s="38"/>
      <c r="H4" s="38"/>
      <c r="I4" s="33"/>
      <c r="J4" s="33"/>
      <c r="K4" s="33"/>
      <c r="L4" s="39"/>
      <c r="M4" s="33"/>
      <c r="N4" s="33"/>
      <c r="O4" s="33"/>
      <c r="P4" s="33"/>
      <c r="Q4" s="33"/>
      <c r="R4" s="33"/>
      <c r="S4" s="33"/>
      <c r="T4" s="33"/>
      <c r="U4" s="33"/>
      <c r="V4" s="33"/>
      <c r="W4" s="33"/>
      <c r="X4" s="33"/>
      <c r="Y4" s="33"/>
      <c r="Z4" s="33"/>
      <c r="AA4" s="33"/>
      <c r="AB4" s="33"/>
    </row>
    <row r="5">
      <c r="A5" s="37" t="s">
        <v>68</v>
      </c>
      <c r="B5" s="37" t="s">
        <v>68</v>
      </c>
      <c r="C5" s="37" t="s">
        <v>69</v>
      </c>
      <c r="D5" s="37" t="s">
        <v>66</v>
      </c>
      <c r="E5" s="37" t="s">
        <v>70</v>
      </c>
      <c r="F5" s="37" t="s">
        <v>67</v>
      </c>
      <c r="G5" s="38"/>
      <c r="H5" s="38"/>
      <c r="I5" s="38"/>
      <c r="J5" s="40"/>
      <c r="K5" s="41" t="s">
        <v>71</v>
      </c>
      <c r="L5" s="42" t="s">
        <v>72</v>
      </c>
      <c r="M5" s="33"/>
      <c r="N5" s="33"/>
      <c r="O5" s="33"/>
      <c r="P5" s="33"/>
      <c r="Q5" s="38"/>
      <c r="R5" s="33"/>
      <c r="S5" s="33"/>
      <c r="T5" s="33"/>
      <c r="U5" s="33"/>
      <c r="V5" s="33"/>
      <c r="W5" s="33"/>
      <c r="X5" s="33"/>
      <c r="Y5" s="33"/>
      <c r="Z5" s="33"/>
      <c r="AA5" s="33"/>
      <c r="AB5" s="33"/>
    </row>
    <row r="6">
      <c r="A6" s="37" t="s">
        <v>73</v>
      </c>
      <c r="B6" s="37" t="s">
        <v>68</v>
      </c>
      <c r="C6" s="37" t="s">
        <v>74</v>
      </c>
      <c r="D6" s="37" t="s">
        <v>66</v>
      </c>
      <c r="E6" s="37" t="s">
        <v>75</v>
      </c>
      <c r="F6" s="37" t="s">
        <v>67</v>
      </c>
      <c r="G6" s="38"/>
      <c r="H6" s="38"/>
      <c r="I6" s="38"/>
      <c r="J6" s="33"/>
      <c r="K6" s="43"/>
      <c r="L6" s="33"/>
      <c r="M6" s="33"/>
      <c r="N6" s="33"/>
      <c r="O6" s="44"/>
      <c r="P6" s="33"/>
      <c r="Q6" s="38"/>
      <c r="R6" s="33"/>
      <c r="S6" s="33"/>
      <c r="T6" s="33"/>
      <c r="U6" s="33"/>
      <c r="V6" s="33"/>
      <c r="W6" s="33"/>
      <c r="X6" s="33"/>
      <c r="Y6" s="33"/>
      <c r="Z6" s="33"/>
      <c r="AA6" s="33"/>
      <c r="AB6" s="33"/>
    </row>
    <row r="7" ht="30.75" customHeight="1">
      <c r="A7" s="37" t="s">
        <v>76</v>
      </c>
      <c r="B7" s="37" t="s">
        <v>68</v>
      </c>
      <c r="C7" s="37" t="s">
        <v>77</v>
      </c>
      <c r="D7" s="37" t="s">
        <v>66</v>
      </c>
      <c r="E7" s="37" t="s">
        <v>78</v>
      </c>
      <c r="F7" s="37" t="s">
        <v>67</v>
      </c>
      <c r="G7" s="38"/>
      <c r="H7" s="38"/>
      <c r="I7" s="38"/>
      <c r="J7" s="33"/>
      <c r="K7" s="6" t="s">
        <v>79</v>
      </c>
      <c r="L7" s="33"/>
      <c r="M7" s="33"/>
      <c r="N7" s="33"/>
      <c r="O7" s="44"/>
      <c r="P7" s="33"/>
      <c r="Q7" s="38"/>
      <c r="R7" s="33"/>
      <c r="S7" s="33"/>
      <c r="T7" s="33"/>
      <c r="U7" s="33"/>
      <c r="V7" s="33"/>
      <c r="W7" s="33"/>
      <c r="X7" s="33"/>
      <c r="Y7" s="33"/>
      <c r="Z7" s="33"/>
      <c r="AA7" s="33"/>
      <c r="AB7" s="33"/>
    </row>
    <row r="8">
      <c r="A8" s="37" t="s">
        <v>80</v>
      </c>
      <c r="B8" s="37" t="s">
        <v>68</v>
      </c>
      <c r="C8" s="37" t="s">
        <v>81</v>
      </c>
      <c r="D8" s="37" t="s">
        <v>66</v>
      </c>
      <c r="E8" s="45" t="s">
        <v>75</v>
      </c>
      <c r="F8" s="32" t="s">
        <v>67</v>
      </c>
      <c r="G8" s="33"/>
      <c r="H8" s="38"/>
      <c r="I8" s="38"/>
      <c r="J8" s="33"/>
      <c r="K8" s="39"/>
      <c r="L8" s="39"/>
      <c r="M8" s="39"/>
      <c r="N8" s="39"/>
      <c r="O8" s="39"/>
      <c r="P8" s="39"/>
      <c r="Q8" s="39"/>
      <c r="R8" s="39"/>
      <c r="S8" s="39"/>
      <c r="T8" s="39"/>
      <c r="U8" s="39"/>
      <c r="V8" s="39"/>
      <c r="W8" s="39"/>
      <c r="X8" s="33"/>
      <c r="Y8" s="33"/>
      <c r="Z8" s="33"/>
      <c r="AA8" s="33"/>
      <c r="AB8" s="33"/>
    </row>
    <row r="9">
      <c r="A9" s="37" t="s">
        <v>82</v>
      </c>
      <c r="B9" s="37" t="s">
        <v>68</v>
      </c>
      <c r="C9" s="37" t="s">
        <v>83</v>
      </c>
      <c r="D9" s="32" t="s">
        <v>66</v>
      </c>
      <c r="E9" s="45" t="s">
        <v>84</v>
      </c>
      <c r="F9" s="32" t="s">
        <v>67</v>
      </c>
      <c r="G9" s="40"/>
      <c r="H9" s="33"/>
      <c r="I9" s="38"/>
      <c r="J9" s="46"/>
      <c r="K9" s="47" t="s">
        <v>85</v>
      </c>
      <c r="L9" s="48" t="s">
        <v>86</v>
      </c>
      <c r="M9" s="48" t="s">
        <v>87</v>
      </c>
      <c r="N9" s="49"/>
      <c r="O9" s="48" t="s">
        <v>88</v>
      </c>
      <c r="P9" s="48" t="s">
        <v>86</v>
      </c>
      <c r="Q9" s="48" t="s">
        <v>87</v>
      </c>
      <c r="R9" s="49"/>
      <c r="S9" s="48" t="s">
        <v>89</v>
      </c>
      <c r="T9" s="48" t="s">
        <v>86</v>
      </c>
      <c r="U9" s="48" t="s">
        <v>87</v>
      </c>
      <c r="V9" s="49"/>
      <c r="W9" s="48" t="s">
        <v>90</v>
      </c>
      <c r="X9" s="50"/>
      <c r="Y9" s="33"/>
      <c r="Z9" s="33"/>
      <c r="AA9" s="33"/>
      <c r="AB9" s="33"/>
    </row>
    <row r="10">
      <c r="A10" s="45" t="s">
        <v>91</v>
      </c>
      <c r="B10" s="37" t="s">
        <v>68</v>
      </c>
      <c r="C10" s="45" t="s">
        <v>83</v>
      </c>
      <c r="D10" s="32" t="s">
        <v>66</v>
      </c>
      <c r="E10" s="45" t="s">
        <v>92</v>
      </c>
      <c r="F10" s="32" t="s">
        <v>67</v>
      </c>
      <c r="G10" s="33"/>
      <c r="H10" s="40"/>
      <c r="I10" s="38"/>
      <c r="J10" s="51"/>
      <c r="K10" s="52">
        <f>IFERROR(__xludf.DUMMYFUNCTION("FILTER(K15:W21,K15:K21=MAX(K15:K21))"),46109.0)</f>
        <v>46109</v>
      </c>
      <c r="L10" s="53">
        <f>IFERROR(__xludf.DUMMYFUNCTION("""COMPUTED_VALUE"""),200.0)</f>
        <v>200</v>
      </c>
      <c r="M10" s="54">
        <f>IFERROR(__xludf.DUMMYFUNCTION("""COMPUTED_VALUE"""),1.0)</f>
        <v>1</v>
      </c>
      <c r="N10" s="55">
        <f>IFERROR(__xludf.DUMMYFUNCTION("""COMPUTED_VALUE"""),10.0)</f>
        <v>10</v>
      </c>
      <c r="O10" s="56">
        <f>IFERROR(__xludf.DUMMYFUNCTION("""COMPUTED_VALUE"""),200.0)</f>
        <v>200</v>
      </c>
      <c r="P10" s="57">
        <f>IFERROR(__xludf.DUMMYFUNCTION("""COMPUTED_VALUE"""),120.0)</f>
        <v>120</v>
      </c>
      <c r="Q10" s="54">
        <f>IFERROR(__xludf.DUMMYFUNCTION("""COMPUTED_VALUE"""),1.0)</f>
        <v>1</v>
      </c>
      <c r="R10" s="55">
        <f>IFERROR(__xludf.DUMMYFUNCTION("""COMPUTED_VALUE"""),10.0)</f>
        <v>10</v>
      </c>
      <c r="S10" s="56">
        <f>IFERROR(__xludf.DUMMYFUNCTION("""COMPUTED_VALUE"""),120.0)</f>
        <v>120</v>
      </c>
      <c r="T10" s="57">
        <f>IFERROR(__xludf.DUMMYFUNCTION("""COMPUTED_VALUE"""),220.0)</f>
        <v>220</v>
      </c>
      <c r="U10" s="54">
        <f>IFERROR(__xludf.DUMMYFUNCTION("""COMPUTED_VALUE"""),1.0)</f>
        <v>1</v>
      </c>
      <c r="V10" s="58">
        <f>IFERROR(__xludf.DUMMYFUNCTION("""COMPUTED_VALUE"""),9.5)</f>
        <v>9.5</v>
      </c>
      <c r="W10" s="59">
        <f>IFERROR(__xludf.DUMMYFUNCTION("""COMPUTED_VALUE"""),224.94887525562373)</f>
        <v>224.9488753</v>
      </c>
      <c r="X10" s="33"/>
      <c r="Y10" s="33"/>
      <c r="Z10" s="33"/>
      <c r="AA10" s="33"/>
      <c r="AB10" s="33"/>
    </row>
    <row r="11" ht="24.0" customHeight="1">
      <c r="A11" s="45" t="s">
        <v>76</v>
      </c>
      <c r="B11" s="32" t="s">
        <v>68</v>
      </c>
      <c r="C11" s="45" t="s">
        <v>77</v>
      </c>
      <c r="D11" s="32" t="s">
        <v>66</v>
      </c>
      <c r="E11" s="45" t="s">
        <v>93</v>
      </c>
      <c r="F11" s="32" t="s">
        <v>67</v>
      </c>
      <c r="G11" s="46"/>
      <c r="H11" s="33"/>
      <c r="I11" s="38"/>
      <c r="J11" s="33"/>
      <c r="K11" s="43"/>
      <c r="L11" s="33"/>
      <c r="M11" s="33"/>
      <c r="N11" s="33"/>
      <c r="O11" s="33"/>
      <c r="P11" s="33"/>
      <c r="Q11" s="33"/>
      <c r="R11" s="33"/>
      <c r="S11" s="33"/>
      <c r="T11" s="33"/>
      <c r="U11" s="33"/>
      <c r="V11" s="33"/>
      <c r="W11" s="33"/>
      <c r="X11" s="33"/>
      <c r="Y11" s="33"/>
      <c r="Z11" s="33"/>
      <c r="AA11" s="33"/>
      <c r="AB11" s="33"/>
    </row>
    <row r="12">
      <c r="A12" s="45" t="s">
        <v>94</v>
      </c>
      <c r="B12" s="32" t="s">
        <v>68</v>
      </c>
      <c r="C12" s="45" t="s">
        <v>95</v>
      </c>
      <c r="D12" s="32" t="s">
        <v>66</v>
      </c>
      <c r="E12" s="45" t="s">
        <v>96</v>
      </c>
      <c r="F12" s="32" t="s">
        <v>67</v>
      </c>
      <c r="G12" s="51"/>
      <c r="H12" s="33"/>
      <c r="I12" s="38"/>
      <c r="J12" s="33"/>
      <c r="K12" s="6" t="s">
        <v>97</v>
      </c>
      <c r="L12" s="33"/>
      <c r="M12" s="33"/>
      <c r="N12" s="33"/>
      <c r="O12" s="33"/>
      <c r="P12" s="33"/>
      <c r="Q12" s="33"/>
      <c r="R12" s="33"/>
      <c r="S12" s="33"/>
      <c r="T12" s="33"/>
      <c r="U12" s="33"/>
      <c r="V12" s="33"/>
      <c r="W12" s="33"/>
      <c r="X12" s="33"/>
      <c r="Y12" s="33"/>
      <c r="Z12" s="33"/>
      <c r="AA12" s="33"/>
      <c r="AB12" s="33"/>
    </row>
    <row r="13">
      <c r="A13" s="45" t="s">
        <v>98</v>
      </c>
      <c r="B13" s="32" t="s">
        <v>68</v>
      </c>
      <c r="C13" s="45" t="s">
        <v>99</v>
      </c>
      <c r="D13" s="32" t="s">
        <v>66</v>
      </c>
      <c r="E13" s="45" t="s">
        <v>100</v>
      </c>
      <c r="F13" s="32" t="s">
        <v>67</v>
      </c>
      <c r="G13" s="33"/>
      <c r="H13" s="33"/>
      <c r="I13" s="38"/>
      <c r="J13" s="33"/>
      <c r="K13" s="43"/>
      <c r="L13" s="33"/>
      <c r="M13" s="33"/>
      <c r="N13" s="33"/>
      <c r="O13" s="33"/>
      <c r="P13" s="33"/>
      <c r="Q13" s="33"/>
      <c r="R13" s="33"/>
      <c r="S13" s="33"/>
      <c r="T13" s="33"/>
      <c r="U13" s="33"/>
      <c r="V13" s="33"/>
      <c r="W13" s="33"/>
      <c r="X13" s="33"/>
      <c r="Y13" s="33"/>
      <c r="Z13" s="33"/>
      <c r="AA13" s="33"/>
      <c r="AB13" s="33"/>
    </row>
    <row r="14">
      <c r="A14" s="45" t="s">
        <v>101</v>
      </c>
      <c r="B14" s="32" t="s">
        <v>68</v>
      </c>
      <c r="C14" s="45" t="s">
        <v>102</v>
      </c>
      <c r="D14" s="32" t="s">
        <v>66</v>
      </c>
      <c r="E14" s="45" t="s">
        <v>103</v>
      </c>
      <c r="F14" s="32" t="s">
        <v>67</v>
      </c>
      <c r="G14" s="60"/>
      <c r="H14" s="46"/>
      <c r="I14" s="33"/>
      <c r="J14" s="60"/>
      <c r="K14" s="47" t="s">
        <v>85</v>
      </c>
      <c r="L14" s="61" t="s">
        <v>86</v>
      </c>
      <c r="M14" s="62" t="s">
        <v>87</v>
      </c>
      <c r="N14" s="48" t="s">
        <v>104</v>
      </c>
      <c r="O14" s="48" t="s">
        <v>88</v>
      </c>
      <c r="P14" s="61" t="s">
        <v>86</v>
      </c>
      <c r="Q14" s="62" t="s">
        <v>87</v>
      </c>
      <c r="R14" s="48" t="s">
        <v>104</v>
      </c>
      <c r="S14" s="48" t="s">
        <v>89</v>
      </c>
      <c r="T14" s="61" t="s">
        <v>86</v>
      </c>
      <c r="U14" s="62" t="s">
        <v>87</v>
      </c>
      <c r="V14" s="48" t="s">
        <v>104</v>
      </c>
      <c r="W14" s="48" t="s">
        <v>90</v>
      </c>
      <c r="X14" s="33"/>
      <c r="Y14" s="33"/>
      <c r="Z14" s="33"/>
      <c r="AA14" s="33"/>
      <c r="AB14" s="33"/>
    </row>
    <row r="15">
      <c r="A15" s="45" t="s">
        <v>105</v>
      </c>
      <c r="B15" s="32" t="s">
        <v>68</v>
      </c>
      <c r="C15" s="45" t="s">
        <v>106</v>
      </c>
      <c r="D15" s="32" t="s">
        <v>66</v>
      </c>
      <c r="E15" s="45" t="s">
        <v>78</v>
      </c>
      <c r="F15" s="32" t="s">
        <v>67</v>
      </c>
      <c r="G15" s="51"/>
      <c r="H15" s="51"/>
      <c r="I15" s="40"/>
      <c r="J15" s="40">
        <v>1.0</v>
      </c>
      <c r="K15" s="63">
        <f>TODAY()</f>
        <v>46109</v>
      </c>
      <c r="L15" s="64">
        <v>200.0</v>
      </c>
      <c r="M15" s="65">
        <v>1.0</v>
      </c>
      <c r="N15" s="66">
        <v>10.0</v>
      </c>
      <c r="O15" s="67">
        <f t="array" ref="O15:O21">IF(ISBLANK(L15:L21),"",L15:L21/IF(ISBLANK(N15:N21),(1.0278-(0.0278*M15:M21)),IFERROR(VLOOKUP(N15:N21*1,_rpe,M15:M21+1,0),1)))</f>
        <v>200</v>
      </c>
      <c r="P15" s="64">
        <v>120.0</v>
      </c>
      <c r="Q15" s="65">
        <v>1.0</v>
      </c>
      <c r="R15" s="66">
        <v>10.0</v>
      </c>
      <c r="S15" s="67">
        <f t="array" ref="S15:S21">IF(ISBLANK(P15:P21),"",P15:P21/IF(ISBLANK(R15:R21),(1.0278-(0.0278*Q15:Q21)),IFERROR(VLOOKUP(R15:R21*1,_rpe,Q15:Q21+1,0),1)))</f>
        <v>120</v>
      </c>
      <c r="T15" s="64">
        <v>220.0</v>
      </c>
      <c r="U15" s="65">
        <v>1.0</v>
      </c>
      <c r="V15" s="68">
        <v>9.5</v>
      </c>
      <c r="W15" s="67">
        <f t="array" ref="W15:W21">IF(ISBLANK(T15:T21),"",T15:T21/IF(ISBLANK(V15:V21),(1.0278-(0.0278*U15:U21)),IFERROR(VLOOKUP(V15:V21*1,_rpe,U15:U21+1,0),1)))</f>
        <v>224.9488753</v>
      </c>
      <c r="X15" s="33"/>
      <c r="Y15" s="33"/>
      <c r="Z15" s="33"/>
      <c r="AA15" s="33"/>
      <c r="AB15" s="33"/>
    </row>
    <row r="16">
      <c r="A16" s="45" t="s">
        <v>107</v>
      </c>
      <c r="B16" s="32" t="s">
        <v>68</v>
      </c>
      <c r="C16" s="45" t="s">
        <v>108</v>
      </c>
      <c r="D16" s="32" t="s">
        <v>66</v>
      </c>
      <c r="E16" s="45" t="s">
        <v>109</v>
      </c>
      <c r="F16" s="32" t="s">
        <v>67</v>
      </c>
      <c r="G16" s="51"/>
      <c r="H16" s="33"/>
      <c r="I16" s="33"/>
      <c r="J16" s="40">
        <v>2.0</v>
      </c>
      <c r="K16" s="69"/>
      <c r="L16" s="70"/>
      <c r="M16" s="71"/>
      <c r="N16" s="72"/>
      <c r="O16" s="67" t="s">
        <v>110</v>
      </c>
      <c r="P16" s="70"/>
      <c r="Q16" s="71"/>
      <c r="R16" s="72"/>
      <c r="S16" s="73" t="s">
        <v>110</v>
      </c>
      <c r="T16" s="70"/>
      <c r="U16" s="71"/>
      <c r="V16" s="74"/>
      <c r="W16" s="73" t="s">
        <v>110</v>
      </c>
      <c r="X16" s="33"/>
      <c r="Y16" s="33"/>
      <c r="Z16" s="33"/>
      <c r="AA16" s="33"/>
      <c r="AB16" s="33"/>
    </row>
    <row r="17">
      <c r="A17" s="45" t="s">
        <v>111</v>
      </c>
      <c r="B17" s="32" t="s">
        <v>68</v>
      </c>
      <c r="C17" s="45" t="s">
        <v>112</v>
      </c>
      <c r="D17" s="32" t="s">
        <v>66</v>
      </c>
      <c r="E17" s="45" t="s">
        <v>113</v>
      </c>
      <c r="F17" s="32" t="s">
        <v>67</v>
      </c>
      <c r="G17" s="51"/>
      <c r="H17" s="60"/>
      <c r="I17" s="46"/>
      <c r="J17" s="40">
        <v>3.0</v>
      </c>
      <c r="K17" s="69"/>
      <c r="L17" s="75"/>
      <c r="M17" s="71"/>
      <c r="N17" s="76"/>
      <c r="O17" s="67" t="s">
        <v>110</v>
      </c>
      <c r="P17" s="75"/>
      <c r="Q17" s="71"/>
      <c r="R17" s="76"/>
      <c r="S17" s="73" t="s">
        <v>110</v>
      </c>
      <c r="T17" s="75"/>
      <c r="U17" s="71"/>
      <c r="V17" s="77"/>
      <c r="W17" s="73" t="s">
        <v>110</v>
      </c>
      <c r="X17" s="33"/>
      <c r="Y17" s="33"/>
      <c r="Z17" s="33"/>
      <c r="AA17" s="33"/>
      <c r="AB17" s="33"/>
    </row>
    <row r="18">
      <c r="A18" s="45" t="s">
        <v>114</v>
      </c>
      <c r="B18" s="32" t="s">
        <v>68</v>
      </c>
      <c r="C18" s="45" t="s">
        <v>115</v>
      </c>
      <c r="D18" s="32" t="s">
        <v>66</v>
      </c>
      <c r="E18" s="45" t="s">
        <v>116</v>
      </c>
      <c r="F18" s="32" t="s">
        <v>67</v>
      </c>
      <c r="G18" s="51"/>
      <c r="H18" s="51"/>
      <c r="I18" s="51"/>
      <c r="J18" s="40">
        <v>4.0</v>
      </c>
      <c r="K18" s="69"/>
      <c r="L18" s="75"/>
      <c r="M18" s="71"/>
      <c r="N18" s="76"/>
      <c r="O18" s="67" t="s">
        <v>110</v>
      </c>
      <c r="P18" s="75"/>
      <c r="Q18" s="71"/>
      <c r="R18" s="76"/>
      <c r="S18" s="73" t="s">
        <v>110</v>
      </c>
      <c r="T18" s="75"/>
      <c r="U18" s="71"/>
      <c r="V18" s="77"/>
      <c r="W18" s="73" t="s">
        <v>110</v>
      </c>
      <c r="X18" s="33"/>
      <c r="Y18" s="33"/>
      <c r="Z18" s="33"/>
      <c r="AA18" s="33"/>
      <c r="AB18" s="33"/>
    </row>
    <row r="19">
      <c r="A19" s="45" t="s">
        <v>80</v>
      </c>
      <c r="B19" s="32" t="s">
        <v>68</v>
      </c>
      <c r="C19" s="45" t="s">
        <v>112</v>
      </c>
      <c r="D19" s="32" t="s">
        <v>66</v>
      </c>
      <c r="E19" s="45" t="s">
        <v>117</v>
      </c>
      <c r="F19" s="32" t="s">
        <v>67</v>
      </c>
      <c r="G19" s="51"/>
      <c r="H19" s="51"/>
      <c r="I19" s="33"/>
      <c r="J19" s="40">
        <v>5.0</v>
      </c>
      <c r="K19" s="69"/>
      <c r="L19" s="75"/>
      <c r="M19" s="71"/>
      <c r="N19" s="76"/>
      <c r="O19" s="67" t="s">
        <v>110</v>
      </c>
      <c r="P19" s="75"/>
      <c r="Q19" s="71"/>
      <c r="R19" s="76"/>
      <c r="S19" s="73" t="s">
        <v>110</v>
      </c>
      <c r="T19" s="75"/>
      <c r="U19" s="71"/>
      <c r="V19" s="77"/>
      <c r="W19" s="73" t="s">
        <v>110</v>
      </c>
      <c r="X19" s="33"/>
      <c r="Y19" s="33"/>
      <c r="Z19" s="33"/>
      <c r="AA19" s="33"/>
      <c r="AB19" s="33"/>
    </row>
    <row r="20">
      <c r="A20" s="45" t="s">
        <v>118</v>
      </c>
      <c r="B20" s="32" t="s">
        <v>68</v>
      </c>
      <c r="C20" s="45" t="s">
        <v>119</v>
      </c>
      <c r="D20" s="32" t="s">
        <v>66</v>
      </c>
      <c r="E20" s="45" t="s">
        <v>120</v>
      </c>
      <c r="F20" s="32" t="s">
        <v>67</v>
      </c>
      <c r="G20" s="51"/>
      <c r="H20" s="51"/>
      <c r="I20" s="60"/>
      <c r="J20" s="40">
        <v>6.0</v>
      </c>
      <c r="K20" s="69"/>
      <c r="L20" s="75"/>
      <c r="M20" s="71"/>
      <c r="N20" s="76"/>
      <c r="O20" s="67" t="s">
        <v>110</v>
      </c>
      <c r="P20" s="75"/>
      <c r="Q20" s="71"/>
      <c r="R20" s="76"/>
      <c r="S20" s="73" t="s">
        <v>110</v>
      </c>
      <c r="T20" s="75"/>
      <c r="U20" s="71"/>
      <c r="V20" s="77"/>
      <c r="W20" s="73" t="s">
        <v>110</v>
      </c>
      <c r="X20" s="33"/>
      <c r="Y20" s="33"/>
      <c r="Z20" s="33"/>
      <c r="AA20" s="33"/>
      <c r="AB20" s="33"/>
    </row>
    <row r="21">
      <c r="A21" s="45" t="s">
        <v>121</v>
      </c>
      <c r="B21" s="32" t="s">
        <v>68</v>
      </c>
      <c r="C21" s="45" t="s">
        <v>122</v>
      </c>
      <c r="D21" s="32" t="s">
        <v>66</v>
      </c>
      <c r="E21" s="45" t="s">
        <v>123</v>
      </c>
      <c r="F21" s="32" t="s">
        <v>67</v>
      </c>
      <c r="G21" s="51"/>
      <c r="H21" s="51"/>
      <c r="I21" s="51"/>
      <c r="J21" s="40">
        <v>7.0</v>
      </c>
      <c r="K21" s="69"/>
      <c r="L21" s="75"/>
      <c r="M21" s="71"/>
      <c r="N21" s="76"/>
      <c r="O21" s="67" t="s">
        <v>110</v>
      </c>
      <c r="P21" s="75"/>
      <c r="Q21" s="71"/>
      <c r="R21" s="76"/>
      <c r="S21" s="78" t="s">
        <v>110</v>
      </c>
      <c r="T21" s="75"/>
      <c r="U21" s="71"/>
      <c r="V21" s="77"/>
      <c r="W21" s="78" t="s">
        <v>110</v>
      </c>
      <c r="X21" s="33"/>
      <c r="Y21" s="33"/>
      <c r="Z21" s="33"/>
      <c r="AA21" s="33"/>
      <c r="AB21" s="33"/>
    </row>
    <row r="22" ht="27.75" customHeight="1">
      <c r="A22" s="45" t="s">
        <v>124</v>
      </c>
      <c r="B22" s="32" t="s">
        <v>68</v>
      </c>
      <c r="C22" s="45" t="s">
        <v>125</v>
      </c>
      <c r="D22" s="32" t="s">
        <v>66</v>
      </c>
      <c r="E22" s="45" t="s">
        <v>126</v>
      </c>
      <c r="F22" s="32" t="s">
        <v>67</v>
      </c>
      <c r="G22" s="33"/>
      <c r="H22" s="51"/>
      <c r="I22" s="51"/>
      <c r="J22" s="39"/>
      <c r="K22" s="39"/>
      <c r="L22" s="39"/>
      <c r="M22" s="39"/>
      <c r="N22" s="39"/>
      <c r="O22" s="39"/>
      <c r="P22" s="39"/>
      <c r="Q22" s="39"/>
      <c r="R22" s="39"/>
      <c r="S22" s="39"/>
      <c r="T22" s="39"/>
      <c r="U22" s="39"/>
      <c r="V22" s="39"/>
      <c r="W22" s="39"/>
      <c r="X22" s="33"/>
      <c r="Y22" s="33"/>
      <c r="Z22" s="33"/>
      <c r="AA22" s="33"/>
      <c r="AB22" s="33"/>
    </row>
    <row r="23">
      <c r="A23" s="45" t="s">
        <v>127</v>
      </c>
      <c r="B23" s="32" t="s">
        <v>68</v>
      </c>
      <c r="C23" s="45" t="s">
        <v>128</v>
      </c>
      <c r="D23" s="32" t="s">
        <v>66</v>
      </c>
      <c r="E23" s="45" t="s">
        <v>129</v>
      </c>
      <c r="F23" s="32" t="s">
        <v>67</v>
      </c>
      <c r="G23" s="33"/>
      <c r="H23" s="51"/>
      <c r="I23" s="51"/>
      <c r="J23" s="39"/>
      <c r="K23" s="6" t="s">
        <v>130</v>
      </c>
      <c r="L23" s="39"/>
      <c r="M23" s="39"/>
      <c r="N23" s="39"/>
      <c r="O23" s="39"/>
      <c r="P23" s="6" t="s">
        <v>131</v>
      </c>
      <c r="Q23" s="39"/>
      <c r="R23" s="39"/>
      <c r="S23" s="39"/>
      <c r="T23" s="39"/>
      <c r="U23" s="39"/>
      <c r="V23" s="39"/>
      <c r="W23" s="39"/>
      <c r="X23" s="33"/>
      <c r="Y23" s="33"/>
      <c r="Z23" s="33"/>
      <c r="AA23" s="33"/>
      <c r="AB23" s="33"/>
    </row>
    <row r="24">
      <c r="A24" s="45" t="s">
        <v>132</v>
      </c>
      <c r="B24" s="32" t="s">
        <v>68</v>
      </c>
      <c r="C24" s="45" t="s">
        <v>133</v>
      </c>
      <c r="D24" s="32" t="s">
        <v>66</v>
      </c>
      <c r="E24" s="45" t="s">
        <v>134</v>
      </c>
      <c r="F24" s="32" t="s">
        <v>67</v>
      </c>
      <c r="G24" s="33"/>
      <c r="H24" s="51"/>
      <c r="I24" s="51"/>
      <c r="J24" s="39"/>
      <c r="K24" s="39"/>
      <c r="L24" s="39"/>
      <c r="M24" s="39"/>
      <c r="N24" s="39"/>
      <c r="O24" s="39"/>
      <c r="P24" s="39"/>
      <c r="Q24" s="39"/>
      <c r="R24" s="39"/>
      <c r="S24" s="39"/>
      <c r="T24" s="39"/>
      <c r="U24" s="39"/>
      <c r="V24" s="39"/>
      <c r="W24" s="39"/>
      <c r="X24" s="33"/>
      <c r="Y24" s="33"/>
      <c r="Z24" s="33"/>
      <c r="AA24" s="33"/>
      <c r="AB24" s="33"/>
    </row>
    <row r="25">
      <c r="A25" s="45" t="s">
        <v>135</v>
      </c>
      <c r="B25" s="32" t="s">
        <v>68</v>
      </c>
      <c r="C25" s="45" t="s">
        <v>136</v>
      </c>
      <c r="D25" s="32" t="s">
        <v>66</v>
      </c>
      <c r="E25" s="45" t="s">
        <v>137</v>
      </c>
      <c r="F25" s="32" t="s">
        <v>67</v>
      </c>
      <c r="G25" s="33"/>
      <c r="H25" s="33"/>
      <c r="I25" s="51"/>
      <c r="J25" s="39"/>
      <c r="K25" s="79" t="s">
        <v>138</v>
      </c>
      <c r="L25" s="80">
        <f>TODAY()</f>
        <v>46109</v>
      </c>
      <c r="M25" s="81"/>
      <c r="N25" s="82"/>
      <c r="O25" s="39"/>
      <c r="P25" s="83" t="s">
        <v>139</v>
      </c>
      <c r="Q25" s="83" t="s">
        <v>140</v>
      </c>
      <c r="R25" s="83" t="s">
        <v>141</v>
      </c>
      <c r="S25" s="83" t="s">
        <v>142</v>
      </c>
      <c r="T25" s="83" t="s">
        <v>143</v>
      </c>
      <c r="U25" s="39"/>
      <c r="V25" s="39"/>
      <c r="W25" s="39"/>
      <c r="X25" s="39"/>
      <c r="Y25" s="39"/>
      <c r="Z25" s="33"/>
      <c r="AA25" s="33"/>
      <c r="AB25" s="33"/>
    </row>
    <row r="26">
      <c r="A26" s="45" t="s">
        <v>144</v>
      </c>
      <c r="B26" s="32" t="s">
        <v>68</v>
      </c>
      <c r="C26" s="45" t="s">
        <v>145</v>
      </c>
      <c r="D26" s="32" t="s">
        <v>66</v>
      </c>
      <c r="E26" s="45" t="s">
        <v>146</v>
      </c>
      <c r="F26" s="32" t="s">
        <v>67</v>
      </c>
      <c r="G26" s="33"/>
      <c r="H26" s="33"/>
      <c r="I26" s="51"/>
      <c r="J26" s="39"/>
      <c r="K26" s="79" t="s">
        <v>147</v>
      </c>
      <c r="L26" s="84" t="s">
        <v>148</v>
      </c>
      <c r="M26" s="81"/>
      <c r="N26" s="82"/>
      <c r="O26" s="39"/>
      <c r="P26" s="85" t="s">
        <v>149</v>
      </c>
      <c r="Q26" s="86" t="str">
        <f t="shared" ref="Q26:S26" si="1">Q27-Q28&amp;"-"&amp;Q27+Q28&amp;"g"</f>
        <v>-5-5g</v>
      </c>
      <c r="R26" s="86" t="str">
        <f t="shared" si="1"/>
        <v>#NUM!</v>
      </c>
      <c r="S26" s="86" t="str">
        <f t="shared" si="1"/>
        <v>170-190g</v>
      </c>
      <c r="T26" s="87" t="str">
        <f>((R27-R28)*4+(S27-S28)*4+(Q27-Q28)*9&amp;" - "&amp;((R27+R28)*4+(S27+S28)*4+(Q27+Q28)*9)&amp;" kcals")</f>
        <v>#NUM!</v>
      </c>
      <c r="U26" s="39"/>
      <c r="V26" s="39"/>
      <c r="W26" s="39"/>
      <c r="X26" s="39"/>
      <c r="Y26" s="39"/>
      <c r="Z26" s="33"/>
      <c r="AA26" s="33"/>
      <c r="AB26" s="33"/>
    </row>
    <row r="27">
      <c r="A27" s="45" t="s">
        <v>150</v>
      </c>
      <c r="B27" s="32" t="s">
        <v>68</v>
      </c>
      <c r="C27" s="45" t="s">
        <v>151</v>
      </c>
      <c r="D27" s="32" t="s">
        <v>66</v>
      </c>
      <c r="E27" s="45" t="s">
        <v>152</v>
      </c>
      <c r="F27" s="32" t="s">
        <v>67</v>
      </c>
      <c r="G27" s="33"/>
      <c r="H27" s="33"/>
      <c r="I27" s="51"/>
      <c r="J27" s="39"/>
      <c r="K27" s="79" t="s">
        <v>153</v>
      </c>
      <c r="L27" s="84" t="s">
        <v>154</v>
      </c>
      <c r="M27" s="81"/>
      <c r="N27" s="82"/>
      <c r="O27" s="39"/>
      <c r="P27" s="88" t="s">
        <v>155</v>
      </c>
      <c r="Q27" s="89">
        <f>'Personal Info'!L50</f>
        <v>0</v>
      </c>
      <c r="R27" s="89" t="str">
        <f>'Personal Info'!L51</f>
        <v>#NUM!</v>
      </c>
      <c r="S27" s="89">
        <f>'Personal Info'!L52</f>
        <v>180</v>
      </c>
      <c r="T27" s="90" t="str">
        <f>R27*4+S27*4+Q27*9</f>
        <v>#NUM!</v>
      </c>
      <c r="U27" s="39"/>
      <c r="V27" s="39"/>
      <c r="W27" s="39"/>
      <c r="X27" s="39"/>
      <c r="Y27" s="39"/>
      <c r="Z27" s="33"/>
      <c r="AA27" s="33"/>
      <c r="AB27" s="33"/>
    </row>
    <row r="28">
      <c r="A28" s="45" t="s">
        <v>156</v>
      </c>
      <c r="B28" s="32" t="s">
        <v>68</v>
      </c>
      <c r="C28" s="45" t="s">
        <v>157</v>
      </c>
      <c r="D28" s="32" t="s">
        <v>66</v>
      </c>
      <c r="E28" s="45" t="s">
        <v>158</v>
      </c>
      <c r="F28" s="32" t="s">
        <v>67</v>
      </c>
      <c r="G28" s="33"/>
      <c r="H28" s="33"/>
      <c r="I28" s="51"/>
      <c r="J28" s="39"/>
      <c r="K28" s="79" t="s">
        <v>159</v>
      </c>
      <c r="L28" s="84" t="s">
        <v>160</v>
      </c>
      <c r="M28" s="81"/>
      <c r="N28" s="82"/>
      <c r="O28" s="39"/>
      <c r="P28" s="88" t="s">
        <v>161</v>
      </c>
      <c r="Q28" s="91">
        <v>5.0</v>
      </c>
      <c r="R28" s="91">
        <v>10.0</v>
      </c>
      <c r="S28" s="91">
        <v>10.0</v>
      </c>
      <c r="T28" s="92"/>
      <c r="U28" s="39"/>
      <c r="V28" s="39"/>
      <c r="W28" s="39"/>
      <c r="X28" s="39"/>
      <c r="Y28" s="39"/>
      <c r="Z28" s="33"/>
      <c r="AA28" s="33"/>
      <c r="AB28" s="33"/>
    </row>
    <row r="29">
      <c r="A29" s="45" t="s">
        <v>162</v>
      </c>
      <c r="B29" s="32" t="s">
        <v>68</v>
      </c>
      <c r="C29" s="45" t="s">
        <v>163</v>
      </c>
      <c r="D29" s="32" t="s">
        <v>66</v>
      </c>
      <c r="E29" s="45" t="s">
        <v>164</v>
      </c>
      <c r="F29" s="32" t="s">
        <v>67</v>
      </c>
      <c r="G29" s="33"/>
      <c r="H29" s="33"/>
      <c r="I29" s="33"/>
      <c r="J29" s="33"/>
      <c r="K29" s="79" t="s">
        <v>165</v>
      </c>
      <c r="L29" s="84">
        <v>18.0</v>
      </c>
      <c r="M29" s="81"/>
      <c r="N29" s="82"/>
      <c r="O29" s="33"/>
      <c r="P29" s="93" t="s">
        <v>166</v>
      </c>
      <c r="Q29" s="86">
        <f>IF(Q30-Q31&lt;0, 0, Q30-Q31&amp;"-"&amp;Q30+Q31&amp;"g")</f>
        <v>0</v>
      </c>
      <c r="R29" s="86">
        <f t="shared" ref="R29:S29" si="2">IF(R30-R31&lt;0,0,R30-R31&amp;"-"&amp;R30+R31&amp;"g")</f>
        <v>0</v>
      </c>
      <c r="S29" s="86">
        <f t="shared" si="2"/>
        <v>0</v>
      </c>
      <c r="T29" s="87">
        <f>IF((R30-R31)*4+(S30-S31)*4+(Q30-Q31)*9&lt;0,0,((R30-R31)*4+(S30-S31)*4+(Q30-Q31)*9&amp;" - "&amp;((R30+R31)*4+(S30+S31)*4+(Q30+Q31)*9)&amp;" kcals"))</f>
        <v>0</v>
      </c>
      <c r="U29" s="39"/>
      <c r="V29" s="39"/>
      <c r="W29" s="39"/>
      <c r="X29" s="39"/>
      <c r="Y29" s="39"/>
      <c r="Z29" s="33"/>
      <c r="AA29" s="33"/>
      <c r="AB29" s="33"/>
    </row>
    <row r="30">
      <c r="A30" s="45" t="s">
        <v>167</v>
      </c>
      <c r="B30" s="32" t="s">
        <v>68</v>
      </c>
      <c r="C30" s="45" t="s">
        <v>168</v>
      </c>
      <c r="D30" s="32" t="s">
        <v>66</v>
      </c>
      <c r="E30" s="45" t="s">
        <v>169</v>
      </c>
      <c r="F30" s="32" t="s">
        <v>67</v>
      </c>
      <c r="G30" s="33"/>
      <c r="H30" s="33"/>
      <c r="I30" s="33"/>
      <c r="J30" s="33"/>
      <c r="K30" s="79" t="s">
        <v>170</v>
      </c>
      <c r="L30" s="84">
        <v>180.0</v>
      </c>
      <c r="M30" s="81"/>
      <c r="N30" s="82"/>
      <c r="O30" s="33"/>
      <c r="P30" s="88" t="s">
        <v>155</v>
      </c>
      <c r="Q30" s="89">
        <f>'Personal Info'!L55</f>
        <v>0</v>
      </c>
      <c r="R30" s="89">
        <f>'Personal Info'!L56</f>
        <v>0</v>
      </c>
      <c r="S30" s="89">
        <f>'Personal Info'!L57</f>
        <v>0</v>
      </c>
      <c r="T30" s="94">
        <f>R30*4+S30*4+Q30*9</f>
        <v>0</v>
      </c>
      <c r="U30" s="39"/>
      <c r="V30" s="39"/>
      <c r="W30" s="39"/>
      <c r="X30" s="39"/>
      <c r="Y30" s="39"/>
      <c r="Z30" s="33"/>
      <c r="AA30" s="33"/>
      <c r="AB30" s="33"/>
    </row>
    <row r="31">
      <c r="A31" s="45" t="s">
        <v>171</v>
      </c>
      <c r="B31" s="32" t="s">
        <v>68</v>
      </c>
      <c r="C31" s="45" t="s">
        <v>172</v>
      </c>
      <c r="D31" s="32" t="s">
        <v>66</v>
      </c>
      <c r="E31" s="45" t="s">
        <v>173</v>
      </c>
      <c r="F31" s="32" t="s">
        <v>67</v>
      </c>
      <c r="G31" s="33"/>
      <c r="H31" s="33"/>
      <c r="I31" s="33"/>
      <c r="J31" s="33"/>
      <c r="K31" s="79" t="s">
        <v>174</v>
      </c>
      <c r="L31" s="95">
        <f>IFERROR(IF(_uom="lbs",L30,L30*2.20462)*10*L33, "enter here or activity level")</f>
        <v>2700</v>
      </c>
      <c r="O31" s="33"/>
      <c r="P31" s="88" t="s">
        <v>161</v>
      </c>
      <c r="Q31" s="96">
        <v>5.0</v>
      </c>
      <c r="R31" s="96">
        <v>10.0</v>
      </c>
      <c r="S31" s="96">
        <v>10.0</v>
      </c>
      <c r="T31" s="92"/>
      <c r="U31" s="39"/>
      <c r="V31" s="39"/>
      <c r="W31" s="39"/>
      <c r="X31" s="39"/>
      <c r="Y31" s="39"/>
      <c r="Z31" s="33"/>
      <c r="AA31" s="33"/>
      <c r="AB31" s="33"/>
    </row>
    <row r="32">
      <c r="A32" s="45" t="s">
        <v>175</v>
      </c>
      <c r="B32" s="32" t="s">
        <v>68</v>
      </c>
      <c r="C32" s="45" t="s">
        <v>176</v>
      </c>
      <c r="D32" s="32" t="s">
        <v>66</v>
      </c>
      <c r="E32" s="45" t="s">
        <v>177</v>
      </c>
      <c r="F32" s="32" t="s">
        <v>67</v>
      </c>
      <c r="G32" s="33"/>
      <c r="H32" s="33"/>
      <c r="I32" s="33"/>
      <c r="J32" s="33"/>
      <c r="K32" s="79" t="s">
        <v>178</v>
      </c>
      <c r="L32" s="97" t="s">
        <v>179</v>
      </c>
      <c r="M32" s="81"/>
      <c r="N32" s="82"/>
      <c r="O32" s="33"/>
      <c r="P32" s="39"/>
      <c r="Q32" s="39"/>
      <c r="R32" s="39"/>
      <c r="S32" s="39"/>
      <c r="T32" s="33"/>
      <c r="U32" s="33"/>
      <c r="V32" s="33"/>
      <c r="W32" s="33"/>
      <c r="X32" s="33"/>
      <c r="Y32" s="33"/>
      <c r="Z32" s="33"/>
      <c r="AA32" s="33"/>
      <c r="AB32" s="33"/>
    </row>
    <row r="33">
      <c r="A33" s="45" t="s">
        <v>180</v>
      </c>
      <c r="B33" s="32" t="s">
        <v>68</v>
      </c>
      <c r="C33" s="45" t="s">
        <v>181</v>
      </c>
      <c r="D33" s="32" t="s">
        <v>66</v>
      </c>
      <c r="E33" s="45" t="s">
        <v>182</v>
      </c>
      <c r="F33" s="32" t="s">
        <v>67</v>
      </c>
      <c r="G33" s="33"/>
      <c r="H33" s="33"/>
      <c r="I33" s="33"/>
      <c r="J33" s="33"/>
      <c r="K33" s="98" t="str">
        <f>"RANGE: "&amp;IF(L32=Home!T44,"1.3 - 1.6", IF(L32=Home!T45, "1.5 - 1.8", IF(L32=Home!T46, "1.7 - 2.0", IF(L32=Home!T47,"1.9 - 2.2","n/a"))))</f>
        <v>RANGE: 1.5 - 1.8</v>
      </c>
      <c r="L33" s="84">
        <v>1.5</v>
      </c>
      <c r="M33" s="81"/>
      <c r="N33" s="82"/>
      <c r="O33" s="33"/>
      <c r="P33" s="39"/>
      <c r="Q33" s="39"/>
      <c r="R33" s="39"/>
      <c r="S33" s="39"/>
      <c r="T33" s="33"/>
      <c r="U33" s="33"/>
      <c r="V33" s="33"/>
      <c r="W33" s="33"/>
      <c r="X33" s="33"/>
      <c r="Y33" s="33"/>
      <c r="Z33" s="33"/>
      <c r="AA33" s="33"/>
      <c r="AB33" s="33"/>
    </row>
    <row r="34">
      <c r="A34" s="45" t="s">
        <v>183</v>
      </c>
      <c r="B34" s="32" t="s">
        <v>68</v>
      </c>
      <c r="C34" s="45" t="s">
        <v>184</v>
      </c>
      <c r="D34" s="32" t="s">
        <v>66</v>
      </c>
      <c r="E34" s="45" t="s">
        <v>185</v>
      </c>
      <c r="F34" s="32" t="s">
        <v>67</v>
      </c>
      <c r="G34" s="33"/>
      <c r="H34" s="33"/>
      <c r="I34" s="33"/>
      <c r="J34" s="33"/>
      <c r="K34" s="79" t="s">
        <v>186</v>
      </c>
      <c r="L34" s="84" t="s">
        <v>187</v>
      </c>
      <c r="M34" s="81"/>
      <c r="N34" s="82"/>
      <c r="O34" s="33"/>
      <c r="P34" s="39"/>
      <c r="Q34" s="39"/>
      <c r="R34" s="39"/>
      <c r="S34" s="39"/>
      <c r="T34" s="33"/>
      <c r="U34" s="33"/>
      <c r="V34" s="33"/>
      <c r="W34" s="38"/>
      <c r="X34" s="33"/>
      <c r="Y34" s="33"/>
      <c r="Z34" s="33"/>
      <c r="AA34" s="33"/>
      <c r="AB34" s="33"/>
    </row>
    <row r="35">
      <c r="A35" s="45" t="s">
        <v>188</v>
      </c>
      <c r="B35" s="32" t="s">
        <v>68</v>
      </c>
      <c r="C35" s="45" t="s">
        <v>189</v>
      </c>
      <c r="D35" s="32" t="s">
        <v>66</v>
      </c>
      <c r="E35" s="45" t="s">
        <v>190</v>
      </c>
      <c r="F35" s="32" t="s">
        <v>67</v>
      </c>
      <c r="G35" s="33"/>
      <c r="H35" s="33"/>
      <c r="I35" s="33"/>
      <c r="J35" s="33"/>
      <c r="K35" s="79" t="s">
        <v>191</v>
      </c>
      <c r="L35" s="84" t="s">
        <v>192</v>
      </c>
      <c r="M35" s="81"/>
      <c r="N35" s="82"/>
      <c r="O35" s="33"/>
      <c r="P35" s="39"/>
      <c r="Q35" s="39"/>
      <c r="R35" s="39"/>
      <c r="S35" s="39"/>
      <c r="T35" s="33"/>
      <c r="U35" s="33"/>
      <c r="V35" s="33"/>
      <c r="W35" s="38"/>
      <c r="X35" s="33"/>
      <c r="Y35" s="33"/>
      <c r="Z35" s="33"/>
      <c r="AA35" s="33"/>
      <c r="AB35" s="33"/>
    </row>
    <row r="36">
      <c r="A36" s="45" t="s">
        <v>193</v>
      </c>
      <c r="B36" s="32" t="s">
        <v>68</v>
      </c>
      <c r="C36" s="45" t="s">
        <v>194</v>
      </c>
      <c r="D36" s="32" t="s">
        <v>66</v>
      </c>
      <c r="E36" s="45" t="s">
        <v>195</v>
      </c>
      <c r="F36" s="32" t="s">
        <v>67</v>
      </c>
      <c r="G36" s="33"/>
      <c r="H36" s="33"/>
      <c r="I36" s="33"/>
      <c r="J36" s="33"/>
      <c r="K36" s="79" t="s">
        <v>196</v>
      </c>
      <c r="L36" s="84" t="s">
        <v>197</v>
      </c>
      <c r="M36" s="81"/>
      <c r="N36" s="82"/>
      <c r="O36" s="33"/>
      <c r="P36" s="6" t="s">
        <v>198</v>
      </c>
      <c r="Q36" s="99"/>
      <c r="R36" s="99"/>
      <c r="S36" s="99"/>
      <c r="T36" s="99"/>
      <c r="U36" s="33"/>
      <c r="V36" s="33"/>
      <c r="W36" s="38"/>
      <c r="X36" s="33"/>
      <c r="Y36" s="33"/>
      <c r="Z36" s="33"/>
      <c r="AA36" s="33"/>
      <c r="AB36" s="33"/>
    </row>
    <row r="37">
      <c r="A37" s="45" t="s">
        <v>199</v>
      </c>
      <c r="B37" s="32" t="s">
        <v>68</v>
      </c>
      <c r="C37" s="45" t="s">
        <v>200</v>
      </c>
      <c r="D37" s="32" t="s">
        <v>66</v>
      </c>
      <c r="E37" s="45" t="s">
        <v>201</v>
      </c>
      <c r="F37" s="32" t="s">
        <v>67</v>
      </c>
      <c r="G37" s="33"/>
      <c r="H37" s="33"/>
      <c r="I37" s="33"/>
      <c r="J37" s="33"/>
      <c r="K37" s="98" t="str">
        <f>IF(L36="Lean gain","NOVICE, INT, OR ADVANCED?", IF(L36="Cutting phase", "RATE OF WEIGHT LOSS","CHOOSE LEAN GAIN OR CUT ABOVE"))</f>
        <v>CHOOSE LEAN GAIN OR CUT ABOVE</v>
      </c>
      <c r="L37" s="84" t="s">
        <v>192</v>
      </c>
      <c r="M37" s="81"/>
      <c r="N37" s="82"/>
      <c r="O37" s="33"/>
      <c r="P37" s="100"/>
      <c r="Q37" s="100"/>
      <c r="R37" s="100"/>
      <c r="S37" s="100"/>
      <c r="T37" s="50"/>
      <c r="U37" s="33"/>
      <c r="V37" s="33"/>
      <c r="W37" s="38"/>
      <c r="X37" s="33"/>
      <c r="Y37" s="33"/>
      <c r="Z37" s="33"/>
      <c r="AA37" s="33"/>
      <c r="AB37" s="33"/>
    </row>
    <row r="38">
      <c r="A38" s="45" t="s">
        <v>202</v>
      </c>
      <c r="B38" s="32" t="s">
        <v>68</v>
      </c>
      <c r="C38" s="45" t="s">
        <v>203</v>
      </c>
      <c r="D38" s="32" t="s">
        <v>66</v>
      </c>
      <c r="E38" s="45" t="s">
        <v>204</v>
      </c>
      <c r="F38" s="32" t="s">
        <v>67</v>
      </c>
      <c r="G38" s="33"/>
      <c r="H38" s="33"/>
      <c r="I38" s="33"/>
      <c r="J38" s="33"/>
      <c r="K38" s="101"/>
      <c r="L38" s="102"/>
      <c r="M38" s="102"/>
      <c r="N38" s="33"/>
      <c r="O38" s="33"/>
      <c r="P38" s="103"/>
      <c r="Q38" s="103" t="s">
        <v>205</v>
      </c>
      <c r="R38" s="103" t="s">
        <v>206</v>
      </c>
      <c r="S38" s="103" t="s">
        <v>207</v>
      </c>
      <c r="T38" s="103" t="s">
        <v>208</v>
      </c>
      <c r="U38" s="33"/>
      <c r="V38" s="33"/>
      <c r="W38" s="38"/>
      <c r="X38" s="33"/>
      <c r="Y38" s="33"/>
      <c r="Z38" s="33"/>
      <c r="AA38" s="33"/>
      <c r="AB38" s="33"/>
    </row>
    <row r="39">
      <c r="A39" s="45" t="s">
        <v>209</v>
      </c>
      <c r="B39" s="32" t="s">
        <v>68</v>
      </c>
      <c r="C39" s="45" t="s">
        <v>210</v>
      </c>
      <c r="D39" s="32" t="s">
        <v>66</v>
      </c>
      <c r="E39" s="45" t="s">
        <v>211</v>
      </c>
      <c r="F39" s="32" t="s">
        <v>67</v>
      </c>
      <c r="G39" s="33"/>
      <c r="H39" s="33"/>
      <c r="I39" s="33"/>
      <c r="J39" s="33"/>
      <c r="K39" s="98" t="str">
        <f>IF(L36="Cutting phase", "# REFEEDS: (RECOMMEND "&amp;IF(L36="Select here", "",IF(L36="Lean gain","", IF(OR(AND(L34="Male",L35&gt;=0.2),AND(L34="Female",L35&gt;=0.28)),  1,  IF(OR(AND(L34="Male",L35&gt;=0.12,L35&lt;=0.19),AND(L34="Female",L35&gt;=0.2,L35&lt;=0.27)),  2,   IF(OR(AND(L34="Male",L35&lt;0.12),AND(L34="Female",L35&lt;0.2)),   3,  "")))))&amp;")", "HIGH DAYS?")</f>
        <v>HIGH DAYS?</v>
      </c>
      <c r="L39" s="104"/>
      <c r="M39" s="81"/>
      <c r="N39" s="82"/>
      <c r="O39" s="33"/>
      <c r="P39" s="105" t="s">
        <v>212</v>
      </c>
      <c r="Q39" s="106"/>
      <c r="R39" s="106"/>
      <c r="S39" s="107">
        <f>Q39*R39</f>
        <v>0</v>
      </c>
      <c r="T39" s="107" t="str">
        <f t="array" ref="T39">MROUND(INDEX(Home!E22:E108,COUNTA(Home!E22:E108),1)*0.2,5)&amp;"-"&amp;MROUND(INDEX(Home!E22:E108,COUNTA(Home!E22:E108),1)*0.45,5)</f>
        <v>0-0</v>
      </c>
      <c r="U39" s="33"/>
      <c r="V39" s="33"/>
      <c r="W39" s="38"/>
      <c r="X39" s="33"/>
      <c r="Y39" s="33"/>
      <c r="Z39" s="33"/>
      <c r="AA39" s="33"/>
      <c r="AB39" s="33"/>
    </row>
    <row r="40">
      <c r="A40" s="45" t="s">
        <v>213</v>
      </c>
      <c r="B40" s="32" t="s">
        <v>68</v>
      </c>
      <c r="C40" s="45" t="s">
        <v>214</v>
      </c>
      <c r="D40" s="32" t="s">
        <v>66</v>
      </c>
      <c r="E40" s="45" t="s">
        <v>215</v>
      </c>
      <c r="F40" s="32" t="s">
        <v>67</v>
      </c>
      <c r="G40" s="33"/>
      <c r="H40" s="33"/>
      <c r="I40" s="33"/>
      <c r="J40" s="33"/>
      <c r="K40" s="98" t="str">
        <f>IF(L36="Lean gain", "DAILY KCALS:", IF(L36="Cutting phase","LOW DAY KCALS:", ""))</f>
        <v/>
      </c>
      <c r="L40" s="95" t="str">
        <f>IFERROR(IF(L36="Select here","",   IF(L36="Lean gain",   L31+IF(L37=Home!T32,(IF(_uom="lbs",L30,L30*2.20462)*0.015*3500)/4/7,IF(L37=Home!T33,(IF(_uom="lbs",L30,L30*2.20462)*0.01*3500)/4/7,IF(L37=Home!T34,(IF(_uom="lbs",L30,L30*2.20462)*0.005*3500)/4/7))),   L31 -    (3500  *  IF(_uom="lbs",L30,L30*2.20462)*IF(L37=Home!T38, 0.01, IF(L37=Home!T39, 0.0075, IF(L37=Home!T40, 0.005, "bananas"))))   /   (7-L39))), "")</f>
        <v/>
      </c>
      <c r="O40" s="50"/>
      <c r="P40" s="105" t="s">
        <v>216</v>
      </c>
      <c r="Q40" s="106"/>
      <c r="R40" s="105" t="s">
        <v>217</v>
      </c>
      <c r="S40" s="106"/>
      <c r="T40" s="107" t="str">
        <f t="array" ref="T40">MROUND(INDEX(Home!E22:E108,COUNTA(Home!E22:E108),1)*0.45,5)&amp;"-"&amp;MROUND(INDEX(Home!E22:E108,COUNTA(Home!E22:E108),1)*0.7,5)</f>
        <v>0-0</v>
      </c>
      <c r="U40" s="33"/>
      <c r="V40" s="33"/>
      <c r="W40" s="33"/>
      <c r="X40" s="33"/>
      <c r="Y40" s="33"/>
      <c r="Z40" s="33"/>
      <c r="AA40" s="33"/>
      <c r="AB40" s="33"/>
    </row>
    <row r="41">
      <c r="A41" s="45" t="s">
        <v>218</v>
      </c>
      <c r="B41" s="32" t="s">
        <v>68</v>
      </c>
      <c r="C41" s="45" t="s">
        <v>219</v>
      </c>
      <c r="D41" s="32" t="s">
        <v>66</v>
      </c>
      <c r="E41" s="45" t="s">
        <v>220</v>
      </c>
      <c r="F41" s="32" t="s">
        <v>67</v>
      </c>
      <c r="G41" s="33"/>
      <c r="H41" s="33"/>
      <c r="I41" s="33"/>
      <c r="J41" s="33"/>
      <c r="K41" s="98" t="str">
        <f>IF(L36="Cutting phase", "REFEED KCALS:", IF(AND(K39="HIGH DAYS?",OR(L39="",0)),"","HIGH DAYS:"))</f>
        <v/>
      </c>
      <c r="L41" s="108" t="str">
        <f>IF(L39=0,"",L31)</f>
        <v/>
      </c>
      <c r="O41" s="50"/>
      <c r="P41" s="100"/>
      <c r="Q41" s="100"/>
      <c r="R41" s="100"/>
      <c r="S41" s="100"/>
      <c r="T41" s="50"/>
      <c r="U41" s="33"/>
      <c r="V41" s="33"/>
      <c r="W41" s="33"/>
      <c r="X41" s="33"/>
      <c r="Y41" s="33"/>
      <c r="Z41" s="33"/>
      <c r="AA41" s="33"/>
      <c r="AB41" s="33"/>
    </row>
    <row r="42">
      <c r="A42" s="45" t="s">
        <v>221</v>
      </c>
      <c r="B42" s="32" t="s">
        <v>68</v>
      </c>
      <c r="C42" s="45" t="s">
        <v>222</v>
      </c>
      <c r="D42" s="32" t="s">
        <v>66</v>
      </c>
      <c r="E42" s="45" t="s">
        <v>223</v>
      </c>
      <c r="F42" s="32" t="s">
        <v>67</v>
      </c>
      <c r="G42" s="33"/>
      <c r="H42" s="33"/>
      <c r="I42" s="33"/>
      <c r="J42" s="33"/>
      <c r="K42" s="101"/>
      <c r="L42" s="109"/>
      <c r="M42" s="109"/>
      <c r="N42" s="50"/>
      <c r="O42" s="33"/>
      <c r="P42" s="39"/>
      <c r="Q42" s="39"/>
      <c r="R42" s="39"/>
      <c r="S42" s="39"/>
      <c r="T42" s="50"/>
      <c r="U42" s="33"/>
      <c r="V42" s="33"/>
      <c r="W42" s="33"/>
      <c r="X42" s="33"/>
      <c r="Y42" s="33"/>
      <c r="Z42" s="33"/>
      <c r="AA42" s="33"/>
      <c r="AB42" s="33"/>
    </row>
    <row r="43">
      <c r="A43" s="45" t="s">
        <v>224</v>
      </c>
      <c r="B43" s="32" t="s">
        <v>68</v>
      </c>
      <c r="C43" s="45" t="s">
        <v>225</v>
      </c>
      <c r="D43" s="32" t="s">
        <v>66</v>
      </c>
      <c r="E43" s="45" t="s">
        <v>226</v>
      </c>
      <c r="F43" s="32" t="s">
        <v>67</v>
      </c>
      <c r="G43" s="33"/>
      <c r="H43" s="33"/>
      <c r="I43" s="33"/>
      <c r="J43" s="33"/>
      <c r="K43" s="110" t="s">
        <v>142</v>
      </c>
      <c r="L43" s="109"/>
      <c r="O43" s="33"/>
      <c r="P43" s="39"/>
      <c r="Q43" s="39"/>
      <c r="R43" s="39"/>
      <c r="S43" s="39"/>
      <c r="T43" s="33"/>
      <c r="U43" s="33"/>
      <c r="V43" s="33"/>
      <c r="W43" s="33"/>
      <c r="X43" s="33"/>
      <c r="Y43" s="33"/>
      <c r="Z43" s="33"/>
      <c r="AA43" s="33"/>
      <c r="AB43" s="33"/>
    </row>
    <row r="44">
      <c r="A44" s="45" t="s">
        <v>227</v>
      </c>
      <c r="B44" s="32" t="s">
        <v>68</v>
      </c>
      <c r="C44" s="45" t="s">
        <v>228</v>
      </c>
      <c r="D44" s="32" t="s">
        <v>66</v>
      </c>
      <c r="E44" s="45" t="s">
        <v>229</v>
      </c>
      <c r="F44" s="32" t="s">
        <v>67</v>
      </c>
      <c r="G44" s="33"/>
      <c r="H44" s="33"/>
      <c r="I44" s="33"/>
      <c r="J44" s="33"/>
      <c r="K44" s="98" t="str">
        <f>"CHOOSE BTW "&amp;IF(L36="Lean gain","0.8 - 1.0 g/lb  ", IF(L36="cutting phase", "1.1 - 1.3 g/lb  ", "n/a"))</f>
        <v>CHOOSE BTW n/a</v>
      </c>
      <c r="L44" s="111">
        <v>1.0</v>
      </c>
      <c r="M44" s="81"/>
      <c r="N44" s="82"/>
      <c r="O44" s="33"/>
      <c r="P44" s="39"/>
      <c r="Q44" s="39"/>
      <c r="R44" s="39"/>
      <c r="S44" s="39"/>
      <c r="T44" s="33"/>
      <c r="U44" s="33"/>
      <c r="V44" s="33"/>
      <c r="W44" s="33"/>
      <c r="X44" s="33"/>
      <c r="Y44" s="33"/>
      <c r="Z44" s="33"/>
      <c r="AA44" s="33"/>
      <c r="AB44" s="33"/>
    </row>
    <row r="45">
      <c r="A45" s="45" t="s">
        <v>230</v>
      </c>
      <c r="B45" s="32" t="s">
        <v>68</v>
      </c>
      <c r="C45" s="45" t="s">
        <v>231</v>
      </c>
      <c r="D45" s="32" t="s">
        <v>66</v>
      </c>
      <c r="E45" s="45" t="s">
        <v>232</v>
      </c>
      <c r="F45" s="32" t="s">
        <v>67</v>
      </c>
      <c r="G45" s="33"/>
      <c r="H45" s="33"/>
      <c r="I45" s="33"/>
      <c r="J45" s="33"/>
      <c r="K45" s="101"/>
      <c r="L45" s="102"/>
      <c r="M45" s="102"/>
      <c r="N45" s="33"/>
      <c r="O45" s="33"/>
      <c r="P45" s="39"/>
      <c r="Q45" s="39"/>
      <c r="R45" s="39"/>
      <c r="S45" s="39"/>
      <c r="T45" s="33"/>
      <c r="U45" s="33"/>
      <c r="V45" s="33"/>
      <c r="W45" s="33"/>
      <c r="X45" s="33"/>
      <c r="Y45" s="33"/>
      <c r="Z45" s="33"/>
      <c r="AA45" s="33"/>
      <c r="AB45" s="33"/>
    </row>
    <row r="46">
      <c r="A46" s="37" t="s">
        <v>233</v>
      </c>
      <c r="B46" s="32" t="s">
        <v>68</v>
      </c>
      <c r="C46" s="45" t="s">
        <v>234</v>
      </c>
      <c r="D46" s="32" t="s">
        <v>66</v>
      </c>
      <c r="E46" s="45" t="s">
        <v>235</v>
      </c>
      <c r="F46" s="32" t="s">
        <v>67</v>
      </c>
      <c r="G46" s="33"/>
      <c r="H46" s="33"/>
      <c r="I46" s="33"/>
      <c r="J46" s="33"/>
      <c r="K46" s="110" t="s">
        <v>140</v>
      </c>
      <c r="L46" s="112" t="str">
        <f>IF(ISNUMBER(L40),"MINIMUM: "&amp;MROUND((IF(_uom="lbs",L30,L30*2.20462)*0.25*9)/L40*100, 0.5)&amp;"%", "")</f>
        <v/>
      </c>
      <c r="O46" s="50"/>
      <c r="P46" s="39"/>
      <c r="Q46" s="39"/>
      <c r="R46" s="39"/>
      <c r="S46" s="39"/>
      <c r="T46" s="33"/>
      <c r="U46" s="33"/>
      <c r="V46" s="33"/>
      <c r="W46" s="33"/>
      <c r="X46" s="33"/>
      <c r="Y46" s="33"/>
      <c r="Z46" s="33"/>
      <c r="AA46" s="33"/>
      <c r="AB46" s="33"/>
    </row>
    <row r="47">
      <c r="A47" s="37" t="s">
        <v>236</v>
      </c>
      <c r="B47" s="32" t="s">
        <v>68</v>
      </c>
      <c r="C47" s="45" t="s">
        <v>237</v>
      </c>
      <c r="D47" s="32" t="s">
        <v>66</v>
      </c>
      <c r="E47" s="45" t="s">
        <v>238</v>
      </c>
      <c r="F47" s="32" t="s">
        <v>67</v>
      </c>
      <c r="G47" s="33"/>
      <c r="H47" s="33"/>
      <c r="I47" s="33"/>
      <c r="J47" s="33"/>
      <c r="K47" s="79" t="s">
        <v>239</v>
      </c>
      <c r="L47" s="113">
        <v>25.0</v>
      </c>
      <c r="M47" s="81"/>
      <c r="N47" s="82"/>
      <c r="O47" s="50"/>
      <c r="P47" s="39"/>
      <c r="Q47" s="39"/>
      <c r="R47" s="39"/>
      <c r="S47" s="39"/>
      <c r="T47" s="33"/>
      <c r="U47" s="33"/>
      <c r="V47" s="33"/>
      <c r="W47" s="33"/>
      <c r="X47" s="33"/>
      <c r="Y47" s="33"/>
      <c r="Z47" s="33"/>
      <c r="AA47" s="33"/>
      <c r="AB47" s="33"/>
    </row>
    <row r="48">
      <c r="A48" s="37" t="s">
        <v>240</v>
      </c>
      <c r="B48" s="32" t="s">
        <v>68</v>
      </c>
      <c r="C48" s="45" t="s">
        <v>210</v>
      </c>
      <c r="D48" s="32" t="s">
        <v>66</v>
      </c>
      <c r="E48" s="45" t="s">
        <v>241</v>
      </c>
      <c r="F48" s="32" t="s">
        <v>67</v>
      </c>
      <c r="G48" s="33"/>
      <c r="H48" s="33"/>
      <c r="I48" s="33"/>
      <c r="J48" s="33"/>
      <c r="K48" s="101"/>
      <c r="L48" s="109"/>
      <c r="M48" s="109"/>
      <c r="N48" s="50"/>
      <c r="O48" s="33"/>
      <c r="P48" s="39"/>
      <c r="Q48" s="39"/>
      <c r="R48" s="39"/>
      <c r="S48" s="39"/>
      <c r="T48" s="33"/>
      <c r="U48" s="33"/>
      <c r="V48" s="33"/>
      <c r="W48" s="33"/>
      <c r="X48" s="33"/>
      <c r="Y48" s="33"/>
      <c r="Z48" s="33"/>
      <c r="AA48" s="33"/>
      <c r="AB48" s="33"/>
    </row>
    <row r="49">
      <c r="A49" s="37" t="s">
        <v>242</v>
      </c>
      <c r="B49" s="32" t="s">
        <v>68</v>
      </c>
      <c r="C49" s="45" t="s">
        <v>243</v>
      </c>
      <c r="D49" s="32" t="s">
        <v>66</v>
      </c>
      <c r="E49" s="45" t="s">
        <v>244</v>
      </c>
      <c r="F49" s="32" t="s">
        <v>67</v>
      </c>
      <c r="G49" s="33"/>
      <c r="H49" s="33"/>
      <c r="I49" s="33"/>
      <c r="J49" s="33"/>
      <c r="K49" s="114" t="str">
        <f>IF(AND(L39&lt;&gt;0,L36="lean gain"), "HIGH DAYS", "NORMAL")</f>
        <v>NORMAL</v>
      </c>
      <c r="L49" s="109" t="str">
        <f>IF(L36="lean gain",IF(L39=0,L59,L39),L59-L39)&amp;"/"&amp;L59</f>
        <v>7/7</v>
      </c>
      <c r="O49" s="33"/>
      <c r="P49" s="39"/>
      <c r="Q49" s="39"/>
      <c r="R49" s="39"/>
      <c r="S49" s="39"/>
      <c r="T49" s="33"/>
      <c r="U49" s="33"/>
      <c r="V49" s="33"/>
      <c r="W49" s="33"/>
      <c r="X49" s="33"/>
      <c r="Y49" s="33"/>
      <c r="Z49" s="33"/>
      <c r="AA49" s="33"/>
      <c r="AB49" s="33"/>
    </row>
    <row r="50">
      <c r="A50" s="37" t="s">
        <v>245</v>
      </c>
      <c r="B50" s="32" t="s">
        <v>68</v>
      </c>
      <c r="C50" s="45" t="s">
        <v>246</v>
      </c>
      <c r="D50" s="32" t="s">
        <v>66</v>
      </c>
      <c r="E50" s="45" t="s">
        <v>223</v>
      </c>
      <c r="F50" s="32" t="s">
        <v>67</v>
      </c>
      <c r="G50" s="33"/>
      <c r="H50" s="33"/>
      <c r="I50" s="33"/>
      <c r="J50" s="33"/>
      <c r="K50" s="115" t="s">
        <v>140</v>
      </c>
      <c r="L50" s="108">
        <f>MROUND((L40*(L47/100))  /9,5)</f>
        <v>0</v>
      </c>
      <c r="O50" s="33"/>
      <c r="P50" s="100"/>
      <c r="Q50" s="39"/>
      <c r="R50" s="39"/>
      <c r="S50" s="39"/>
      <c r="T50" s="33"/>
      <c r="U50" s="33"/>
      <c r="V50" s="33"/>
      <c r="W50" s="33"/>
      <c r="X50" s="33"/>
      <c r="Y50" s="33"/>
      <c r="Z50" s="33"/>
      <c r="AA50" s="33"/>
      <c r="AB50" s="33"/>
    </row>
    <row r="51">
      <c r="A51" s="37" t="s">
        <v>91</v>
      </c>
      <c r="B51" s="32" t="s">
        <v>68</v>
      </c>
      <c r="C51" s="45" t="s">
        <v>247</v>
      </c>
      <c r="D51" s="32" t="s">
        <v>66</v>
      </c>
      <c r="E51" s="45" t="s">
        <v>248</v>
      </c>
      <c r="F51" s="32" t="s">
        <v>67</v>
      </c>
      <c r="G51" s="33"/>
      <c r="H51" s="33"/>
      <c r="I51" s="33"/>
      <c r="J51" s="33"/>
      <c r="K51" s="115" t="s">
        <v>141</v>
      </c>
      <c r="L51" s="108" t="str">
        <f>MROUND((L40-(4*L52)-(9*L50))/4,5)</f>
        <v>#NUM!</v>
      </c>
      <c r="O51" s="50"/>
      <c r="P51" s="100"/>
      <c r="Q51" s="39"/>
      <c r="R51" s="39"/>
      <c r="S51" s="39"/>
      <c r="T51" s="33"/>
      <c r="U51" s="33"/>
      <c r="V51" s="33"/>
      <c r="W51" s="33"/>
      <c r="X51" s="33"/>
      <c r="Y51" s="33"/>
      <c r="Z51" s="33"/>
      <c r="AA51" s="33"/>
      <c r="AB51" s="33"/>
    </row>
    <row r="52">
      <c r="A52" s="37" t="s">
        <v>249</v>
      </c>
      <c r="B52" s="32" t="s">
        <v>68</v>
      </c>
      <c r="C52" s="45" t="s">
        <v>250</v>
      </c>
      <c r="D52" s="32" t="s">
        <v>66</v>
      </c>
      <c r="E52" s="45" t="s">
        <v>251</v>
      </c>
      <c r="F52" s="32" t="s">
        <v>67</v>
      </c>
      <c r="G52" s="33"/>
      <c r="H52" s="33"/>
      <c r="I52" s="33"/>
      <c r="J52" s="33"/>
      <c r="K52" s="115" t="s">
        <v>142</v>
      </c>
      <c r="L52" s="108">
        <f>MROUND(IF(_uom="lbs",L30,L30*2.20462)*L44,5)</f>
        <v>180</v>
      </c>
      <c r="O52" s="50"/>
      <c r="P52" s="39"/>
      <c r="Q52" s="39"/>
      <c r="R52" s="39"/>
      <c r="S52" s="39"/>
      <c r="T52" s="33"/>
      <c r="U52" s="33"/>
      <c r="V52" s="33"/>
      <c r="W52" s="33"/>
      <c r="X52" s="33"/>
      <c r="Y52" s="33"/>
      <c r="Z52" s="33"/>
      <c r="AA52" s="33"/>
      <c r="AB52" s="33"/>
    </row>
    <row r="53">
      <c r="A53" s="32"/>
      <c r="B53" s="32"/>
      <c r="C53" s="45" t="s">
        <v>252</v>
      </c>
      <c r="D53" s="32" t="s">
        <v>66</v>
      </c>
      <c r="E53" s="45" t="s">
        <v>253</v>
      </c>
      <c r="F53" s="32" t="s">
        <v>67</v>
      </c>
      <c r="G53" s="33"/>
      <c r="H53" s="33"/>
      <c r="I53" s="33"/>
      <c r="J53" s="33"/>
      <c r="K53" s="101"/>
      <c r="L53" s="109"/>
      <c r="M53" s="109"/>
      <c r="N53" s="50"/>
      <c r="O53" s="33"/>
      <c r="P53" s="39"/>
      <c r="Q53" s="39"/>
      <c r="R53" s="39"/>
      <c r="S53" s="39"/>
      <c r="T53" s="33"/>
      <c r="U53" s="33"/>
      <c r="V53" s="33"/>
      <c r="W53" s="33"/>
      <c r="X53" s="33"/>
      <c r="Y53" s="33"/>
      <c r="Z53" s="33"/>
      <c r="AA53" s="33"/>
      <c r="AB53" s="33"/>
    </row>
    <row r="54">
      <c r="A54" s="32"/>
      <c r="B54" s="32"/>
      <c r="C54" s="45" t="s">
        <v>254</v>
      </c>
      <c r="D54" s="32" t="s">
        <v>66</v>
      </c>
      <c r="E54" s="45" t="s">
        <v>255</v>
      </c>
      <c r="F54" s="32" t="s">
        <v>67</v>
      </c>
      <c r="G54" s="33"/>
      <c r="H54" s="33"/>
      <c r="I54" s="33"/>
      <c r="J54" s="33"/>
      <c r="K54" s="110" t="str">
        <f>P29</f>
        <v>LOW CALORIE DAYS</v>
      </c>
      <c r="L54" s="109" t="str">
        <f>IF(L39="",0,IF(L36="cutting phase",L39,L59-L39))&amp;"/"&amp;L59</f>
        <v>0/7</v>
      </c>
      <c r="O54" s="33"/>
      <c r="P54" s="39"/>
      <c r="Q54" s="39"/>
      <c r="R54" s="39"/>
      <c r="S54" s="39"/>
      <c r="T54" s="33"/>
      <c r="U54" s="33"/>
      <c r="V54" s="33"/>
      <c r="W54" s="33"/>
      <c r="X54" s="33"/>
      <c r="Y54" s="33"/>
      <c r="Z54" s="33"/>
      <c r="AA54" s="33"/>
      <c r="AB54" s="33"/>
    </row>
    <row r="55">
      <c r="A55" s="32"/>
      <c r="B55" s="32"/>
      <c r="C55" s="45" t="s">
        <v>256</v>
      </c>
      <c r="D55" s="32" t="s">
        <v>66</v>
      </c>
      <c r="E55" s="37" t="s">
        <v>257</v>
      </c>
      <c r="F55" s="32" t="s">
        <v>67</v>
      </c>
      <c r="G55" s="33"/>
      <c r="H55" s="33"/>
      <c r="I55" s="33"/>
      <c r="J55" s="33"/>
      <c r="K55" s="79" t="s">
        <v>140</v>
      </c>
      <c r="L55" s="108">
        <f>IF(L39=0, 0,MROUND((IF(L36="lean gain",L41,L41)*(L47/100))/9,5))</f>
        <v>0</v>
      </c>
      <c r="O55" s="33"/>
      <c r="P55" s="33"/>
      <c r="Q55" s="33"/>
      <c r="R55" s="33"/>
      <c r="S55" s="33"/>
      <c r="T55" s="33"/>
      <c r="U55" s="33"/>
      <c r="V55" s="33"/>
      <c r="W55" s="33"/>
      <c r="X55" s="33"/>
      <c r="Y55" s="33"/>
      <c r="Z55" s="33"/>
      <c r="AA55" s="33"/>
      <c r="AB55" s="33"/>
    </row>
    <row r="56">
      <c r="A56" s="32"/>
      <c r="B56" s="32"/>
      <c r="C56" s="45" t="s">
        <v>258</v>
      </c>
      <c r="D56" s="32" t="s">
        <v>66</v>
      </c>
      <c r="E56" s="37" t="s">
        <v>259</v>
      </c>
      <c r="F56" s="32" t="s">
        <v>67</v>
      </c>
      <c r="G56" s="33"/>
      <c r="H56" s="33"/>
      <c r="I56" s="33"/>
      <c r="J56" s="33"/>
      <c r="K56" s="79" t="s">
        <v>141</v>
      </c>
      <c r="L56" s="108">
        <f>IF(L39=0, 0, MROUND((IF(L36="lean gain",L41,L41) - L50*9 - L57*4)/4,5))</f>
        <v>0</v>
      </c>
      <c r="O56" s="33"/>
      <c r="P56" s="33"/>
      <c r="Q56" s="33"/>
      <c r="R56" s="33"/>
      <c r="S56" s="33"/>
      <c r="T56" s="33"/>
      <c r="U56" s="33"/>
      <c r="V56" s="33"/>
      <c r="W56" s="33"/>
      <c r="X56" s="33"/>
      <c r="Y56" s="33"/>
      <c r="Z56" s="33"/>
      <c r="AA56" s="33"/>
      <c r="AB56" s="33"/>
    </row>
    <row r="57">
      <c r="A57" s="32"/>
      <c r="B57" s="32"/>
      <c r="C57" s="45" t="s">
        <v>260</v>
      </c>
      <c r="D57" s="32" t="s">
        <v>66</v>
      </c>
      <c r="E57" s="37" t="s">
        <v>248</v>
      </c>
      <c r="F57" s="32" t="s">
        <v>67</v>
      </c>
      <c r="G57" s="33"/>
      <c r="H57" s="33"/>
      <c r="I57" s="33"/>
      <c r="J57" s="33"/>
      <c r="K57" s="79" t="s">
        <v>142</v>
      </c>
      <c r="L57" s="108">
        <f>IF(L39=0, 0, MROUND(IF(_uom="lbs",L30,L30*2.20462)*L44,5))</f>
        <v>0</v>
      </c>
      <c r="O57" s="33"/>
      <c r="P57" s="33"/>
      <c r="Q57" s="33"/>
      <c r="R57" s="33"/>
      <c r="S57" s="33"/>
      <c r="T57" s="33"/>
      <c r="U57" s="33"/>
      <c r="V57" s="33"/>
      <c r="W57" s="33"/>
      <c r="X57" s="33"/>
      <c r="Y57" s="33"/>
      <c r="Z57" s="33"/>
      <c r="AA57" s="33"/>
      <c r="AB57" s="33"/>
    </row>
    <row r="58">
      <c r="A58" s="32"/>
      <c r="B58" s="32"/>
      <c r="C58" s="45" t="s">
        <v>261</v>
      </c>
      <c r="D58" s="32" t="s">
        <v>66</v>
      </c>
      <c r="E58" s="32"/>
      <c r="F58" s="32"/>
      <c r="G58" s="33"/>
      <c r="H58" s="33"/>
      <c r="I58" s="33"/>
      <c r="J58" s="33"/>
      <c r="K58" s="33"/>
      <c r="L58" s="33"/>
      <c r="M58" s="33"/>
      <c r="N58" s="33"/>
      <c r="O58" s="33"/>
      <c r="P58" s="33"/>
      <c r="Q58" s="33"/>
      <c r="R58" s="33"/>
      <c r="S58" s="33"/>
      <c r="T58" s="33"/>
      <c r="U58" s="33"/>
      <c r="V58" s="33"/>
      <c r="W58" s="33"/>
      <c r="X58" s="33"/>
      <c r="Y58" s="33"/>
      <c r="Z58" s="33"/>
      <c r="AA58" s="33"/>
      <c r="AB58" s="33"/>
    </row>
    <row r="59">
      <c r="A59" s="32"/>
      <c r="B59" s="32"/>
      <c r="C59" s="45" t="s">
        <v>262</v>
      </c>
      <c r="D59" s="32" t="s">
        <v>66</v>
      </c>
      <c r="E59" s="32"/>
      <c r="F59" s="32"/>
      <c r="G59" s="33"/>
      <c r="H59" s="33"/>
      <c r="I59" s="33"/>
      <c r="J59" s="33"/>
      <c r="K59" s="79" t="s">
        <v>263</v>
      </c>
      <c r="L59" s="116">
        <v>7.0</v>
      </c>
      <c r="O59" s="33"/>
      <c r="P59" s="33"/>
      <c r="Q59" s="33"/>
      <c r="R59" s="33"/>
      <c r="S59" s="33"/>
      <c r="T59" s="33"/>
      <c r="U59" s="33"/>
      <c r="V59" s="33"/>
      <c r="W59" s="33"/>
      <c r="X59" s="33"/>
      <c r="Y59" s="33"/>
      <c r="Z59" s="33"/>
      <c r="AA59" s="33"/>
      <c r="AB59" s="33"/>
    </row>
    <row r="60">
      <c r="A60" s="32"/>
      <c r="B60" s="32"/>
      <c r="C60" s="117" t="s">
        <v>264</v>
      </c>
      <c r="D60" s="32" t="s">
        <v>66</v>
      </c>
      <c r="E60" s="32"/>
      <c r="F60" s="32"/>
      <c r="G60" s="33"/>
      <c r="H60" s="33"/>
      <c r="I60" s="33"/>
      <c r="J60" s="33"/>
      <c r="K60" s="33"/>
      <c r="L60" s="33"/>
      <c r="M60" s="33"/>
      <c r="N60" s="33"/>
      <c r="O60" s="33"/>
      <c r="P60" s="33"/>
      <c r="Q60" s="33"/>
      <c r="R60" s="33"/>
      <c r="S60" s="33"/>
      <c r="T60" s="33"/>
      <c r="U60" s="33"/>
      <c r="V60" s="33"/>
      <c r="W60" s="33"/>
      <c r="X60" s="33"/>
      <c r="Y60" s="33"/>
      <c r="Z60" s="33"/>
      <c r="AA60" s="33"/>
      <c r="AB60" s="33"/>
    </row>
    <row r="61">
      <c r="A61" s="32"/>
      <c r="B61" s="32"/>
      <c r="C61" s="117" t="s">
        <v>265</v>
      </c>
      <c r="D61" s="32" t="s">
        <v>66</v>
      </c>
      <c r="E61" s="32"/>
      <c r="F61" s="32"/>
      <c r="G61" s="33"/>
      <c r="H61" s="33"/>
      <c r="I61" s="33"/>
      <c r="J61" s="33"/>
      <c r="K61" s="33"/>
      <c r="L61" s="33"/>
      <c r="M61" s="33"/>
      <c r="N61" s="33"/>
      <c r="O61" s="33"/>
      <c r="P61" s="33"/>
      <c r="Q61" s="33"/>
      <c r="R61" s="33"/>
      <c r="S61" s="33"/>
      <c r="T61" s="33"/>
      <c r="U61" s="33"/>
      <c r="V61" s="33"/>
      <c r="W61" s="33"/>
      <c r="X61" s="33"/>
      <c r="Y61" s="33"/>
      <c r="Z61" s="33"/>
      <c r="AA61" s="33"/>
      <c r="AB61" s="33"/>
    </row>
    <row r="62">
      <c r="A62" s="32"/>
      <c r="B62" s="32"/>
      <c r="C62" s="37" t="s">
        <v>266</v>
      </c>
      <c r="D62" s="32" t="s">
        <v>66</v>
      </c>
      <c r="E62" s="32"/>
      <c r="F62" s="32"/>
      <c r="G62" s="33"/>
      <c r="H62" s="33"/>
      <c r="I62" s="33"/>
      <c r="J62" s="33"/>
      <c r="K62" s="33"/>
      <c r="L62" s="33"/>
      <c r="M62" s="33"/>
      <c r="N62" s="33"/>
      <c r="O62" s="33"/>
      <c r="P62" s="33"/>
      <c r="Q62" s="33"/>
      <c r="R62" s="33"/>
      <c r="S62" s="33"/>
      <c r="T62" s="33"/>
      <c r="U62" s="33"/>
      <c r="V62" s="33"/>
      <c r="W62" s="33"/>
      <c r="X62" s="33"/>
      <c r="Y62" s="33"/>
      <c r="Z62" s="33"/>
      <c r="AA62" s="33"/>
      <c r="AB62" s="33"/>
    </row>
    <row r="63">
      <c r="A63" s="32"/>
      <c r="B63" s="32"/>
      <c r="C63" s="37" t="s">
        <v>267</v>
      </c>
      <c r="D63" s="32" t="s">
        <v>66</v>
      </c>
      <c r="E63" s="32"/>
      <c r="F63" s="32"/>
      <c r="G63" s="33"/>
      <c r="H63" s="33"/>
      <c r="I63" s="33"/>
      <c r="J63" s="33"/>
      <c r="K63" s="33"/>
      <c r="L63" s="33"/>
      <c r="M63" s="33"/>
      <c r="N63" s="33"/>
      <c r="O63" s="33"/>
      <c r="P63" s="33"/>
      <c r="Q63" s="33"/>
      <c r="R63" s="33"/>
      <c r="S63" s="33"/>
      <c r="T63" s="33"/>
      <c r="U63" s="33"/>
      <c r="V63" s="33"/>
      <c r="W63" s="33"/>
      <c r="X63" s="33"/>
      <c r="Y63" s="33"/>
      <c r="Z63" s="33"/>
      <c r="AA63" s="33"/>
      <c r="AB63" s="33"/>
    </row>
    <row r="64">
      <c r="A64" s="32"/>
      <c r="B64" s="32"/>
      <c r="C64" s="37" t="s">
        <v>268</v>
      </c>
      <c r="D64" s="32" t="s">
        <v>66</v>
      </c>
      <c r="E64" s="32"/>
      <c r="F64" s="32"/>
      <c r="G64" s="33"/>
      <c r="H64" s="33"/>
      <c r="I64" s="33"/>
      <c r="J64" s="33"/>
      <c r="K64" s="33"/>
      <c r="L64" s="33"/>
      <c r="M64" s="33"/>
      <c r="N64" s="33"/>
      <c r="O64" s="33"/>
      <c r="P64" s="33"/>
      <c r="Q64" s="33"/>
      <c r="R64" s="33"/>
      <c r="S64" s="33"/>
      <c r="T64" s="33"/>
      <c r="U64" s="33"/>
      <c r="V64" s="33"/>
      <c r="W64" s="33"/>
      <c r="X64" s="33"/>
      <c r="Y64" s="33"/>
      <c r="Z64" s="33"/>
      <c r="AA64" s="33"/>
      <c r="AB64" s="33"/>
    </row>
    <row r="65">
      <c r="A65" s="32"/>
      <c r="B65" s="32"/>
      <c r="C65" s="37" t="s">
        <v>269</v>
      </c>
      <c r="D65" s="32" t="s">
        <v>66</v>
      </c>
      <c r="E65" s="32"/>
      <c r="F65" s="32"/>
      <c r="G65" s="33"/>
      <c r="H65" s="33"/>
      <c r="I65" s="33"/>
      <c r="J65" s="33"/>
      <c r="K65" s="33"/>
      <c r="L65" s="33"/>
      <c r="M65" s="33"/>
      <c r="N65" s="33"/>
      <c r="O65" s="33"/>
      <c r="P65" s="33"/>
      <c r="Q65" s="33"/>
      <c r="R65" s="33"/>
      <c r="S65" s="33"/>
      <c r="T65" s="33"/>
      <c r="U65" s="33"/>
      <c r="V65" s="33"/>
      <c r="W65" s="33"/>
      <c r="X65" s="33"/>
      <c r="Y65" s="33"/>
      <c r="Z65" s="33"/>
      <c r="AA65" s="33"/>
      <c r="AB65" s="33"/>
    </row>
    <row r="66">
      <c r="A66" s="32"/>
      <c r="B66" s="32"/>
      <c r="C66" s="37" t="s">
        <v>270</v>
      </c>
      <c r="D66" s="32" t="s">
        <v>66</v>
      </c>
      <c r="E66" s="32"/>
      <c r="F66" s="32"/>
      <c r="G66" s="33"/>
      <c r="H66" s="33"/>
      <c r="I66" s="33"/>
      <c r="J66" s="33"/>
      <c r="K66" s="33"/>
      <c r="L66" s="33"/>
      <c r="M66" s="33"/>
      <c r="N66" s="33"/>
      <c r="O66" s="33"/>
      <c r="P66" s="33"/>
      <c r="Q66" s="33"/>
      <c r="R66" s="33"/>
      <c r="S66" s="33"/>
      <c r="T66" s="33"/>
      <c r="U66" s="33"/>
      <c r="V66" s="33"/>
      <c r="W66" s="33"/>
      <c r="X66" s="33"/>
      <c r="Y66" s="33"/>
      <c r="Z66" s="33"/>
      <c r="AA66" s="33"/>
      <c r="AB66" s="33"/>
    </row>
    <row r="67">
      <c r="A67" s="32"/>
      <c r="B67" s="32"/>
      <c r="C67" s="37" t="s">
        <v>271</v>
      </c>
      <c r="D67" s="32" t="s">
        <v>66</v>
      </c>
      <c r="E67" s="32"/>
      <c r="F67" s="32"/>
      <c r="G67" s="33"/>
      <c r="H67" s="33"/>
      <c r="I67" s="33"/>
      <c r="J67" s="33"/>
      <c r="K67" s="33"/>
      <c r="L67" s="33"/>
      <c r="M67" s="33"/>
      <c r="N67" s="33"/>
      <c r="O67" s="33"/>
      <c r="P67" s="33"/>
      <c r="Q67" s="33"/>
      <c r="R67" s="33"/>
      <c r="S67" s="33"/>
      <c r="T67" s="33"/>
      <c r="U67" s="33"/>
      <c r="V67" s="33"/>
      <c r="W67" s="33"/>
      <c r="X67" s="33"/>
      <c r="Y67" s="33"/>
      <c r="Z67" s="33"/>
      <c r="AA67" s="33"/>
      <c r="AB67" s="33"/>
    </row>
    <row r="68">
      <c r="A68" s="32"/>
      <c r="B68" s="32"/>
      <c r="C68" s="37" t="s">
        <v>272</v>
      </c>
      <c r="D68" s="32" t="s">
        <v>66</v>
      </c>
      <c r="E68" s="32"/>
      <c r="F68" s="32"/>
      <c r="G68" s="33"/>
      <c r="H68" s="33"/>
      <c r="I68" s="33"/>
      <c r="J68" s="33"/>
      <c r="K68" s="33"/>
      <c r="L68" s="33"/>
      <c r="M68" s="33"/>
      <c r="N68" s="33"/>
      <c r="O68" s="33"/>
      <c r="P68" s="33"/>
      <c r="Q68" s="33"/>
      <c r="R68" s="33"/>
      <c r="S68" s="33"/>
      <c r="T68" s="33"/>
      <c r="U68" s="33"/>
      <c r="V68" s="33"/>
      <c r="W68" s="33"/>
      <c r="X68" s="33"/>
      <c r="Y68" s="33"/>
      <c r="Z68" s="33"/>
      <c r="AA68" s="33"/>
      <c r="AB68" s="33"/>
    </row>
    <row r="69">
      <c r="A69" s="32"/>
      <c r="B69" s="32"/>
      <c r="C69" s="37" t="s">
        <v>273</v>
      </c>
      <c r="D69" s="32" t="s">
        <v>66</v>
      </c>
      <c r="E69" s="32"/>
      <c r="F69" s="32"/>
      <c r="G69" s="33"/>
      <c r="H69" s="33"/>
      <c r="I69" s="33"/>
      <c r="J69" s="33"/>
      <c r="K69" s="33"/>
      <c r="L69" s="33"/>
      <c r="M69" s="33"/>
      <c r="N69" s="33"/>
      <c r="O69" s="33"/>
      <c r="P69" s="33"/>
      <c r="Q69" s="33"/>
      <c r="R69" s="33"/>
      <c r="S69" s="33"/>
      <c r="T69" s="33"/>
      <c r="U69" s="33"/>
      <c r="V69" s="33"/>
      <c r="W69" s="33"/>
      <c r="X69" s="33"/>
      <c r="Y69" s="33"/>
      <c r="Z69" s="33"/>
      <c r="AA69" s="33"/>
      <c r="AB69" s="33"/>
    </row>
    <row r="70">
      <c r="A70" s="32"/>
      <c r="B70" s="32"/>
      <c r="C70" s="37" t="s">
        <v>274</v>
      </c>
      <c r="D70" s="32" t="s">
        <v>66</v>
      </c>
      <c r="E70" s="32"/>
      <c r="F70" s="32"/>
      <c r="G70" s="33"/>
      <c r="H70" s="33"/>
      <c r="I70" s="33"/>
      <c r="J70" s="33"/>
      <c r="K70" s="33"/>
      <c r="L70" s="33"/>
      <c r="M70" s="33"/>
      <c r="N70" s="33"/>
      <c r="O70" s="33"/>
      <c r="P70" s="33"/>
      <c r="Q70" s="33"/>
      <c r="R70" s="33"/>
      <c r="S70" s="33"/>
      <c r="T70" s="33"/>
      <c r="U70" s="33"/>
      <c r="V70" s="33"/>
      <c r="W70" s="33"/>
      <c r="X70" s="33"/>
      <c r="Y70" s="33"/>
      <c r="Z70" s="33"/>
      <c r="AA70" s="33"/>
      <c r="AB70" s="33"/>
    </row>
    <row r="71">
      <c r="A71" s="32"/>
      <c r="B71" s="32"/>
      <c r="C71" s="37" t="s">
        <v>275</v>
      </c>
      <c r="D71" s="32" t="s">
        <v>66</v>
      </c>
      <c r="E71" s="37"/>
      <c r="F71" s="32"/>
      <c r="G71" s="33"/>
      <c r="H71" s="33"/>
      <c r="I71" s="33"/>
      <c r="J71" s="33"/>
      <c r="K71" s="33"/>
      <c r="L71" s="33"/>
      <c r="M71" s="33"/>
      <c r="N71" s="33"/>
      <c r="O71" s="33"/>
      <c r="P71" s="33"/>
      <c r="Q71" s="33"/>
      <c r="R71" s="33"/>
      <c r="S71" s="33"/>
      <c r="T71" s="33"/>
      <c r="U71" s="33"/>
      <c r="V71" s="33"/>
      <c r="W71" s="33"/>
      <c r="X71" s="33"/>
      <c r="Y71" s="33"/>
      <c r="Z71" s="33"/>
      <c r="AA71" s="33"/>
      <c r="AB71" s="33"/>
    </row>
    <row r="72">
      <c r="A72" s="32"/>
      <c r="B72" s="32"/>
      <c r="C72" s="37" t="s">
        <v>187</v>
      </c>
      <c r="D72" s="32" t="s">
        <v>66</v>
      </c>
      <c r="E72" s="32"/>
      <c r="F72" s="32"/>
      <c r="G72" s="33"/>
      <c r="H72" s="33"/>
      <c r="I72" s="33"/>
      <c r="J72" s="33"/>
      <c r="K72" s="33"/>
      <c r="L72" s="33"/>
      <c r="M72" s="33"/>
      <c r="N72" s="33"/>
      <c r="O72" s="33"/>
      <c r="P72" s="33"/>
      <c r="Q72" s="33"/>
      <c r="R72" s="33"/>
      <c r="S72" s="33"/>
      <c r="T72" s="33"/>
      <c r="U72" s="33"/>
      <c r="V72" s="33"/>
      <c r="W72" s="33"/>
      <c r="X72" s="33"/>
      <c r="Y72" s="33"/>
      <c r="Z72" s="33"/>
      <c r="AA72" s="33"/>
      <c r="AB72" s="33"/>
    </row>
    <row r="73">
      <c r="A73" s="32"/>
      <c r="B73" s="32"/>
      <c r="C73" s="32"/>
      <c r="D73" s="32"/>
      <c r="E73" s="32"/>
      <c r="F73" s="32"/>
      <c r="G73" s="33"/>
      <c r="H73" s="33"/>
      <c r="I73" s="33"/>
      <c r="J73" s="33"/>
      <c r="K73" s="33"/>
      <c r="L73" s="33"/>
      <c r="M73" s="33"/>
      <c r="N73" s="33"/>
      <c r="O73" s="33"/>
      <c r="P73" s="33"/>
      <c r="Q73" s="33"/>
      <c r="R73" s="33"/>
      <c r="S73" s="33"/>
      <c r="T73" s="33"/>
      <c r="U73" s="33"/>
      <c r="V73" s="33"/>
      <c r="W73" s="33"/>
      <c r="X73" s="33"/>
      <c r="Y73" s="33"/>
      <c r="Z73" s="33"/>
      <c r="AA73" s="33"/>
      <c r="AB73" s="33"/>
    </row>
    <row r="74">
      <c r="A74" s="32"/>
      <c r="B74" s="32"/>
      <c r="C74" s="32"/>
      <c r="D74" s="32"/>
      <c r="E74" s="32"/>
      <c r="F74" s="32"/>
      <c r="G74" s="33"/>
      <c r="H74" s="33"/>
      <c r="I74" s="33"/>
      <c r="J74" s="33"/>
      <c r="K74" s="33"/>
      <c r="L74" s="33"/>
      <c r="M74" s="33"/>
      <c r="N74" s="33"/>
      <c r="O74" s="33"/>
      <c r="P74" s="33"/>
      <c r="Q74" s="33"/>
      <c r="R74" s="33"/>
      <c r="S74" s="33"/>
      <c r="T74" s="33"/>
      <c r="U74" s="33"/>
      <c r="V74" s="33"/>
      <c r="W74" s="33"/>
      <c r="X74" s="33"/>
      <c r="Y74" s="33"/>
      <c r="Z74" s="33"/>
      <c r="AA74" s="33"/>
      <c r="AB74" s="33"/>
    </row>
    <row r="75">
      <c r="A75" s="32"/>
      <c r="B75" s="32"/>
      <c r="C75" s="32"/>
      <c r="D75" s="32"/>
      <c r="E75" s="32"/>
      <c r="F75" s="32"/>
      <c r="G75" s="33"/>
      <c r="H75" s="33"/>
      <c r="I75" s="33"/>
      <c r="J75" s="33"/>
      <c r="K75" s="33"/>
      <c r="L75" s="33"/>
      <c r="M75" s="33"/>
      <c r="N75" s="33"/>
      <c r="O75" s="33"/>
      <c r="P75" s="33"/>
      <c r="Q75" s="33"/>
      <c r="R75" s="33"/>
      <c r="S75" s="33"/>
      <c r="T75" s="33"/>
      <c r="U75" s="33"/>
      <c r="V75" s="33"/>
      <c r="W75" s="33"/>
      <c r="X75" s="33"/>
      <c r="Y75" s="33"/>
      <c r="Z75" s="33"/>
      <c r="AA75" s="33"/>
      <c r="AB75" s="33"/>
    </row>
    <row r="76">
      <c r="A76" s="32"/>
      <c r="B76" s="32"/>
      <c r="C76" s="32"/>
      <c r="D76" s="32"/>
      <c r="E76" s="32"/>
      <c r="F76" s="32"/>
      <c r="G76" s="33"/>
      <c r="H76" s="33"/>
      <c r="I76" s="33"/>
      <c r="J76" s="33"/>
      <c r="K76" s="33"/>
      <c r="L76" s="33"/>
      <c r="M76" s="33"/>
      <c r="N76" s="33"/>
      <c r="O76" s="33"/>
      <c r="P76" s="33"/>
      <c r="Q76" s="33"/>
      <c r="R76" s="33"/>
      <c r="S76" s="33"/>
      <c r="T76" s="33"/>
      <c r="U76" s="33"/>
      <c r="V76" s="33"/>
      <c r="W76" s="33"/>
      <c r="X76" s="33"/>
      <c r="Y76" s="33"/>
      <c r="Z76" s="33"/>
      <c r="AA76" s="33"/>
      <c r="AB76" s="33"/>
    </row>
    <row r="77">
      <c r="A77" s="32"/>
      <c r="B77" s="32"/>
      <c r="C77" s="32"/>
      <c r="D77" s="32"/>
      <c r="E77" s="32"/>
      <c r="F77" s="32"/>
      <c r="G77" s="33"/>
      <c r="H77" s="33"/>
      <c r="I77" s="33"/>
      <c r="J77" s="33"/>
      <c r="K77" s="33"/>
      <c r="L77" s="33"/>
      <c r="M77" s="33"/>
      <c r="N77" s="33"/>
      <c r="O77" s="33"/>
      <c r="P77" s="33"/>
      <c r="Q77" s="33"/>
      <c r="R77" s="33"/>
      <c r="S77" s="33"/>
      <c r="T77" s="33"/>
      <c r="U77" s="33"/>
      <c r="V77" s="33"/>
      <c r="W77" s="33"/>
      <c r="X77" s="33"/>
      <c r="Y77" s="33"/>
      <c r="Z77" s="33"/>
      <c r="AA77" s="33"/>
      <c r="AB77" s="33"/>
    </row>
    <row r="78">
      <c r="A78" s="32"/>
      <c r="B78" s="32"/>
      <c r="C78" s="32"/>
      <c r="D78" s="32"/>
      <c r="E78" s="32"/>
      <c r="F78" s="32"/>
      <c r="G78" s="33"/>
      <c r="H78" s="33"/>
      <c r="I78" s="33"/>
      <c r="J78" s="33"/>
      <c r="K78" s="33"/>
      <c r="L78" s="33"/>
      <c r="M78" s="33"/>
      <c r="N78" s="33"/>
      <c r="O78" s="33"/>
      <c r="P78" s="33"/>
      <c r="Q78" s="33"/>
      <c r="R78" s="33"/>
      <c r="S78" s="33"/>
      <c r="T78" s="33"/>
      <c r="U78" s="33"/>
      <c r="V78" s="33"/>
      <c r="W78" s="33"/>
      <c r="X78" s="33"/>
      <c r="Y78" s="33"/>
      <c r="Z78" s="33"/>
      <c r="AA78" s="33"/>
      <c r="AB78" s="33"/>
    </row>
    <row r="79">
      <c r="A79" s="32"/>
      <c r="B79" s="32"/>
      <c r="C79" s="32"/>
      <c r="D79" s="32"/>
      <c r="E79" s="32"/>
      <c r="F79" s="32"/>
      <c r="G79" s="33"/>
      <c r="H79" s="33"/>
      <c r="I79" s="33"/>
      <c r="J79" s="33"/>
      <c r="K79" s="33"/>
      <c r="L79" s="33"/>
      <c r="M79" s="33"/>
      <c r="N79" s="33"/>
      <c r="O79" s="33"/>
      <c r="P79" s="33"/>
      <c r="Q79" s="33"/>
      <c r="R79" s="33"/>
      <c r="S79" s="33"/>
      <c r="T79" s="33"/>
      <c r="U79" s="33"/>
      <c r="V79" s="33"/>
      <c r="W79" s="33"/>
      <c r="X79" s="33"/>
      <c r="Y79" s="33"/>
      <c r="Z79" s="33"/>
      <c r="AA79" s="33"/>
      <c r="AB79" s="33"/>
    </row>
    <row r="80">
      <c r="A80" s="32"/>
      <c r="B80" s="32"/>
      <c r="C80" s="32"/>
      <c r="D80" s="32"/>
      <c r="E80" s="32"/>
      <c r="F80" s="32"/>
      <c r="G80" s="33"/>
      <c r="H80" s="33"/>
      <c r="I80" s="33"/>
      <c r="J80" s="33"/>
      <c r="K80" s="33"/>
      <c r="L80" s="33"/>
      <c r="M80" s="33"/>
      <c r="N80" s="33"/>
      <c r="O80" s="33"/>
      <c r="P80" s="33"/>
      <c r="Q80" s="33"/>
      <c r="R80" s="33"/>
      <c r="S80" s="33"/>
      <c r="T80" s="33"/>
      <c r="U80" s="33"/>
      <c r="V80" s="33"/>
      <c r="W80" s="33"/>
      <c r="X80" s="33"/>
      <c r="Y80" s="33"/>
      <c r="Z80" s="33"/>
      <c r="AA80" s="33"/>
      <c r="AB80" s="33"/>
    </row>
    <row r="81">
      <c r="A81" s="32"/>
      <c r="B81" s="32"/>
      <c r="C81" s="32"/>
      <c r="D81" s="32"/>
      <c r="E81" s="32"/>
      <c r="F81" s="32"/>
      <c r="G81" s="33"/>
      <c r="H81" s="33"/>
      <c r="I81" s="33"/>
      <c r="J81" s="33"/>
      <c r="K81" s="33"/>
      <c r="L81" s="33"/>
      <c r="M81" s="33"/>
      <c r="N81" s="33"/>
      <c r="O81" s="33"/>
      <c r="P81" s="33"/>
      <c r="Q81" s="33"/>
      <c r="R81" s="33"/>
      <c r="S81" s="33"/>
      <c r="T81" s="33"/>
      <c r="U81" s="33"/>
      <c r="V81" s="33"/>
      <c r="W81" s="33"/>
      <c r="X81" s="33"/>
      <c r="Y81" s="33"/>
      <c r="Z81" s="33"/>
      <c r="AA81" s="33"/>
      <c r="AB81" s="33"/>
    </row>
    <row r="82">
      <c r="A82" s="32"/>
      <c r="B82" s="32"/>
      <c r="C82" s="32"/>
      <c r="D82" s="32"/>
      <c r="E82" s="32"/>
      <c r="F82" s="32"/>
      <c r="G82" s="33"/>
      <c r="H82" s="33"/>
      <c r="I82" s="33"/>
      <c r="J82" s="33"/>
      <c r="K82" s="33"/>
      <c r="L82" s="33"/>
      <c r="M82" s="33"/>
      <c r="N82" s="33"/>
      <c r="O82" s="33"/>
      <c r="P82" s="33"/>
      <c r="Q82" s="33"/>
      <c r="R82" s="33"/>
      <c r="S82" s="33"/>
      <c r="T82" s="33"/>
      <c r="U82" s="33"/>
      <c r="V82" s="33"/>
      <c r="W82" s="33"/>
      <c r="X82" s="33"/>
      <c r="Y82" s="33"/>
      <c r="Z82" s="33"/>
      <c r="AA82" s="33"/>
      <c r="AB82" s="33"/>
    </row>
    <row r="83">
      <c r="A83" s="32"/>
      <c r="B83" s="32"/>
      <c r="C83" s="32"/>
      <c r="D83" s="32"/>
      <c r="E83" s="32"/>
      <c r="F83" s="32"/>
      <c r="G83" s="33"/>
      <c r="H83" s="33"/>
      <c r="I83" s="33"/>
      <c r="J83" s="33"/>
      <c r="K83" s="33"/>
      <c r="L83" s="33"/>
      <c r="M83" s="33"/>
      <c r="N83" s="33"/>
      <c r="O83" s="33"/>
      <c r="P83" s="33"/>
      <c r="Q83" s="33"/>
      <c r="R83" s="33"/>
      <c r="S83" s="33"/>
      <c r="T83" s="33"/>
      <c r="U83" s="33"/>
      <c r="V83" s="33"/>
      <c r="W83" s="33"/>
      <c r="X83" s="33"/>
      <c r="Y83" s="33"/>
      <c r="Z83" s="33"/>
      <c r="AA83" s="33"/>
      <c r="AB83" s="33"/>
    </row>
    <row r="84">
      <c r="A84" s="32"/>
      <c r="B84" s="32"/>
      <c r="C84" s="32"/>
      <c r="D84" s="32"/>
      <c r="E84" s="32"/>
      <c r="F84" s="32"/>
      <c r="G84" s="33"/>
      <c r="H84" s="33"/>
      <c r="I84" s="33"/>
      <c r="J84" s="33"/>
      <c r="K84" s="33"/>
      <c r="L84" s="33"/>
      <c r="M84" s="33"/>
      <c r="N84" s="33"/>
      <c r="O84" s="33"/>
      <c r="P84" s="33"/>
      <c r="Q84" s="33"/>
      <c r="R84" s="33"/>
      <c r="S84" s="33"/>
      <c r="T84" s="33"/>
      <c r="U84" s="33"/>
      <c r="V84" s="33"/>
      <c r="W84" s="33"/>
      <c r="X84" s="33"/>
      <c r="Y84" s="33"/>
      <c r="Z84" s="33"/>
      <c r="AA84" s="33"/>
      <c r="AB84" s="33"/>
    </row>
    <row r="85">
      <c r="A85" s="32"/>
      <c r="B85" s="32"/>
      <c r="C85" s="32"/>
      <c r="D85" s="32"/>
      <c r="E85" s="32"/>
      <c r="F85" s="32"/>
      <c r="G85" s="33"/>
      <c r="H85" s="33"/>
      <c r="I85" s="33"/>
      <c r="J85" s="33"/>
      <c r="K85" s="33"/>
      <c r="L85" s="33"/>
      <c r="M85" s="33"/>
      <c r="N85" s="33"/>
      <c r="O85" s="33"/>
      <c r="P85" s="33"/>
      <c r="Q85" s="33"/>
      <c r="R85" s="33"/>
      <c r="S85" s="33"/>
      <c r="T85" s="33"/>
      <c r="U85" s="33"/>
      <c r="V85" s="33"/>
      <c r="W85" s="33"/>
      <c r="X85" s="33"/>
      <c r="Y85" s="33"/>
      <c r="Z85" s="33"/>
      <c r="AA85" s="33"/>
      <c r="AB85" s="33"/>
    </row>
    <row r="86">
      <c r="A86" s="32"/>
      <c r="B86" s="32"/>
      <c r="C86" s="32"/>
      <c r="D86" s="32"/>
      <c r="E86" s="32"/>
      <c r="F86" s="32"/>
      <c r="G86" s="33"/>
      <c r="H86" s="33"/>
      <c r="I86" s="33"/>
      <c r="J86" s="33"/>
      <c r="K86" s="33"/>
      <c r="L86" s="33"/>
      <c r="M86" s="33"/>
      <c r="N86" s="33"/>
      <c r="O86" s="33"/>
      <c r="P86" s="33"/>
      <c r="Q86" s="33"/>
      <c r="R86" s="33"/>
      <c r="S86" s="33"/>
      <c r="T86" s="33"/>
      <c r="U86" s="33"/>
      <c r="V86" s="33"/>
      <c r="W86" s="33"/>
      <c r="X86" s="33"/>
      <c r="Y86" s="33"/>
      <c r="Z86" s="33"/>
      <c r="AA86" s="33"/>
      <c r="AB86" s="33"/>
    </row>
    <row r="87">
      <c r="A87" s="32"/>
      <c r="B87" s="32"/>
      <c r="C87" s="32"/>
      <c r="D87" s="32"/>
      <c r="E87" s="32"/>
      <c r="F87" s="32"/>
      <c r="G87" s="33"/>
      <c r="H87" s="33"/>
      <c r="I87" s="33"/>
      <c r="J87" s="33"/>
      <c r="K87" s="33"/>
      <c r="L87" s="33"/>
      <c r="M87" s="33"/>
      <c r="N87" s="33"/>
      <c r="O87" s="33"/>
      <c r="P87" s="33"/>
      <c r="Q87" s="33"/>
      <c r="R87" s="33"/>
      <c r="S87" s="33"/>
      <c r="T87" s="33"/>
      <c r="U87" s="33"/>
      <c r="V87" s="33"/>
      <c r="W87" s="33"/>
      <c r="X87" s="33"/>
      <c r="Y87" s="33"/>
      <c r="Z87" s="33"/>
      <c r="AA87" s="33"/>
      <c r="AB87" s="33"/>
    </row>
    <row r="88">
      <c r="A88" s="32"/>
      <c r="B88" s="32"/>
      <c r="C88" s="32"/>
      <c r="D88" s="32"/>
      <c r="E88" s="32"/>
      <c r="F88" s="32"/>
      <c r="G88" s="33"/>
      <c r="H88" s="33"/>
      <c r="I88" s="33"/>
      <c r="J88" s="33"/>
      <c r="K88" s="33"/>
      <c r="L88" s="33"/>
      <c r="M88" s="33"/>
      <c r="N88" s="33"/>
      <c r="O88" s="33"/>
      <c r="P88" s="33"/>
      <c r="Q88" s="33"/>
      <c r="R88" s="33"/>
      <c r="S88" s="33"/>
      <c r="T88" s="33"/>
      <c r="U88" s="33"/>
      <c r="V88" s="33"/>
      <c r="W88" s="33"/>
      <c r="X88" s="33"/>
      <c r="Y88" s="33"/>
      <c r="Z88" s="33"/>
      <c r="AA88" s="33"/>
      <c r="AB88" s="33"/>
    </row>
    <row r="89">
      <c r="A89" s="32"/>
      <c r="B89" s="32"/>
      <c r="C89" s="32"/>
      <c r="D89" s="32"/>
      <c r="E89" s="32"/>
      <c r="F89" s="32"/>
      <c r="G89" s="33"/>
      <c r="H89" s="33"/>
      <c r="I89" s="33"/>
      <c r="J89" s="33"/>
      <c r="K89" s="33"/>
      <c r="L89" s="33"/>
      <c r="M89" s="33"/>
      <c r="N89" s="33"/>
      <c r="O89" s="33"/>
      <c r="P89" s="33"/>
      <c r="Q89" s="33"/>
      <c r="R89" s="33"/>
      <c r="S89" s="33"/>
      <c r="T89" s="33"/>
      <c r="U89" s="33"/>
      <c r="V89" s="33"/>
      <c r="W89" s="33"/>
      <c r="X89" s="33"/>
      <c r="Y89" s="33"/>
      <c r="Z89" s="33"/>
      <c r="AA89" s="33"/>
      <c r="AB89" s="33"/>
    </row>
    <row r="90">
      <c r="A90" s="32"/>
      <c r="B90" s="32"/>
      <c r="C90" s="32"/>
      <c r="D90" s="32"/>
      <c r="E90" s="32"/>
      <c r="F90" s="32"/>
      <c r="G90" s="33"/>
      <c r="H90" s="33"/>
      <c r="I90" s="33"/>
      <c r="J90" s="33"/>
      <c r="K90" s="33"/>
      <c r="L90" s="33"/>
      <c r="M90" s="33"/>
      <c r="N90" s="33"/>
      <c r="O90" s="33"/>
      <c r="P90" s="33"/>
      <c r="Q90" s="33"/>
      <c r="R90" s="33"/>
      <c r="S90" s="33"/>
      <c r="T90" s="33"/>
      <c r="U90" s="33"/>
      <c r="V90" s="33"/>
      <c r="W90" s="33"/>
      <c r="X90" s="33"/>
      <c r="Y90" s="33"/>
      <c r="Z90" s="33"/>
      <c r="AA90" s="33"/>
      <c r="AB90" s="33"/>
    </row>
    <row r="91">
      <c r="A91" s="32"/>
      <c r="B91" s="32"/>
      <c r="C91" s="32"/>
      <c r="D91" s="32"/>
      <c r="E91" s="32"/>
      <c r="F91" s="32"/>
      <c r="G91" s="33"/>
      <c r="H91" s="33"/>
      <c r="I91" s="33"/>
      <c r="J91" s="33"/>
      <c r="K91" s="33"/>
      <c r="L91" s="33"/>
      <c r="M91" s="33"/>
      <c r="N91" s="33"/>
      <c r="O91" s="33"/>
      <c r="P91" s="33"/>
      <c r="Q91" s="33"/>
      <c r="R91" s="33"/>
      <c r="S91" s="33"/>
      <c r="T91" s="33"/>
      <c r="U91" s="33"/>
      <c r="V91" s="33"/>
      <c r="W91" s="33"/>
      <c r="X91" s="33"/>
      <c r="Y91" s="33"/>
      <c r="Z91" s="33"/>
      <c r="AA91" s="33"/>
      <c r="AB91" s="33"/>
    </row>
    <row r="92">
      <c r="A92" s="32"/>
      <c r="B92" s="32"/>
      <c r="C92" s="32"/>
      <c r="D92" s="32"/>
      <c r="E92" s="32"/>
      <c r="F92" s="32"/>
      <c r="G92" s="33"/>
      <c r="H92" s="33"/>
      <c r="I92" s="33"/>
      <c r="J92" s="33"/>
      <c r="K92" s="33"/>
      <c r="L92" s="33"/>
      <c r="M92" s="33"/>
      <c r="N92" s="33"/>
      <c r="O92" s="33"/>
      <c r="P92" s="33"/>
      <c r="Q92" s="33"/>
      <c r="R92" s="33"/>
      <c r="S92" s="33"/>
      <c r="T92" s="33"/>
      <c r="U92" s="33"/>
      <c r="V92" s="33"/>
      <c r="W92" s="33"/>
      <c r="X92" s="33"/>
      <c r="Y92" s="33"/>
      <c r="Z92" s="33"/>
      <c r="AA92" s="33"/>
      <c r="AB92" s="33"/>
    </row>
    <row r="93">
      <c r="A93" s="32"/>
      <c r="B93" s="32"/>
      <c r="C93" s="32"/>
      <c r="D93" s="32"/>
      <c r="E93" s="32"/>
      <c r="F93" s="32"/>
      <c r="G93" s="33"/>
      <c r="H93" s="33"/>
      <c r="I93" s="33"/>
      <c r="J93" s="33"/>
      <c r="K93" s="33"/>
      <c r="L93" s="33"/>
      <c r="M93" s="33"/>
      <c r="N93" s="33"/>
      <c r="O93" s="33"/>
      <c r="P93" s="33"/>
      <c r="Q93" s="33"/>
      <c r="R93" s="33"/>
      <c r="S93" s="33"/>
      <c r="T93" s="33"/>
      <c r="U93" s="33"/>
      <c r="V93" s="33"/>
      <c r="W93" s="33"/>
      <c r="X93" s="33"/>
      <c r="Y93" s="33"/>
      <c r="Z93" s="33"/>
      <c r="AA93" s="33"/>
      <c r="AB93" s="33"/>
    </row>
    <row r="94">
      <c r="A94" s="32"/>
      <c r="B94" s="32"/>
      <c r="C94" s="32"/>
      <c r="D94" s="32"/>
      <c r="E94" s="32"/>
      <c r="F94" s="32"/>
      <c r="G94" s="33"/>
      <c r="H94" s="33"/>
      <c r="I94" s="33"/>
      <c r="J94" s="33"/>
      <c r="K94" s="33"/>
      <c r="L94" s="33"/>
      <c r="M94" s="33"/>
      <c r="N94" s="33"/>
      <c r="O94" s="33"/>
      <c r="P94" s="33"/>
      <c r="Q94" s="33"/>
      <c r="R94" s="33"/>
      <c r="S94" s="33"/>
      <c r="T94" s="33"/>
      <c r="U94" s="33"/>
      <c r="V94" s="33"/>
      <c r="W94" s="33"/>
      <c r="X94" s="33"/>
      <c r="Y94" s="33"/>
      <c r="Z94" s="33"/>
      <c r="AA94" s="33"/>
      <c r="AB94" s="33"/>
    </row>
    <row r="95">
      <c r="A95" s="32"/>
      <c r="B95" s="32"/>
      <c r="C95" s="32"/>
      <c r="D95" s="32"/>
      <c r="E95" s="32"/>
      <c r="F95" s="32"/>
      <c r="G95" s="33"/>
      <c r="H95" s="33"/>
      <c r="I95" s="33"/>
      <c r="J95" s="33"/>
      <c r="K95" s="33"/>
      <c r="L95" s="33"/>
      <c r="M95" s="33"/>
      <c r="N95" s="33"/>
      <c r="O95" s="33"/>
      <c r="P95" s="33"/>
      <c r="Q95" s="33"/>
      <c r="R95" s="33"/>
      <c r="S95" s="33"/>
      <c r="T95" s="33"/>
      <c r="U95" s="33"/>
      <c r="V95" s="33"/>
      <c r="W95" s="33"/>
      <c r="X95" s="33"/>
      <c r="Y95" s="33"/>
      <c r="Z95" s="33"/>
      <c r="AA95" s="33"/>
      <c r="AB95" s="33"/>
    </row>
    <row r="96">
      <c r="A96" s="32"/>
      <c r="B96" s="32"/>
      <c r="C96" s="32"/>
      <c r="D96" s="32"/>
      <c r="E96" s="32"/>
      <c r="F96" s="32"/>
      <c r="G96" s="33"/>
      <c r="H96" s="33"/>
      <c r="I96" s="33"/>
      <c r="J96" s="33"/>
      <c r="K96" s="33"/>
      <c r="L96" s="33"/>
      <c r="M96" s="33"/>
      <c r="N96" s="33"/>
      <c r="O96" s="33"/>
      <c r="P96" s="33"/>
      <c r="Q96" s="33"/>
      <c r="R96" s="33"/>
      <c r="S96" s="33"/>
      <c r="T96" s="33"/>
      <c r="U96" s="33"/>
      <c r="V96" s="33"/>
      <c r="W96" s="33"/>
      <c r="X96" s="33"/>
      <c r="Y96" s="33"/>
      <c r="Z96" s="33"/>
      <c r="AA96" s="33"/>
      <c r="AB96" s="33"/>
    </row>
    <row r="97">
      <c r="A97" s="32"/>
      <c r="B97" s="32"/>
      <c r="C97" s="32"/>
      <c r="D97" s="32"/>
      <c r="E97" s="32"/>
      <c r="F97" s="32"/>
      <c r="G97" s="33"/>
      <c r="H97" s="33"/>
      <c r="I97" s="33"/>
      <c r="J97" s="33"/>
      <c r="K97" s="33"/>
      <c r="L97" s="33"/>
      <c r="M97" s="33"/>
      <c r="N97" s="33"/>
      <c r="O97" s="33"/>
      <c r="P97" s="33"/>
      <c r="Q97" s="33"/>
      <c r="R97" s="33"/>
      <c r="S97" s="33"/>
      <c r="T97" s="33"/>
      <c r="U97" s="33"/>
      <c r="V97" s="33"/>
      <c r="W97" s="33"/>
      <c r="X97" s="33"/>
      <c r="Y97" s="33"/>
      <c r="Z97" s="33"/>
      <c r="AA97" s="33"/>
      <c r="AB97" s="33"/>
    </row>
    <row r="98">
      <c r="A98" s="32"/>
      <c r="B98" s="32"/>
      <c r="C98" s="32"/>
      <c r="D98" s="32"/>
      <c r="E98" s="32"/>
      <c r="F98" s="32"/>
      <c r="G98" s="33"/>
      <c r="H98" s="33"/>
      <c r="I98" s="33"/>
      <c r="J98" s="33"/>
      <c r="K98" s="33"/>
      <c r="L98" s="33"/>
      <c r="M98" s="33"/>
      <c r="N98" s="33"/>
      <c r="O98" s="33"/>
      <c r="P98" s="33"/>
      <c r="Q98" s="33"/>
      <c r="R98" s="33"/>
      <c r="S98" s="33"/>
      <c r="T98" s="33"/>
      <c r="U98" s="33"/>
      <c r="V98" s="33"/>
      <c r="W98" s="33"/>
      <c r="X98" s="33"/>
      <c r="Y98" s="33"/>
      <c r="Z98" s="33"/>
      <c r="AA98" s="33"/>
      <c r="AB98" s="33"/>
    </row>
    <row r="99">
      <c r="A99" s="32"/>
      <c r="B99" s="32"/>
      <c r="C99" s="32"/>
      <c r="D99" s="32"/>
      <c r="E99" s="32"/>
      <c r="F99" s="32"/>
      <c r="G99" s="33"/>
      <c r="H99" s="33"/>
      <c r="I99" s="33"/>
      <c r="J99" s="33"/>
      <c r="K99" s="33"/>
      <c r="L99" s="33"/>
      <c r="M99" s="33"/>
      <c r="N99" s="33"/>
      <c r="O99" s="33"/>
      <c r="P99" s="33"/>
      <c r="Q99" s="33"/>
      <c r="R99" s="33"/>
      <c r="S99" s="33"/>
      <c r="T99" s="33"/>
      <c r="U99" s="33"/>
      <c r="V99" s="33"/>
      <c r="W99" s="33"/>
      <c r="X99" s="33"/>
      <c r="Y99" s="33"/>
      <c r="Z99" s="33"/>
      <c r="AA99" s="33"/>
      <c r="AB99" s="33"/>
    </row>
    <row r="100">
      <c r="A100" s="32"/>
      <c r="B100" s="32"/>
      <c r="C100" s="32"/>
      <c r="D100" s="32"/>
      <c r="E100" s="32"/>
      <c r="F100" s="32"/>
      <c r="G100" s="33"/>
      <c r="H100" s="33"/>
      <c r="I100" s="33"/>
      <c r="J100" s="33"/>
      <c r="K100" s="33"/>
      <c r="L100" s="33"/>
      <c r="M100" s="33"/>
      <c r="N100" s="33"/>
      <c r="O100" s="33"/>
      <c r="P100" s="33"/>
      <c r="Q100" s="33"/>
      <c r="R100" s="33"/>
      <c r="S100" s="33"/>
      <c r="T100" s="33"/>
      <c r="U100" s="33"/>
      <c r="V100" s="33"/>
      <c r="W100" s="33"/>
      <c r="X100" s="33"/>
      <c r="Y100" s="33"/>
      <c r="Z100" s="33"/>
      <c r="AA100" s="33"/>
      <c r="AB100" s="33"/>
    </row>
    <row r="101">
      <c r="A101" s="32"/>
      <c r="B101" s="32"/>
      <c r="C101" s="32"/>
      <c r="D101" s="32"/>
      <c r="E101" s="32"/>
      <c r="F101" s="32"/>
      <c r="G101" s="33"/>
      <c r="H101" s="33"/>
      <c r="I101" s="33"/>
      <c r="J101" s="33"/>
      <c r="K101" s="33"/>
      <c r="L101" s="33"/>
      <c r="M101" s="33"/>
      <c r="N101" s="33"/>
      <c r="O101" s="33"/>
      <c r="P101" s="33"/>
      <c r="Q101" s="33"/>
      <c r="R101" s="33"/>
      <c r="S101" s="33"/>
      <c r="T101" s="33"/>
      <c r="U101" s="33"/>
      <c r="V101" s="33"/>
      <c r="W101" s="33"/>
      <c r="X101" s="33"/>
      <c r="Y101" s="33"/>
      <c r="Z101" s="33"/>
      <c r="AA101" s="33"/>
      <c r="AB101" s="33"/>
    </row>
    <row r="102">
      <c r="A102" s="32"/>
      <c r="B102" s="32"/>
      <c r="C102" s="32"/>
      <c r="D102" s="32"/>
      <c r="E102" s="32"/>
      <c r="F102" s="32"/>
      <c r="G102" s="33"/>
      <c r="H102" s="33"/>
      <c r="I102" s="33"/>
      <c r="J102" s="33"/>
      <c r="K102" s="33"/>
      <c r="L102" s="33"/>
      <c r="M102" s="33"/>
      <c r="N102" s="33"/>
      <c r="O102" s="33"/>
      <c r="P102" s="33"/>
      <c r="Q102" s="33"/>
      <c r="R102" s="33"/>
      <c r="S102" s="33"/>
      <c r="T102" s="33"/>
      <c r="U102" s="33"/>
      <c r="V102" s="33"/>
      <c r="W102" s="33"/>
      <c r="X102" s="33"/>
      <c r="Y102" s="33"/>
      <c r="Z102" s="33"/>
      <c r="AA102" s="33"/>
      <c r="AB102" s="33"/>
    </row>
    <row r="103">
      <c r="A103" s="32"/>
      <c r="B103" s="32"/>
      <c r="C103" s="32"/>
      <c r="D103" s="32"/>
      <c r="E103" s="32"/>
      <c r="F103" s="32"/>
      <c r="G103" s="33"/>
      <c r="H103" s="33"/>
      <c r="I103" s="33"/>
      <c r="J103" s="33"/>
      <c r="K103" s="33"/>
      <c r="L103" s="33"/>
      <c r="M103" s="33"/>
      <c r="N103" s="33"/>
      <c r="O103" s="33"/>
      <c r="P103" s="33"/>
      <c r="Q103" s="33"/>
      <c r="R103" s="33"/>
      <c r="S103" s="33"/>
      <c r="T103" s="33"/>
      <c r="U103" s="33"/>
      <c r="V103" s="33"/>
      <c r="W103" s="33"/>
      <c r="X103" s="33"/>
      <c r="Y103" s="33"/>
      <c r="Z103" s="33"/>
      <c r="AA103" s="33"/>
      <c r="AB103" s="33"/>
    </row>
    <row r="104">
      <c r="A104" s="32"/>
      <c r="B104" s="32"/>
      <c r="C104" s="32"/>
      <c r="D104" s="32"/>
      <c r="E104" s="32"/>
      <c r="F104" s="32"/>
      <c r="G104" s="33"/>
      <c r="H104" s="33"/>
      <c r="I104" s="33"/>
      <c r="J104" s="33"/>
      <c r="K104" s="33"/>
      <c r="L104" s="33"/>
      <c r="M104" s="33"/>
      <c r="N104" s="33"/>
      <c r="O104" s="33"/>
      <c r="P104" s="33"/>
      <c r="Q104" s="33"/>
      <c r="R104" s="33"/>
      <c r="S104" s="33"/>
      <c r="T104" s="33"/>
      <c r="U104" s="33"/>
      <c r="V104" s="33"/>
      <c r="W104" s="33"/>
      <c r="X104" s="33"/>
      <c r="Y104" s="33"/>
      <c r="Z104" s="33"/>
      <c r="AA104" s="33"/>
      <c r="AB104" s="33"/>
    </row>
    <row r="105">
      <c r="A105" s="32"/>
      <c r="B105" s="32"/>
      <c r="C105" s="32"/>
      <c r="D105" s="32"/>
      <c r="E105" s="32"/>
      <c r="F105" s="32"/>
      <c r="G105" s="33"/>
      <c r="H105" s="33"/>
      <c r="I105" s="33"/>
      <c r="J105" s="33"/>
      <c r="K105" s="33"/>
      <c r="L105" s="33"/>
      <c r="M105" s="33"/>
      <c r="N105" s="33"/>
      <c r="O105" s="33"/>
      <c r="P105" s="33"/>
      <c r="Q105" s="33"/>
      <c r="R105" s="33"/>
      <c r="S105" s="33"/>
      <c r="T105" s="33"/>
      <c r="U105" s="33"/>
      <c r="V105" s="33"/>
      <c r="W105" s="33"/>
      <c r="X105" s="33"/>
      <c r="Y105" s="33"/>
      <c r="Z105" s="33"/>
      <c r="AA105" s="33"/>
      <c r="AB105" s="33"/>
    </row>
    <row r="106">
      <c r="A106" s="32"/>
      <c r="B106" s="32"/>
      <c r="C106" s="32"/>
      <c r="D106" s="32"/>
      <c r="E106" s="32"/>
      <c r="F106" s="32"/>
      <c r="G106" s="33"/>
      <c r="H106" s="33"/>
      <c r="I106" s="33"/>
      <c r="J106" s="33"/>
      <c r="K106" s="33"/>
      <c r="L106" s="33"/>
      <c r="M106" s="33"/>
      <c r="N106" s="33"/>
      <c r="O106" s="33"/>
      <c r="P106" s="33"/>
      <c r="Q106" s="33"/>
      <c r="R106" s="33"/>
      <c r="S106" s="33"/>
      <c r="T106" s="33"/>
      <c r="U106" s="33"/>
      <c r="V106" s="33"/>
      <c r="W106" s="33"/>
      <c r="X106" s="33"/>
      <c r="Y106" s="33"/>
      <c r="Z106" s="33"/>
      <c r="AA106" s="33"/>
      <c r="AB106" s="33"/>
    </row>
    <row r="107">
      <c r="A107" s="32"/>
      <c r="B107" s="32"/>
      <c r="C107" s="32"/>
      <c r="D107" s="32"/>
      <c r="E107" s="32"/>
      <c r="F107" s="32"/>
      <c r="G107" s="33"/>
      <c r="H107" s="33"/>
      <c r="I107" s="33"/>
      <c r="J107" s="33"/>
      <c r="K107" s="33"/>
      <c r="L107" s="33"/>
      <c r="M107" s="33"/>
      <c r="N107" s="33"/>
      <c r="O107" s="33"/>
      <c r="P107" s="33"/>
      <c r="Q107" s="33"/>
      <c r="R107" s="33"/>
      <c r="S107" s="33"/>
      <c r="T107" s="33"/>
      <c r="U107" s="33"/>
      <c r="V107" s="33"/>
      <c r="W107" s="33"/>
      <c r="X107" s="33"/>
      <c r="Y107" s="33"/>
      <c r="Z107" s="33"/>
      <c r="AA107" s="33"/>
      <c r="AB107" s="33"/>
    </row>
    <row r="108">
      <c r="A108" s="32"/>
      <c r="B108" s="32"/>
      <c r="C108" s="32"/>
      <c r="D108" s="32"/>
      <c r="E108" s="32"/>
      <c r="F108" s="32"/>
      <c r="G108" s="33"/>
      <c r="H108" s="33"/>
      <c r="I108" s="33"/>
      <c r="J108" s="33"/>
      <c r="K108" s="33"/>
      <c r="L108" s="33"/>
      <c r="M108" s="33"/>
      <c r="N108" s="33"/>
      <c r="O108" s="33"/>
      <c r="P108" s="33"/>
      <c r="Q108" s="33"/>
      <c r="R108" s="33"/>
      <c r="S108" s="33"/>
      <c r="T108" s="33"/>
      <c r="U108" s="33"/>
      <c r="V108" s="33"/>
      <c r="W108" s="33"/>
      <c r="X108" s="33"/>
      <c r="Y108" s="33"/>
      <c r="Z108" s="33"/>
      <c r="AA108" s="33"/>
      <c r="AB108" s="33"/>
    </row>
  </sheetData>
  <mergeCells count="29">
    <mergeCell ref="L25:N25"/>
    <mergeCell ref="L26:N26"/>
    <mergeCell ref="L27:N27"/>
    <mergeCell ref="L28:N28"/>
    <mergeCell ref="L29:N29"/>
    <mergeCell ref="L30:N30"/>
    <mergeCell ref="L31:N31"/>
    <mergeCell ref="L32:N32"/>
    <mergeCell ref="L33:N33"/>
    <mergeCell ref="L34:N34"/>
    <mergeCell ref="L35:N35"/>
    <mergeCell ref="L36:N36"/>
    <mergeCell ref="L37:N37"/>
    <mergeCell ref="L39:N39"/>
    <mergeCell ref="L50:N50"/>
    <mergeCell ref="L51:N51"/>
    <mergeCell ref="L52:N52"/>
    <mergeCell ref="L54:N54"/>
    <mergeCell ref="L55:N55"/>
    <mergeCell ref="L56:N56"/>
    <mergeCell ref="L57:N57"/>
    <mergeCell ref="L59:N59"/>
    <mergeCell ref="L40:N40"/>
    <mergeCell ref="L41:N41"/>
    <mergeCell ref="L43:N43"/>
    <mergeCell ref="L44:N44"/>
    <mergeCell ref="L46:N46"/>
    <mergeCell ref="L47:N47"/>
    <mergeCell ref="L49:N49"/>
  </mergeCells>
  <dataValidations>
    <dataValidation type="list" allowBlank="1" sqref="L34">
      <formula1>"SELECT,MALE,FEMALE"</formula1>
    </dataValidation>
    <dataValidation type="list" allowBlank="1" sqref="L32">
      <formula1>Home!$T$43:$T$47</formula1>
    </dataValidation>
    <dataValidation type="list" allowBlank="1" sqref="L29">
      <formula1>Home!$U$30:$U$105</formula1>
    </dataValidation>
    <dataValidation type="list" allowBlank="1" sqref="L36">
      <formula1>"select here,lean gain,cutting phase"</formula1>
    </dataValidation>
    <dataValidation type="list" allowBlank="1" sqref="L37">
      <formula1>Home!$T$49:$T$53</formula1>
    </dataValidation>
    <dataValidation type="list" allowBlank="1" sqref="L28">
      <formula1>Home!$V$30:$V$66</formula1>
    </dataValidation>
    <dataValidation type="list" allowBlank="1" sqref="L5">
      <formula1>"lbs,kgs"</formula1>
    </dataValidation>
    <dataValidation type="list" allowBlank="1" sqref="L35">
      <formula1>Home!$S$31:$S$78</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outlineLevelRow="1"/>
  <cols>
    <col customWidth="1" min="1" max="1" width="12.13"/>
    <col customWidth="1" min="2" max="2" width="11.75"/>
    <col customWidth="1" hidden="1" min="3" max="3" width="3.88"/>
    <col customWidth="1" hidden="1" min="4" max="4" width="5.38"/>
    <col customWidth="1" min="5" max="5" width="24.63"/>
    <col customWidth="1" min="6" max="6" width="4.13"/>
    <col customWidth="1" min="7" max="7" width="4.75"/>
    <col customWidth="1" min="8" max="8" width="9.25"/>
    <col customWidth="1" min="9" max="9" width="5.38"/>
    <col customWidth="1" hidden="1" min="10" max="10" width="5.0"/>
    <col customWidth="1" min="11" max="11" width="2.38"/>
    <col customWidth="1" min="12" max="12" width="5.25" outlineLevel="1"/>
    <col customWidth="1" min="13" max="13" width="5.38" outlineLevel="1"/>
    <col customWidth="1" min="14" max="14" width="19.75" outlineLevel="1"/>
    <col customWidth="1" min="15" max="15" width="1.75"/>
    <col customWidth="1" hidden="1" min="16" max="16" width="11.75"/>
    <col customWidth="1" hidden="1" min="17" max="17" width="3.88"/>
    <col customWidth="1" hidden="1" min="18" max="18" width="5.38"/>
    <col customWidth="1" min="19" max="19" width="24.75"/>
    <col customWidth="1" min="20" max="20" width="4.13"/>
    <col customWidth="1" min="21" max="21" width="4.75"/>
    <col customWidth="1" min="22" max="22" width="10.88"/>
    <col customWidth="1" min="23" max="23" width="5.38"/>
    <col customWidth="1" hidden="1" min="24" max="24" width="5.0"/>
    <col customWidth="1" min="25" max="25" width="1.88"/>
    <col customWidth="1" min="26" max="26" width="5.25" outlineLevel="1"/>
    <col customWidth="1" min="27" max="27" width="5.38" outlineLevel="1"/>
    <col customWidth="1" min="28" max="28" width="19.75" outlineLevel="1"/>
    <col customWidth="1" min="29" max="29" width="1.75"/>
    <col customWidth="1" hidden="1" min="30" max="30" width="11.75"/>
    <col customWidth="1" hidden="1" min="31" max="31" width="3.88"/>
    <col customWidth="1" hidden="1" min="32" max="32" width="5.38"/>
    <col customWidth="1" min="33" max="33" width="25.63"/>
    <col customWidth="1" min="34" max="34" width="4.25"/>
    <col customWidth="1" min="35" max="35" width="4.75"/>
    <col customWidth="1" min="36" max="36" width="9.5"/>
    <col customWidth="1" min="37" max="37" width="5.38"/>
    <col customWidth="1" hidden="1" min="38" max="38" width="5.0"/>
    <col customWidth="1" min="39" max="39" width="1.88"/>
    <col customWidth="1" min="40" max="40" width="5.25" outlineLevel="1"/>
    <col customWidth="1" min="41" max="41" width="5.38" outlineLevel="1"/>
    <col customWidth="1" min="42" max="42" width="19.75" outlineLevel="1"/>
    <col customWidth="1" min="43" max="43" width="1.75"/>
    <col customWidth="1" hidden="1" min="44" max="44" width="11.75"/>
    <col customWidth="1" hidden="1" min="45" max="45" width="3.88"/>
    <col customWidth="1" hidden="1" min="46" max="46" width="5.38"/>
    <col customWidth="1" min="47" max="47" width="24.13"/>
    <col customWidth="1" min="48" max="48" width="4.25"/>
    <col customWidth="1" min="49" max="49" width="4.75"/>
    <col customWidth="1" min="50" max="50" width="10.0"/>
    <col customWidth="1" min="51" max="51" width="5.38"/>
    <col customWidth="1" hidden="1" min="52" max="52" width="5.0"/>
    <col customWidth="1" min="53" max="53" width="1.88"/>
    <col customWidth="1" min="54" max="54" width="5.25" outlineLevel="1"/>
    <col customWidth="1" min="55" max="55" width="5.38" outlineLevel="1"/>
    <col customWidth="1" min="56" max="56" width="19.75" outlineLevel="1"/>
    <col customWidth="1" min="57" max="57" width="1.75"/>
    <col customWidth="1" hidden="1" min="58" max="58" width="11.75"/>
    <col customWidth="1" hidden="1" min="59" max="59" width="3.88"/>
    <col customWidth="1" hidden="1" min="60" max="60" width="5.38"/>
    <col customWidth="1" min="61" max="61" width="24.25"/>
    <col customWidth="1" min="62" max="62" width="4.25"/>
    <col customWidth="1" min="63" max="63" width="4.75"/>
    <col customWidth="1" min="64" max="64" width="11.5"/>
    <col customWidth="1" min="65" max="65" width="5.38"/>
    <col customWidth="1" hidden="1" min="66" max="66" width="5.0"/>
    <col customWidth="1" min="67" max="67" width="1.88"/>
    <col customWidth="1" min="68" max="68" width="5.25" outlineLevel="1"/>
    <col customWidth="1" min="69" max="69" width="5.38" outlineLevel="1"/>
    <col customWidth="1" min="70" max="70" width="19.75" outlineLevel="1"/>
    <col customWidth="1" min="71" max="71" width="1.75"/>
    <col customWidth="1" hidden="1" min="72" max="72" width="11.75"/>
    <col customWidth="1" hidden="1" min="73" max="73" width="3.88"/>
    <col customWidth="1" hidden="1" min="74" max="74" width="5.38"/>
    <col customWidth="1" min="75" max="75" width="24.88"/>
    <col customWidth="1" min="76" max="76" width="4.25"/>
    <col customWidth="1" min="77" max="77" width="4.38"/>
    <col customWidth="1" min="78" max="78" width="10.5"/>
    <col customWidth="1" min="79" max="79" width="5.38"/>
    <col customWidth="1" hidden="1" min="80" max="80" width="5.0"/>
    <col customWidth="1" min="81" max="81" width="1.88"/>
    <col customWidth="1" min="82" max="82" width="5.25" outlineLevel="1"/>
    <col customWidth="1" min="83" max="83" width="5.38" outlineLevel="1"/>
    <col customWidth="1" min="84" max="84" width="19.75" outlineLevel="1"/>
    <col customWidth="1" min="85" max="85" width="1.75"/>
    <col customWidth="1" hidden="1" min="86" max="86" width="11.75"/>
    <col customWidth="1" hidden="1" min="87" max="87" width="3.88"/>
    <col customWidth="1" hidden="1" min="88" max="88" width="5.38"/>
    <col customWidth="1" min="89" max="89" width="23.88"/>
    <col customWidth="1" min="90" max="90" width="4.25"/>
    <col customWidth="1" min="91" max="91" width="4.38"/>
    <col customWidth="1" min="92" max="92" width="10.38"/>
    <col customWidth="1" min="93" max="93" width="5.38"/>
    <col customWidth="1" hidden="1" min="94" max="94" width="5.0"/>
    <col customWidth="1" min="95" max="95" width="1.88"/>
    <col customWidth="1" min="96" max="96" width="5.25" outlineLevel="1"/>
    <col customWidth="1" min="97" max="97" width="5.38" outlineLevel="1"/>
    <col customWidth="1" min="98" max="98" width="19.75" outlineLevel="1"/>
    <col customWidth="1" min="99" max="99" width="1.75"/>
    <col customWidth="1" hidden="1" min="100" max="100" width="11.75"/>
    <col customWidth="1" hidden="1" min="101" max="101" width="3.88"/>
    <col customWidth="1" hidden="1" min="102" max="102" width="5.38"/>
    <col customWidth="1" min="103" max="103" width="23.88"/>
    <col customWidth="1" min="104" max="104" width="4.25"/>
    <col customWidth="1" min="105" max="105" width="4.38"/>
    <col customWidth="1" min="106" max="106" width="11.13"/>
    <col customWidth="1" min="107" max="107" width="5.38"/>
    <col customWidth="1" hidden="1" min="108" max="108" width="5.0"/>
    <col customWidth="1" min="109" max="109" width="1.88"/>
    <col customWidth="1" min="110" max="110" width="5.25" outlineLevel="1"/>
    <col customWidth="1" min="111" max="111" width="5.38" outlineLevel="1"/>
    <col customWidth="1" min="112" max="112" width="19.75" outlineLevel="1"/>
    <col customWidth="1" min="113" max="113" width="1.75"/>
    <col customWidth="1" hidden="1" min="114" max="114" width="11.75"/>
    <col customWidth="1" hidden="1" min="115" max="115" width="3.88"/>
    <col customWidth="1" hidden="1" min="116" max="116" width="5.38"/>
    <col customWidth="1" min="117" max="117" width="17.5"/>
    <col customWidth="1" min="118" max="118" width="4.25"/>
    <col customWidth="1" min="119" max="119" width="4.38"/>
    <col customWidth="1" min="120" max="120" width="10.38"/>
    <col customWidth="1" min="121" max="121" width="5.38"/>
    <col customWidth="1" hidden="1" min="122" max="122" width="5.0"/>
    <col customWidth="1" min="123" max="123" width="1.88"/>
    <col customWidth="1" min="124" max="124" width="5.25" outlineLevel="1"/>
    <col customWidth="1" min="125" max="125" width="5.38" outlineLevel="1"/>
    <col customWidth="1" min="126" max="126" width="19.75" outlineLevel="1"/>
    <col customWidth="1" min="127" max="127" width="1.75"/>
    <col customWidth="1" min="128" max="128" width="11.75"/>
    <col customWidth="1" min="129" max="129" width="3.88"/>
    <col customWidth="1" min="130" max="130" width="5.38"/>
    <col customWidth="1" min="131" max="131" width="17.5"/>
    <col customWidth="1" min="132" max="132" width="4.25"/>
    <col customWidth="1" min="133" max="133" width="4.38"/>
    <col customWidth="1" min="134" max="134" width="11.5"/>
    <col customWidth="1" min="135" max="135" width="5.38"/>
    <col customWidth="1" hidden="1" min="136" max="136" width="5.0"/>
    <col customWidth="1" hidden="1" min="137" max="137" width="1.88"/>
    <col customWidth="1" hidden="1" min="138" max="138" width="5.25"/>
    <col customWidth="1" hidden="1" min="139" max="139" width="5.38"/>
    <col customWidth="1" hidden="1" min="140" max="140" width="19.75"/>
    <col customWidth="1" hidden="1" min="141" max="141" width="1.75"/>
    <col customWidth="1" hidden="1" min="142" max="142" width="11.75"/>
    <col customWidth="1" hidden="1" min="143" max="143" width="3.88"/>
    <col customWidth="1" hidden="1" min="144" max="144" width="5.38"/>
    <col customWidth="1" hidden="1" min="145" max="145" width="17.5"/>
    <col customWidth="1" hidden="1" min="146" max="146" width="8.13"/>
    <col customWidth="1" hidden="1" min="147" max="147" width="5.75"/>
    <col customWidth="1" hidden="1" min="148" max="148" width="12.63"/>
    <col customWidth="1" hidden="1" min="149" max="149" width="5.38"/>
    <col customWidth="1" hidden="1" min="150" max="150" width="5.0"/>
    <col customWidth="1" hidden="1" min="151" max="151" width="1.88"/>
    <col customWidth="1" hidden="1" min="152" max="152" width="5.25"/>
    <col customWidth="1" hidden="1" min="153" max="153" width="5.38"/>
    <col customWidth="1" hidden="1" min="154" max="154" width="19.75"/>
    <col customWidth="1" hidden="1" min="155" max="155" width="1.75"/>
    <col customWidth="1" hidden="1" min="156" max="156" width="11.75"/>
    <col customWidth="1" hidden="1" min="157" max="157" width="3.88"/>
    <col customWidth="1" hidden="1" min="158" max="158" width="5.38"/>
    <col customWidth="1" hidden="1" min="159" max="159" width="17.5"/>
    <col customWidth="1" hidden="1" min="160" max="160" width="4.25"/>
    <col customWidth="1" hidden="1" min="161" max="161" width="4.38"/>
    <col customWidth="1" hidden="1" min="162" max="162" width="18.38"/>
    <col customWidth="1" hidden="1" min="163" max="163" width="5.38"/>
    <col customWidth="1" hidden="1" min="164" max="164" width="5.0"/>
    <col customWidth="1" hidden="1" min="165" max="165" width="1.88"/>
    <col customWidth="1" hidden="1" min="166" max="166" width="5.25"/>
    <col customWidth="1" hidden="1" min="167" max="167" width="5.38"/>
    <col customWidth="1" hidden="1" min="168" max="168" width="19.75"/>
    <col customWidth="1" hidden="1" min="169" max="169" width="1.75"/>
    <col customWidth="1" hidden="1" min="170" max="170" width="11.75"/>
    <col customWidth="1" hidden="1" min="171" max="171" width="3.88"/>
    <col customWidth="1" hidden="1" min="172" max="172" width="5.38"/>
    <col customWidth="1" hidden="1" min="173" max="173" width="17.5"/>
    <col customWidth="1" hidden="1" min="174" max="174" width="4.25"/>
    <col customWidth="1" hidden="1" min="175" max="175" width="4.38"/>
    <col customWidth="1" hidden="1" min="176" max="176" width="11.38"/>
    <col customWidth="1" hidden="1" min="177" max="177" width="5.38"/>
    <col customWidth="1" hidden="1" min="178" max="178" width="5.0"/>
    <col customWidth="1" hidden="1" min="179" max="179" width="1.88"/>
    <col customWidth="1" hidden="1" min="180" max="180" width="5.25"/>
    <col customWidth="1" hidden="1" min="181" max="181" width="5.38"/>
    <col customWidth="1" hidden="1" min="182" max="182" width="19.75"/>
    <col customWidth="1" hidden="1" min="183" max="183" width="1.75"/>
    <col customWidth="1" hidden="1" min="184" max="184" width="11.75"/>
    <col customWidth="1" hidden="1" min="185" max="185" width="3.88"/>
    <col customWidth="1" hidden="1" min="186" max="186" width="5.38"/>
    <col customWidth="1" hidden="1" min="187" max="187" width="17.5"/>
    <col customWidth="1" hidden="1" min="188" max="188" width="4.25"/>
    <col customWidth="1" hidden="1" min="189" max="189" width="4.38"/>
    <col customWidth="1" hidden="1" min="190" max="190" width="6.13"/>
    <col customWidth="1" hidden="1" min="191" max="191" width="5.38"/>
    <col customWidth="1" hidden="1" min="192" max="192" width="5.0"/>
    <col customWidth="1" hidden="1" min="193" max="193" width="1.88"/>
    <col customWidth="1" hidden="1" min="194" max="194" width="5.25"/>
    <col customWidth="1" hidden="1" min="195" max="195" width="5.38"/>
    <col customWidth="1" hidden="1" min="196" max="196" width="19.75"/>
    <col customWidth="1" hidden="1" min="197" max="197" width="1.75"/>
    <col customWidth="1" hidden="1" min="198" max="198" width="11.75"/>
    <col customWidth="1" hidden="1" min="199" max="199" width="3.88"/>
    <col customWidth="1" hidden="1" min="200" max="200" width="5.38"/>
    <col customWidth="1" hidden="1" min="201" max="201" width="17.5"/>
    <col customWidth="1" hidden="1" min="202" max="202" width="4.25"/>
    <col customWidth="1" hidden="1" min="203" max="203" width="4.38"/>
    <col customWidth="1" hidden="1" min="204" max="204" width="6.13"/>
    <col customWidth="1" hidden="1" min="205" max="205" width="5.38"/>
    <col customWidth="1" hidden="1" min="206" max="206" width="5.0"/>
    <col customWidth="1" hidden="1" min="207" max="207" width="1.88"/>
    <col customWidth="1" hidden="1" min="208" max="208" width="5.25"/>
    <col customWidth="1" hidden="1" min="209" max="209" width="5.38"/>
    <col customWidth="1" hidden="1" min="210" max="210" width="19.75"/>
    <col customWidth="1" hidden="1" min="211" max="211" width="1.75"/>
    <col customWidth="1" hidden="1" min="212" max="212" width="11.75"/>
    <col customWidth="1" hidden="1" min="213" max="213" width="3.88"/>
    <col customWidth="1" hidden="1" min="214" max="214" width="5.38"/>
    <col customWidth="1" hidden="1" min="215" max="215" width="17.5"/>
    <col customWidth="1" hidden="1" min="216" max="216" width="4.25"/>
    <col customWidth="1" hidden="1" min="217" max="217" width="4.38"/>
    <col customWidth="1" hidden="1" min="218" max="218" width="6.13"/>
    <col customWidth="1" hidden="1" min="219" max="219" width="5.38"/>
    <col customWidth="1" hidden="1" min="220" max="220" width="5.0"/>
    <col customWidth="1" hidden="1" min="221" max="221" width="1.88"/>
    <col customWidth="1" hidden="1" min="222" max="222" width="5.25"/>
    <col customWidth="1" hidden="1" min="223" max="223" width="5.38"/>
    <col customWidth="1" hidden="1" min="224" max="224" width="19.75"/>
    <col customWidth="1" hidden="1" min="225" max="225" width="1.75"/>
    <col customWidth="1" hidden="1" min="226" max="226" width="11.75"/>
    <col customWidth="1" hidden="1" min="227" max="227" width="3.88"/>
    <col customWidth="1" hidden="1" min="228" max="228" width="5.38"/>
    <col customWidth="1" hidden="1" min="229" max="229" width="17.5"/>
    <col customWidth="1" hidden="1" min="230" max="230" width="4.25"/>
    <col customWidth="1" hidden="1" min="231" max="231" width="4.38"/>
    <col customWidth="1" hidden="1" min="232" max="232" width="6.13"/>
    <col customWidth="1" hidden="1" min="233" max="233" width="5.38"/>
    <col customWidth="1" hidden="1" min="234" max="234" width="5.0"/>
    <col customWidth="1" hidden="1" min="235" max="235" width="1.88"/>
    <col customWidth="1" hidden="1" min="236" max="236" width="5.25"/>
    <col customWidth="1" hidden="1" min="237" max="237" width="5.38"/>
    <col customWidth="1" hidden="1" min="238" max="238" width="19.75"/>
    <col customWidth="1" hidden="1" min="239" max="239" width="1.75"/>
    <col customWidth="1" hidden="1" min="240" max="240" width="11.75"/>
    <col customWidth="1" hidden="1" min="241" max="241" width="3.88"/>
    <col customWidth="1" hidden="1" min="242" max="242" width="5.38"/>
    <col customWidth="1" hidden="1" min="243" max="243" width="17.5"/>
    <col customWidth="1" hidden="1" min="244" max="244" width="4.25"/>
    <col customWidth="1" hidden="1" min="245" max="245" width="4.38"/>
    <col customWidth="1" hidden="1" min="246" max="246" width="6.13"/>
    <col customWidth="1" hidden="1" min="247" max="247" width="5.38"/>
    <col customWidth="1" hidden="1" min="248" max="248" width="5.0"/>
    <col customWidth="1" hidden="1" min="249" max="249" width="1.88"/>
    <col customWidth="1" hidden="1" min="250" max="250" width="5.25"/>
    <col customWidth="1" hidden="1" min="251" max="251" width="5.38"/>
    <col customWidth="1" hidden="1" min="252" max="252" width="19.75"/>
    <col customWidth="1" hidden="1" min="253" max="253" width="1.75"/>
    <col customWidth="1" hidden="1" min="254" max="254" width="11.75"/>
    <col customWidth="1" hidden="1" min="255" max="255" width="3.88"/>
    <col customWidth="1" hidden="1" min="256" max="256" width="5.38"/>
    <col customWidth="1" hidden="1" min="257" max="257" width="11.75"/>
    <col customWidth="1" hidden="1" min="258" max="258" width="3.88"/>
    <col customWidth="1" hidden="1" min="259" max="259" width="5.38"/>
  </cols>
  <sheetData>
    <row r="1" ht="9.75" customHeight="1">
      <c r="A1" s="118"/>
      <c r="B1" s="119"/>
      <c r="C1" s="120"/>
      <c r="D1" s="121"/>
      <c r="E1" s="120"/>
      <c r="F1" s="122"/>
      <c r="G1" s="122"/>
      <c r="H1" s="123"/>
      <c r="I1" s="123"/>
      <c r="J1" s="124"/>
      <c r="K1" s="122"/>
      <c r="L1" s="122"/>
      <c r="M1" s="124"/>
      <c r="N1" s="122"/>
      <c r="O1" s="122"/>
      <c r="P1" s="119"/>
      <c r="Q1" s="120"/>
      <c r="R1" s="121"/>
      <c r="S1" s="120"/>
      <c r="T1" s="122"/>
      <c r="U1" s="122"/>
      <c r="V1" s="123"/>
      <c r="W1" s="123"/>
      <c r="X1" s="124"/>
      <c r="Y1" s="122"/>
      <c r="Z1" s="122"/>
      <c r="AA1" s="124"/>
      <c r="AB1" s="122"/>
      <c r="AC1" s="122"/>
      <c r="AD1" s="119"/>
      <c r="AE1" s="120"/>
      <c r="AF1" s="121"/>
      <c r="AG1" s="120"/>
      <c r="AH1" s="122"/>
      <c r="AI1" s="122"/>
      <c r="AJ1" s="123"/>
      <c r="AK1" s="123"/>
      <c r="AL1" s="124"/>
      <c r="AM1" s="122"/>
      <c r="AN1" s="122"/>
      <c r="AO1" s="124"/>
      <c r="AP1" s="122"/>
      <c r="AQ1" s="122"/>
      <c r="AR1" s="119"/>
      <c r="AS1" s="120"/>
      <c r="AT1" s="121"/>
      <c r="AU1" s="120"/>
      <c r="AV1" s="122"/>
      <c r="AW1" s="122"/>
      <c r="AX1" s="123"/>
      <c r="AY1" s="123"/>
      <c r="AZ1" s="124"/>
      <c r="BA1" s="122"/>
      <c r="BB1" s="122"/>
      <c r="BC1" s="124"/>
      <c r="BD1" s="122"/>
      <c r="BE1" s="122"/>
      <c r="BF1" s="119"/>
      <c r="BG1" s="120"/>
      <c r="BH1" s="121"/>
      <c r="BI1" s="120"/>
      <c r="BJ1" s="122"/>
      <c r="BK1" s="122"/>
      <c r="BL1" s="123"/>
      <c r="BM1" s="123"/>
      <c r="BN1" s="124"/>
      <c r="BO1" s="122"/>
      <c r="BP1" s="122"/>
      <c r="BQ1" s="124"/>
      <c r="BR1" s="122"/>
      <c r="BS1" s="122"/>
      <c r="BT1" s="119"/>
      <c r="BU1" s="120"/>
      <c r="BV1" s="121"/>
      <c r="BW1" s="120"/>
      <c r="BX1" s="122"/>
      <c r="BY1" s="122"/>
      <c r="BZ1" s="123"/>
      <c r="CA1" s="123"/>
      <c r="CB1" s="124"/>
      <c r="CC1" s="122"/>
      <c r="CD1" s="122"/>
      <c r="CE1" s="124"/>
      <c r="CF1" s="122"/>
      <c r="CG1" s="122"/>
      <c r="CH1" s="119"/>
      <c r="CI1" s="120"/>
      <c r="CJ1" s="121"/>
      <c r="CK1" s="120"/>
      <c r="CL1" s="122"/>
      <c r="CM1" s="122"/>
      <c r="CN1" s="123"/>
      <c r="CO1" s="123"/>
      <c r="CP1" s="124"/>
      <c r="CQ1" s="122"/>
      <c r="CR1" s="122"/>
      <c r="CS1" s="124"/>
      <c r="CT1" s="122"/>
      <c r="CU1" s="122"/>
      <c r="CV1" s="119"/>
      <c r="CW1" s="120"/>
      <c r="CX1" s="121"/>
      <c r="CY1" s="120"/>
      <c r="CZ1" s="122"/>
      <c r="DA1" s="122"/>
      <c r="DB1" s="123"/>
      <c r="DC1" s="123"/>
      <c r="DD1" s="124"/>
      <c r="DE1" s="122"/>
      <c r="DF1" s="122"/>
      <c r="DG1" s="124"/>
      <c r="DH1" s="122"/>
      <c r="DI1" s="122"/>
      <c r="DJ1" s="119"/>
      <c r="DK1" s="120"/>
      <c r="DL1" s="121"/>
      <c r="DM1" s="120"/>
      <c r="DN1" s="122"/>
      <c r="DO1" s="122"/>
      <c r="DP1" s="123"/>
      <c r="DQ1" s="123"/>
      <c r="DR1" s="124"/>
      <c r="DS1" s="122"/>
      <c r="DT1" s="122"/>
      <c r="DU1" s="124"/>
      <c r="DV1" s="122"/>
      <c r="DW1" s="122"/>
      <c r="DX1" s="119"/>
      <c r="DY1" s="120"/>
      <c r="DZ1" s="121"/>
      <c r="EA1" s="120"/>
      <c r="EB1" s="122"/>
      <c r="EC1" s="122"/>
      <c r="ED1" s="123"/>
      <c r="EE1" s="123"/>
      <c r="EF1" s="124"/>
      <c r="EG1" s="122"/>
      <c r="EH1" s="122"/>
      <c r="EI1" s="124"/>
      <c r="EJ1" s="122"/>
      <c r="EK1" s="122"/>
      <c r="EL1" s="119"/>
      <c r="EM1" s="120"/>
      <c r="EN1" s="121"/>
      <c r="EO1" s="120"/>
      <c r="EP1" s="122"/>
      <c r="EQ1" s="122"/>
      <c r="ER1" s="123"/>
      <c r="ES1" s="123"/>
      <c r="ET1" s="124"/>
      <c r="EU1" s="122"/>
      <c r="EV1" s="122"/>
      <c r="EW1" s="124"/>
      <c r="EX1" s="122"/>
      <c r="EY1" s="122"/>
      <c r="EZ1" s="119"/>
      <c r="FA1" s="120"/>
      <c r="FB1" s="121"/>
      <c r="FC1" s="120"/>
      <c r="FD1" s="122"/>
      <c r="FE1" s="122"/>
      <c r="FF1" s="123"/>
      <c r="FG1" s="123"/>
      <c r="FH1" s="124"/>
      <c r="FI1" s="122"/>
      <c r="FJ1" s="122"/>
      <c r="FK1" s="124"/>
      <c r="FL1" s="122"/>
      <c r="FM1" s="122"/>
      <c r="FN1" s="119"/>
      <c r="FO1" s="120"/>
      <c r="FP1" s="121"/>
      <c r="FQ1" s="120"/>
      <c r="FR1" s="122"/>
      <c r="FS1" s="122"/>
      <c r="FT1" s="123"/>
      <c r="FU1" s="123"/>
      <c r="FV1" s="124"/>
      <c r="FW1" s="122"/>
      <c r="FX1" s="122"/>
      <c r="FY1" s="124"/>
      <c r="FZ1" s="122"/>
      <c r="GA1" s="122"/>
      <c r="GB1" s="119"/>
      <c r="GC1" s="120"/>
      <c r="GD1" s="121"/>
      <c r="GE1" s="120"/>
      <c r="GF1" s="122"/>
      <c r="GG1" s="122"/>
      <c r="GH1" s="123"/>
      <c r="GI1" s="123"/>
      <c r="GJ1" s="124"/>
      <c r="GK1" s="122"/>
      <c r="GL1" s="122"/>
      <c r="GM1" s="124"/>
      <c r="GN1" s="122"/>
      <c r="GO1" s="122"/>
      <c r="GP1" s="119"/>
      <c r="GQ1" s="120"/>
      <c r="GR1" s="121"/>
      <c r="GS1" s="120"/>
      <c r="GT1" s="122"/>
      <c r="GU1" s="122"/>
      <c r="GV1" s="123"/>
      <c r="GW1" s="123"/>
      <c r="GX1" s="124"/>
      <c r="GY1" s="122"/>
      <c r="GZ1" s="122"/>
      <c r="HA1" s="124"/>
      <c r="HB1" s="122"/>
      <c r="HC1" s="122"/>
      <c r="HD1" s="119"/>
      <c r="HE1" s="120"/>
      <c r="HF1" s="121"/>
      <c r="HG1" s="120"/>
      <c r="HH1" s="122"/>
      <c r="HI1" s="122"/>
      <c r="HJ1" s="123"/>
      <c r="HK1" s="123"/>
      <c r="HL1" s="124"/>
      <c r="HM1" s="122"/>
      <c r="HN1" s="122"/>
      <c r="HO1" s="124"/>
      <c r="HP1" s="122"/>
      <c r="HQ1" s="122"/>
      <c r="HR1" s="119"/>
      <c r="HS1" s="120"/>
      <c r="HT1" s="121"/>
      <c r="HU1" s="120"/>
      <c r="HV1" s="122"/>
      <c r="HW1" s="122"/>
      <c r="HX1" s="123"/>
      <c r="HY1" s="123"/>
      <c r="HZ1" s="124"/>
      <c r="IA1" s="122"/>
      <c r="IB1" s="122"/>
      <c r="IC1" s="124"/>
      <c r="ID1" s="122"/>
      <c r="IE1" s="122"/>
      <c r="IF1" s="119"/>
      <c r="IG1" s="120"/>
      <c r="IH1" s="121"/>
      <c r="II1" s="120"/>
      <c r="IJ1" s="122"/>
      <c r="IK1" s="122"/>
      <c r="IL1" s="123"/>
      <c r="IM1" s="123"/>
      <c r="IN1" s="124"/>
      <c r="IO1" s="122"/>
      <c r="IP1" s="122"/>
      <c r="IQ1" s="124"/>
      <c r="IR1" s="122"/>
      <c r="IS1" s="122"/>
      <c r="IT1" s="119"/>
      <c r="IU1" s="120"/>
      <c r="IV1" s="121"/>
      <c r="IW1" s="119"/>
      <c r="IX1" s="120"/>
      <c r="IY1" s="121"/>
    </row>
    <row r="2">
      <c r="A2" s="118"/>
      <c r="B2" s="125"/>
      <c r="C2" s="120"/>
      <c r="D2" s="121"/>
      <c r="E2" s="126" t="s">
        <v>276</v>
      </c>
      <c r="F2" s="122"/>
      <c r="G2" s="122"/>
      <c r="H2" s="123"/>
      <c r="I2" s="127"/>
      <c r="J2" s="124"/>
      <c r="K2" s="122"/>
      <c r="L2" s="122"/>
      <c r="M2" s="124"/>
      <c r="N2" s="122"/>
      <c r="O2" s="122"/>
      <c r="P2" s="125"/>
      <c r="Q2" s="120"/>
      <c r="R2" s="121"/>
      <c r="S2" s="126" t="s">
        <v>277</v>
      </c>
      <c r="T2" s="122"/>
      <c r="U2" s="122"/>
      <c r="V2" s="123"/>
      <c r="W2" s="123"/>
      <c r="X2" s="124"/>
      <c r="Y2" s="122"/>
      <c r="Z2" s="122"/>
      <c r="AA2" s="124"/>
      <c r="AB2" s="122"/>
      <c r="AC2" s="122"/>
      <c r="AD2" s="125"/>
      <c r="AE2" s="120"/>
      <c r="AF2" s="121"/>
      <c r="AG2" s="126" t="s">
        <v>278</v>
      </c>
      <c r="AH2" s="122"/>
      <c r="AI2" s="122"/>
      <c r="AJ2" s="123"/>
      <c r="AK2" s="123"/>
      <c r="AL2" s="124"/>
      <c r="AM2" s="122"/>
      <c r="AN2" s="122"/>
      <c r="AO2" s="124"/>
      <c r="AP2" s="122"/>
      <c r="AQ2" s="122"/>
      <c r="AR2" s="125"/>
      <c r="AS2" s="120"/>
      <c r="AT2" s="121"/>
      <c r="AU2" s="126" t="s">
        <v>279</v>
      </c>
      <c r="AV2" s="122"/>
      <c r="AW2" s="122"/>
      <c r="AX2" s="123"/>
      <c r="AY2" s="123"/>
      <c r="AZ2" s="124"/>
      <c r="BA2" s="122"/>
      <c r="BB2" s="122"/>
      <c r="BC2" s="124"/>
      <c r="BD2" s="122"/>
      <c r="BE2" s="122"/>
      <c r="BF2" s="125"/>
      <c r="BG2" s="120"/>
      <c r="BH2" s="121"/>
      <c r="BI2" s="126" t="s">
        <v>280</v>
      </c>
      <c r="BJ2" s="122"/>
      <c r="BK2" s="122"/>
      <c r="BL2" s="123"/>
      <c r="BM2" s="123"/>
      <c r="BN2" s="124"/>
      <c r="BO2" s="122"/>
      <c r="BP2" s="122"/>
      <c r="BQ2" s="124"/>
      <c r="BR2" s="122"/>
      <c r="BS2" s="122"/>
      <c r="BT2" s="125"/>
      <c r="BU2" s="120"/>
      <c r="BV2" s="121"/>
      <c r="BW2" s="126" t="s">
        <v>281</v>
      </c>
      <c r="BX2" s="122"/>
      <c r="BY2" s="122"/>
      <c r="BZ2" s="123"/>
      <c r="CA2" s="123"/>
      <c r="CB2" s="124"/>
      <c r="CC2" s="122"/>
      <c r="CD2" s="122"/>
      <c r="CE2" s="124"/>
      <c r="CF2" s="122"/>
      <c r="CG2" s="122"/>
      <c r="CH2" s="125"/>
      <c r="CI2" s="120"/>
      <c r="CJ2" s="121"/>
      <c r="CK2" s="126" t="s">
        <v>282</v>
      </c>
      <c r="CL2" s="122"/>
      <c r="CM2" s="122"/>
      <c r="CN2" s="123"/>
      <c r="CO2" s="123"/>
      <c r="CP2" s="124"/>
      <c r="CQ2" s="122"/>
      <c r="CR2" s="122"/>
      <c r="CS2" s="124"/>
      <c r="CT2" s="122"/>
      <c r="CU2" s="122"/>
      <c r="CV2" s="125"/>
      <c r="CW2" s="120"/>
      <c r="CX2" s="121"/>
      <c r="CY2" s="126" t="s">
        <v>283</v>
      </c>
      <c r="CZ2" s="122"/>
      <c r="DA2" s="122"/>
      <c r="DB2" s="123"/>
      <c r="DC2" s="123"/>
      <c r="DD2" s="124"/>
      <c r="DE2" s="122"/>
      <c r="DF2" s="122"/>
      <c r="DG2" s="124"/>
      <c r="DH2" s="122"/>
      <c r="DI2" s="122"/>
      <c r="DJ2" s="125"/>
      <c r="DK2" s="120"/>
      <c r="DL2" s="121"/>
      <c r="DM2" s="126" t="s">
        <v>284</v>
      </c>
      <c r="DN2" s="122"/>
      <c r="DO2" s="122"/>
      <c r="DP2" s="123"/>
      <c r="DQ2" s="123"/>
      <c r="DR2" s="124"/>
      <c r="DS2" s="122"/>
      <c r="DT2" s="122"/>
      <c r="DU2" s="124"/>
      <c r="DV2" s="122"/>
      <c r="DW2" s="122"/>
      <c r="DX2" s="125"/>
      <c r="DY2" s="120"/>
      <c r="DZ2" s="121"/>
      <c r="EA2" s="126"/>
      <c r="EB2" s="122"/>
      <c r="EC2" s="122"/>
      <c r="ED2" s="123"/>
      <c r="EE2" s="123"/>
      <c r="EF2" s="124"/>
      <c r="EG2" s="122"/>
      <c r="EH2" s="122"/>
      <c r="EI2" s="124"/>
      <c r="EJ2" s="122"/>
      <c r="EK2" s="122"/>
      <c r="EL2" s="125"/>
      <c r="EM2" s="120"/>
      <c r="EN2" s="121"/>
      <c r="EO2" s="126"/>
      <c r="EP2" s="122"/>
      <c r="EQ2" s="122"/>
      <c r="ER2" s="123"/>
      <c r="ES2" s="123"/>
      <c r="ET2" s="124"/>
      <c r="EU2" s="122"/>
      <c r="EV2" s="122"/>
      <c r="EW2" s="124"/>
      <c r="EX2" s="122"/>
      <c r="EY2" s="122"/>
      <c r="EZ2" s="125"/>
      <c r="FA2" s="120"/>
      <c r="FB2" s="121"/>
      <c r="FC2" s="126"/>
      <c r="FD2" s="122"/>
      <c r="FE2" s="122"/>
      <c r="FF2" s="123"/>
      <c r="FG2" s="123"/>
      <c r="FH2" s="124"/>
      <c r="FI2" s="122"/>
      <c r="FJ2" s="122"/>
      <c r="FK2" s="124"/>
      <c r="FL2" s="122"/>
      <c r="FM2" s="122"/>
      <c r="FN2" s="125"/>
      <c r="FO2" s="120"/>
      <c r="FP2" s="121"/>
      <c r="FQ2" s="126"/>
      <c r="FR2" s="122"/>
      <c r="FS2" s="122"/>
      <c r="FT2" s="123"/>
      <c r="FU2" s="123"/>
      <c r="FV2" s="124"/>
      <c r="FW2" s="122"/>
      <c r="FX2" s="122"/>
      <c r="FY2" s="124"/>
      <c r="FZ2" s="122"/>
      <c r="GA2" s="122"/>
      <c r="GB2" s="125"/>
      <c r="GC2" s="120"/>
      <c r="GD2" s="121"/>
      <c r="GE2" s="128"/>
      <c r="GF2" s="122"/>
      <c r="GG2" s="122"/>
      <c r="GH2" s="123"/>
      <c r="GI2" s="123"/>
      <c r="GJ2" s="124"/>
      <c r="GK2" s="122"/>
      <c r="GL2" s="122"/>
      <c r="GM2" s="124"/>
      <c r="GN2" s="122"/>
      <c r="GO2" s="122"/>
      <c r="GP2" s="125"/>
      <c r="GQ2" s="120"/>
      <c r="GR2" s="121"/>
      <c r="GS2" s="128"/>
      <c r="GT2" s="122"/>
      <c r="GU2" s="122"/>
      <c r="GV2" s="123"/>
      <c r="GW2" s="123"/>
      <c r="GX2" s="124"/>
      <c r="GY2" s="122"/>
      <c r="GZ2" s="122"/>
      <c r="HA2" s="124"/>
      <c r="HB2" s="122"/>
      <c r="HC2" s="122"/>
      <c r="HD2" s="125"/>
      <c r="HE2" s="120"/>
      <c r="HF2" s="121"/>
      <c r="HG2" s="128"/>
      <c r="HH2" s="122"/>
      <c r="HI2" s="122"/>
      <c r="HJ2" s="123"/>
      <c r="HK2" s="123"/>
      <c r="HL2" s="124"/>
      <c r="HM2" s="122"/>
      <c r="HN2" s="122"/>
      <c r="HO2" s="124"/>
      <c r="HP2" s="122"/>
      <c r="HQ2" s="122"/>
      <c r="HR2" s="125"/>
      <c r="HS2" s="120"/>
      <c r="HT2" s="121"/>
      <c r="HU2" s="128"/>
      <c r="HV2" s="122"/>
      <c r="HW2" s="122"/>
      <c r="HX2" s="123"/>
      <c r="HY2" s="123"/>
      <c r="HZ2" s="124"/>
      <c r="IA2" s="122"/>
      <c r="IB2" s="122"/>
      <c r="IC2" s="124"/>
      <c r="ID2" s="122"/>
      <c r="IE2" s="122"/>
      <c r="IF2" s="125"/>
      <c r="IG2" s="120"/>
      <c r="IH2" s="121"/>
      <c r="II2" s="128"/>
      <c r="IJ2" s="122"/>
      <c r="IK2" s="122"/>
      <c r="IL2" s="123"/>
      <c r="IM2" s="123"/>
      <c r="IN2" s="124"/>
      <c r="IO2" s="122"/>
      <c r="IP2" s="122"/>
      <c r="IQ2" s="124"/>
      <c r="IR2" s="122"/>
      <c r="IS2" s="122"/>
      <c r="IT2" s="125"/>
      <c r="IU2" s="120"/>
      <c r="IV2" s="121"/>
      <c r="IW2" s="125"/>
      <c r="IX2" s="120"/>
      <c r="IY2" s="121"/>
    </row>
    <row r="3">
      <c r="A3" s="118"/>
      <c r="B3" s="125"/>
      <c r="C3" s="122"/>
      <c r="D3" s="129"/>
      <c r="E3" s="130">
        <v>1.0</v>
      </c>
      <c r="F3" s="120"/>
      <c r="G3" s="122"/>
      <c r="H3" s="123"/>
      <c r="I3" s="123"/>
      <c r="J3" s="124"/>
      <c r="K3" s="122"/>
      <c r="L3" s="122"/>
      <c r="M3" s="124"/>
      <c r="N3" s="122"/>
      <c r="O3" s="122"/>
      <c r="P3" s="125"/>
      <c r="Q3" s="122"/>
      <c r="R3" s="129"/>
      <c r="S3" s="130">
        <f>E3+1</f>
        <v>2</v>
      </c>
      <c r="T3" s="120"/>
      <c r="U3" s="122"/>
      <c r="V3" s="123"/>
      <c r="W3" s="123"/>
      <c r="X3" s="124"/>
      <c r="Y3" s="122"/>
      <c r="Z3" s="122"/>
      <c r="AA3" s="124"/>
      <c r="AB3" s="122"/>
      <c r="AC3" s="122"/>
      <c r="AD3" s="125"/>
      <c r="AE3" s="122"/>
      <c r="AF3" s="129"/>
      <c r="AG3" s="130">
        <f>S3+1</f>
        <v>3</v>
      </c>
      <c r="AH3" s="120"/>
      <c r="AI3" s="122"/>
      <c r="AJ3" s="123"/>
      <c r="AK3" s="123"/>
      <c r="AL3" s="124"/>
      <c r="AM3" s="122"/>
      <c r="AN3" s="122"/>
      <c r="AO3" s="124"/>
      <c r="AP3" s="122"/>
      <c r="AQ3" s="122"/>
      <c r="AR3" s="125"/>
      <c r="AS3" s="122"/>
      <c r="AT3" s="129"/>
      <c r="AU3" s="130">
        <f>AG3+1</f>
        <v>4</v>
      </c>
      <c r="AV3" s="120"/>
      <c r="AW3" s="122"/>
      <c r="AX3" s="123"/>
      <c r="AY3" s="123"/>
      <c r="AZ3" s="124"/>
      <c r="BA3" s="122"/>
      <c r="BB3" s="122"/>
      <c r="BC3" s="124"/>
      <c r="BD3" s="122"/>
      <c r="BE3" s="122"/>
      <c r="BF3" s="125"/>
      <c r="BG3" s="122"/>
      <c r="BH3" s="129"/>
      <c r="BI3" s="130">
        <f>AU3+1</f>
        <v>5</v>
      </c>
      <c r="BJ3" s="120"/>
      <c r="BK3" s="122"/>
      <c r="BL3" s="123"/>
      <c r="BM3" s="123"/>
      <c r="BN3" s="124"/>
      <c r="BO3" s="122"/>
      <c r="BP3" s="122"/>
      <c r="BQ3" s="124"/>
      <c r="BR3" s="122"/>
      <c r="BS3" s="122"/>
      <c r="BT3" s="125"/>
      <c r="BU3" s="122"/>
      <c r="BV3" s="129"/>
      <c r="BW3" s="130">
        <f>BI3+1</f>
        <v>6</v>
      </c>
      <c r="BX3" s="120"/>
      <c r="BY3" s="122"/>
      <c r="BZ3" s="123"/>
      <c r="CA3" s="123"/>
      <c r="CB3" s="124"/>
      <c r="CC3" s="122"/>
      <c r="CD3" s="122"/>
      <c r="CE3" s="124"/>
      <c r="CF3" s="122"/>
      <c r="CG3" s="122"/>
      <c r="CH3" s="125"/>
      <c r="CI3" s="122"/>
      <c r="CJ3" s="129"/>
      <c r="CK3" s="130">
        <f>BW3+1</f>
        <v>7</v>
      </c>
      <c r="CL3" s="120"/>
      <c r="CM3" s="122"/>
      <c r="CN3" s="123"/>
      <c r="CO3" s="123"/>
      <c r="CP3" s="124"/>
      <c r="CQ3" s="122"/>
      <c r="CR3" s="122"/>
      <c r="CS3" s="124"/>
      <c r="CT3" s="122"/>
      <c r="CU3" s="122"/>
      <c r="CV3" s="125"/>
      <c r="CW3" s="122"/>
      <c r="CX3" s="129"/>
      <c r="CY3" s="130">
        <f>CK3+1</f>
        <v>8</v>
      </c>
      <c r="CZ3" s="120"/>
      <c r="DA3" s="122"/>
      <c r="DB3" s="123"/>
      <c r="DC3" s="123"/>
      <c r="DD3" s="124"/>
      <c r="DE3" s="122"/>
      <c r="DF3" s="122"/>
      <c r="DG3" s="124"/>
      <c r="DH3" s="122"/>
      <c r="DI3" s="122"/>
      <c r="DJ3" s="125"/>
      <c r="DK3" s="122"/>
      <c r="DL3" s="129"/>
      <c r="DM3" s="130">
        <f>CY3+1</f>
        <v>9</v>
      </c>
      <c r="DN3" s="120"/>
      <c r="DO3" s="122"/>
      <c r="DP3" s="123"/>
      <c r="DQ3" s="123"/>
      <c r="DR3" s="124"/>
      <c r="DS3" s="122"/>
      <c r="DT3" s="122"/>
      <c r="DU3" s="124"/>
      <c r="DV3" s="122"/>
      <c r="DW3" s="122"/>
      <c r="DX3" s="125"/>
      <c r="DY3" s="122"/>
      <c r="DZ3" s="129"/>
      <c r="EA3" s="130"/>
      <c r="EB3" s="120"/>
      <c r="EC3" s="122"/>
      <c r="ED3" s="123"/>
      <c r="EE3" s="123"/>
      <c r="EF3" s="124"/>
      <c r="EG3" s="122"/>
      <c r="EH3" s="122"/>
      <c r="EI3" s="124"/>
      <c r="EJ3" s="122"/>
      <c r="EK3" s="122"/>
      <c r="EL3" s="125"/>
      <c r="EM3" s="122"/>
      <c r="EN3" s="129"/>
      <c r="EO3" s="130"/>
      <c r="EP3" s="120"/>
      <c r="EQ3" s="122"/>
      <c r="ER3" s="123"/>
      <c r="ES3" s="123"/>
      <c r="ET3" s="124"/>
      <c r="EU3" s="122"/>
      <c r="EV3" s="122"/>
      <c r="EW3" s="124"/>
      <c r="EX3" s="122"/>
      <c r="EY3" s="122"/>
      <c r="EZ3" s="125"/>
      <c r="FA3" s="122"/>
      <c r="FB3" s="129"/>
      <c r="FC3" s="130"/>
      <c r="FD3" s="120"/>
      <c r="FE3" s="122"/>
      <c r="FF3" s="123"/>
      <c r="FG3" s="123"/>
      <c r="FH3" s="124"/>
      <c r="FI3" s="122"/>
      <c r="FJ3" s="122"/>
      <c r="FK3" s="124"/>
      <c r="FL3" s="122"/>
      <c r="FM3" s="122"/>
      <c r="FN3" s="125"/>
      <c r="FO3" s="122"/>
      <c r="FP3" s="129"/>
      <c r="FQ3" s="130"/>
      <c r="FR3" s="120"/>
      <c r="FS3" s="122"/>
      <c r="FT3" s="123"/>
      <c r="FU3" s="123"/>
      <c r="FV3" s="124"/>
      <c r="FW3" s="122"/>
      <c r="FX3" s="122"/>
      <c r="FY3" s="124"/>
      <c r="FZ3" s="122"/>
      <c r="GA3" s="122"/>
      <c r="GB3" s="125"/>
      <c r="GC3" s="122"/>
      <c r="GD3" s="129"/>
      <c r="GE3" s="130"/>
      <c r="GF3" s="120"/>
      <c r="GG3" s="122"/>
      <c r="GH3" s="123"/>
      <c r="GI3" s="123"/>
      <c r="GJ3" s="124"/>
      <c r="GK3" s="122"/>
      <c r="GL3" s="122"/>
      <c r="GM3" s="124"/>
      <c r="GN3" s="122"/>
      <c r="GO3" s="122"/>
      <c r="GP3" s="125"/>
      <c r="GQ3" s="122"/>
      <c r="GR3" s="129"/>
      <c r="GS3" s="130"/>
      <c r="GT3" s="120"/>
      <c r="GU3" s="122"/>
      <c r="GV3" s="123"/>
      <c r="GW3" s="123"/>
      <c r="GX3" s="124"/>
      <c r="GY3" s="122"/>
      <c r="GZ3" s="122"/>
      <c r="HA3" s="124"/>
      <c r="HB3" s="122"/>
      <c r="HC3" s="122"/>
      <c r="HD3" s="125"/>
      <c r="HE3" s="122"/>
      <c r="HF3" s="129"/>
      <c r="HG3" s="130"/>
      <c r="HH3" s="120"/>
      <c r="HI3" s="122"/>
      <c r="HJ3" s="123"/>
      <c r="HK3" s="123"/>
      <c r="HL3" s="124"/>
      <c r="HM3" s="122"/>
      <c r="HN3" s="122"/>
      <c r="HO3" s="124"/>
      <c r="HP3" s="122"/>
      <c r="HQ3" s="122"/>
      <c r="HR3" s="125"/>
      <c r="HS3" s="122"/>
      <c r="HT3" s="129"/>
      <c r="HU3" s="130"/>
      <c r="HV3" s="120"/>
      <c r="HW3" s="122"/>
      <c r="HX3" s="123"/>
      <c r="HY3" s="123"/>
      <c r="HZ3" s="124"/>
      <c r="IA3" s="122"/>
      <c r="IB3" s="122"/>
      <c r="IC3" s="124"/>
      <c r="ID3" s="122"/>
      <c r="IE3" s="122"/>
      <c r="IF3" s="125"/>
      <c r="IG3" s="122"/>
      <c r="IH3" s="129"/>
      <c r="II3" s="130"/>
      <c r="IJ3" s="120"/>
      <c r="IK3" s="122"/>
      <c r="IL3" s="123"/>
      <c r="IM3" s="123"/>
      <c r="IN3" s="124"/>
      <c r="IO3" s="122"/>
      <c r="IP3" s="122"/>
      <c r="IQ3" s="124"/>
      <c r="IR3" s="122"/>
      <c r="IS3" s="122"/>
      <c r="IT3" s="125"/>
      <c r="IU3" s="122"/>
      <c r="IV3" s="129"/>
      <c r="IW3" s="125"/>
      <c r="IX3" s="122"/>
      <c r="IY3" s="129"/>
    </row>
    <row r="4">
      <c r="A4" s="118"/>
      <c r="B4" s="125"/>
      <c r="C4" s="131" t="str">
        <f>Yearly!$G$9</f>
        <v>#REF!</v>
      </c>
      <c r="D4" s="131" t="str">
        <f>Yearly!$G$9+6</f>
        <v>#REF!</v>
      </c>
      <c r="E4" s="132" t="s">
        <v>285</v>
      </c>
      <c r="F4" s="133"/>
      <c r="G4" s="122"/>
      <c r="H4" s="123"/>
      <c r="I4" s="123"/>
      <c r="J4" s="124"/>
      <c r="K4" s="122"/>
      <c r="L4" s="122"/>
      <c r="M4" s="124"/>
      <c r="N4" s="122"/>
      <c r="O4" s="122"/>
      <c r="P4" s="125"/>
      <c r="Q4" s="131" t="str">
        <f>D4+1</f>
        <v>#REF!</v>
      </c>
      <c r="R4" s="131" t="str">
        <f>Q4+6</f>
        <v>#REF!</v>
      </c>
      <c r="S4" s="132" t="s">
        <v>286</v>
      </c>
      <c r="T4" s="133"/>
      <c r="U4" s="122"/>
      <c r="V4" s="123"/>
      <c r="W4" s="123"/>
      <c r="X4" s="124"/>
      <c r="Y4" s="122"/>
      <c r="Z4" s="122"/>
      <c r="AA4" s="124"/>
      <c r="AB4" s="122"/>
      <c r="AC4" s="122"/>
      <c r="AD4" s="125"/>
      <c r="AE4" s="131" t="str">
        <f>R4+1</f>
        <v>#REF!</v>
      </c>
      <c r="AF4" s="131" t="str">
        <f>AE4+6</f>
        <v>#REF!</v>
      </c>
      <c r="AG4" s="132" t="s">
        <v>287</v>
      </c>
      <c r="AH4" s="133"/>
      <c r="AI4" s="122"/>
      <c r="AJ4" s="123"/>
      <c r="AK4" s="123"/>
      <c r="AL4" s="124"/>
      <c r="AM4" s="122"/>
      <c r="AN4" s="122"/>
      <c r="AO4" s="124"/>
      <c r="AP4" s="122"/>
      <c r="AQ4" s="122"/>
      <c r="AR4" s="125"/>
      <c r="AS4" s="131" t="str">
        <f>AF4+1</f>
        <v>#REF!</v>
      </c>
      <c r="AT4" s="131" t="str">
        <f>AS4+6</f>
        <v>#REF!</v>
      </c>
      <c r="AU4" s="132" t="s">
        <v>288</v>
      </c>
      <c r="AV4" s="133"/>
      <c r="AW4" s="122"/>
      <c r="AX4" s="123"/>
      <c r="AY4" s="123"/>
      <c r="AZ4" s="124"/>
      <c r="BA4" s="122"/>
      <c r="BB4" s="122"/>
      <c r="BC4" s="124"/>
      <c r="BD4" s="122"/>
      <c r="BE4" s="122"/>
      <c r="BF4" s="125"/>
      <c r="BG4" s="131" t="str">
        <f>AT4+1</f>
        <v>#REF!</v>
      </c>
      <c r="BH4" s="131" t="str">
        <f>BG4+6</f>
        <v>#REF!</v>
      </c>
      <c r="BI4" s="132" t="s">
        <v>289</v>
      </c>
      <c r="BJ4" s="133"/>
      <c r="BK4" s="122"/>
      <c r="BL4" s="123"/>
      <c r="BM4" s="123"/>
      <c r="BN4" s="124"/>
      <c r="BO4" s="122"/>
      <c r="BP4" s="122"/>
      <c r="BQ4" s="124"/>
      <c r="BR4" s="122"/>
      <c r="BS4" s="122"/>
      <c r="BT4" s="125"/>
      <c r="BU4" s="131" t="str">
        <f>BH4+1</f>
        <v>#REF!</v>
      </c>
      <c r="BV4" s="131" t="str">
        <f>BU4+6</f>
        <v>#REF!</v>
      </c>
      <c r="BW4" s="132" t="s">
        <v>290</v>
      </c>
      <c r="BX4" s="133"/>
      <c r="BY4" s="122"/>
      <c r="BZ4" s="123"/>
      <c r="CA4" s="123"/>
      <c r="CB4" s="124"/>
      <c r="CC4" s="122"/>
      <c r="CD4" s="122"/>
      <c r="CE4" s="124"/>
      <c r="CF4" s="122"/>
      <c r="CG4" s="122"/>
      <c r="CH4" s="125"/>
      <c r="CI4" s="131" t="str">
        <f>BV4+1</f>
        <v>#REF!</v>
      </c>
      <c r="CJ4" s="131" t="str">
        <f>CI4+6</f>
        <v>#REF!</v>
      </c>
      <c r="CK4" s="132" t="s">
        <v>291</v>
      </c>
      <c r="CL4" s="133"/>
      <c r="CM4" s="122"/>
      <c r="CN4" s="123"/>
      <c r="CO4" s="123"/>
      <c r="CP4" s="124"/>
      <c r="CQ4" s="122"/>
      <c r="CR4" s="122"/>
      <c r="CS4" s="124"/>
      <c r="CT4" s="122"/>
      <c r="CU4" s="122"/>
      <c r="CV4" s="125"/>
      <c r="CW4" s="131" t="str">
        <f>CJ4+1</f>
        <v>#REF!</v>
      </c>
      <c r="CX4" s="131" t="str">
        <f>CW4+6</f>
        <v>#REF!</v>
      </c>
      <c r="CY4" s="132" t="s">
        <v>292</v>
      </c>
      <c r="CZ4" s="133"/>
      <c r="DA4" s="122"/>
      <c r="DB4" s="123"/>
      <c r="DC4" s="123"/>
      <c r="DD4" s="124"/>
      <c r="DE4" s="122"/>
      <c r="DF4" s="122"/>
      <c r="DG4" s="124"/>
      <c r="DH4" s="122"/>
      <c r="DI4" s="122"/>
      <c r="DJ4" s="125"/>
      <c r="DK4" s="131" t="str">
        <f>CX4+1</f>
        <v>#REF!</v>
      </c>
      <c r="DL4" s="131" t="str">
        <f>DK4+6</f>
        <v>#REF!</v>
      </c>
      <c r="DM4" s="132" t="s">
        <v>293</v>
      </c>
      <c r="DN4" s="133"/>
      <c r="DO4" s="122"/>
      <c r="DP4" s="123"/>
      <c r="DQ4" s="123"/>
      <c r="DR4" s="124"/>
      <c r="DS4" s="122"/>
      <c r="DT4" s="122"/>
      <c r="DU4" s="124"/>
      <c r="DV4" s="122"/>
      <c r="DW4" s="122"/>
      <c r="DX4" s="125"/>
      <c r="DY4" s="131"/>
      <c r="DZ4" s="131"/>
      <c r="EA4" s="132"/>
      <c r="EB4" s="133"/>
      <c r="EC4" s="122"/>
      <c r="ED4" s="123"/>
      <c r="EE4" s="123"/>
      <c r="EF4" s="124"/>
      <c r="EG4" s="122"/>
      <c r="EH4" s="122"/>
      <c r="EI4" s="124"/>
      <c r="EJ4" s="122"/>
      <c r="EK4" s="122"/>
      <c r="EL4" s="125"/>
      <c r="EM4" s="131"/>
      <c r="EN4" s="131"/>
      <c r="EO4" s="132"/>
      <c r="EP4" s="133"/>
      <c r="EQ4" s="122"/>
      <c r="ER4" s="123"/>
      <c r="ES4" s="123"/>
      <c r="ET4" s="124"/>
      <c r="EU4" s="122"/>
      <c r="EV4" s="122"/>
      <c r="EW4" s="124"/>
      <c r="EX4" s="122"/>
      <c r="EY4" s="122"/>
      <c r="EZ4" s="125"/>
      <c r="FA4" s="131"/>
      <c r="FB4" s="131"/>
      <c r="FC4" s="132"/>
      <c r="FD4" s="133"/>
      <c r="FE4" s="122"/>
      <c r="FF4" s="123"/>
      <c r="FG4" s="123"/>
      <c r="FH4" s="124"/>
      <c r="FI4" s="122"/>
      <c r="FJ4" s="122"/>
      <c r="FK4" s="124"/>
      <c r="FL4" s="122"/>
      <c r="FM4" s="122"/>
      <c r="FN4" s="125"/>
      <c r="FO4" s="131"/>
      <c r="FP4" s="131"/>
      <c r="FQ4" s="132"/>
      <c r="FR4" s="133"/>
      <c r="FS4" s="122"/>
      <c r="FT4" s="123"/>
      <c r="FU4" s="123"/>
      <c r="FV4" s="124"/>
      <c r="FW4" s="122"/>
      <c r="FX4" s="122"/>
      <c r="FY4" s="124"/>
      <c r="FZ4" s="122"/>
      <c r="GA4" s="122"/>
      <c r="GB4" s="125"/>
      <c r="GC4" s="131"/>
      <c r="GD4" s="131"/>
      <c r="GE4" s="134"/>
      <c r="GF4" s="133"/>
      <c r="GG4" s="122"/>
      <c r="GH4" s="123"/>
      <c r="GI4" s="123"/>
      <c r="GJ4" s="124"/>
      <c r="GK4" s="122"/>
      <c r="GL4" s="122"/>
      <c r="GM4" s="124"/>
      <c r="GN4" s="122"/>
      <c r="GO4" s="122"/>
      <c r="GP4" s="125"/>
      <c r="GQ4" s="131"/>
      <c r="GR4" s="131"/>
      <c r="GS4" s="134"/>
      <c r="GT4" s="133"/>
      <c r="GU4" s="122"/>
      <c r="GV4" s="123"/>
      <c r="GW4" s="123"/>
      <c r="GX4" s="124"/>
      <c r="GY4" s="122"/>
      <c r="GZ4" s="122"/>
      <c r="HA4" s="124"/>
      <c r="HB4" s="122"/>
      <c r="HC4" s="122"/>
      <c r="HD4" s="125"/>
      <c r="HE4" s="131"/>
      <c r="HF4" s="131"/>
      <c r="HG4" s="134"/>
      <c r="HH4" s="133"/>
      <c r="HI4" s="122"/>
      <c r="HJ4" s="123"/>
      <c r="HK4" s="123"/>
      <c r="HL4" s="124"/>
      <c r="HM4" s="122"/>
      <c r="HN4" s="122"/>
      <c r="HO4" s="124"/>
      <c r="HP4" s="122"/>
      <c r="HQ4" s="122"/>
      <c r="HR4" s="125"/>
      <c r="HS4" s="131"/>
      <c r="HT4" s="131"/>
      <c r="HU4" s="134"/>
      <c r="HV4" s="133"/>
      <c r="HW4" s="122"/>
      <c r="HX4" s="123"/>
      <c r="HY4" s="123"/>
      <c r="HZ4" s="124"/>
      <c r="IA4" s="122"/>
      <c r="IB4" s="122"/>
      <c r="IC4" s="124"/>
      <c r="ID4" s="122"/>
      <c r="IE4" s="122"/>
      <c r="IF4" s="125"/>
      <c r="IG4" s="131"/>
      <c r="IH4" s="131"/>
      <c r="II4" s="134"/>
      <c r="IJ4" s="133"/>
      <c r="IK4" s="122"/>
      <c r="IL4" s="123"/>
      <c r="IM4" s="123"/>
      <c r="IN4" s="124"/>
      <c r="IO4" s="122"/>
      <c r="IP4" s="122"/>
      <c r="IQ4" s="124"/>
      <c r="IR4" s="122"/>
      <c r="IS4" s="122"/>
      <c r="IT4" s="125"/>
      <c r="IU4" s="131"/>
      <c r="IV4" s="131"/>
      <c r="IW4" s="125"/>
      <c r="IX4" s="131" t="str">
        <f>#REF!+1</f>
        <v>#REF!</v>
      </c>
      <c r="IY4" s="131" t="str">
        <f>IX4+6</f>
        <v>#REF!</v>
      </c>
    </row>
    <row r="5" ht="10.5" customHeight="1">
      <c r="A5" s="135"/>
      <c r="B5" s="136"/>
      <c r="C5" s="137"/>
      <c r="D5" s="138"/>
      <c r="E5" s="139"/>
      <c r="F5" s="120"/>
      <c r="G5" s="120"/>
      <c r="H5" s="140"/>
      <c r="I5" s="140"/>
      <c r="J5" s="141"/>
      <c r="K5" s="142"/>
      <c r="L5" s="142"/>
      <c r="M5" s="141"/>
      <c r="N5" s="142"/>
      <c r="O5" s="142"/>
      <c r="P5" s="136"/>
      <c r="Q5" s="137"/>
      <c r="R5" s="138"/>
      <c r="S5" s="139"/>
      <c r="T5" s="137"/>
      <c r="U5" s="137"/>
      <c r="V5" s="140"/>
      <c r="W5" s="140"/>
      <c r="X5" s="141"/>
      <c r="Y5" s="142"/>
      <c r="Z5" s="142"/>
      <c r="AA5" s="141"/>
      <c r="AB5" s="142"/>
      <c r="AC5" s="142"/>
      <c r="AD5" s="136"/>
      <c r="AE5" s="137"/>
      <c r="AF5" s="138"/>
      <c r="AG5" s="139"/>
      <c r="AH5" s="137"/>
      <c r="AI5" s="137"/>
      <c r="AJ5" s="140"/>
      <c r="AK5" s="140"/>
      <c r="AL5" s="141"/>
      <c r="AM5" s="142"/>
      <c r="AN5" s="142"/>
      <c r="AO5" s="141"/>
      <c r="AP5" s="142"/>
      <c r="AQ5" s="142"/>
      <c r="AR5" s="136"/>
      <c r="AS5" s="137"/>
      <c r="AT5" s="138"/>
      <c r="AU5" s="139"/>
      <c r="AV5" s="137"/>
      <c r="AW5" s="137"/>
      <c r="AX5" s="140"/>
      <c r="AY5" s="140"/>
      <c r="AZ5" s="141"/>
      <c r="BA5" s="142"/>
      <c r="BB5" s="142"/>
      <c r="BC5" s="141"/>
      <c r="BD5" s="142"/>
      <c r="BE5" s="142"/>
      <c r="BF5" s="136"/>
      <c r="BG5" s="137"/>
      <c r="BH5" s="138"/>
      <c r="BI5" s="139"/>
      <c r="BJ5" s="137"/>
      <c r="BK5" s="137"/>
      <c r="BL5" s="140"/>
      <c r="BM5" s="140"/>
      <c r="BN5" s="141"/>
      <c r="BO5" s="142"/>
      <c r="BP5" s="142"/>
      <c r="BQ5" s="141"/>
      <c r="BR5" s="142"/>
      <c r="BS5" s="142"/>
      <c r="BT5" s="136"/>
      <c r="BU5" s="137"/>
      <c r="BV5" s="138"/>
      <c r="BW5" s="139"/>
      <c r="BX5" s="137"/>
      <c r="BY5" s="137"/>
      <c r="BZ5" s="140"/>
      <c r="CA5" s="140"/>
      <c r="CB5" s="141"/>
      <c r="CC5" s="142"/>
      <c r="CD5" s="142"/>
      <c r="CE5" s="141"/>
      <c r="CF5" s="142"/>
      <c r="CG5" s="142"/>
      <c r="CH5" s="136"/>
      <c r="CI5" s="137"/>
      <c r="CJ5" s="138"/>
      <c r="CK5" s="139"/>
      <c r="CL5" s="137"/>
      <c r="CM5" s="137"/>
      <c r="CN5" s="140"/>
      <c r="CO5" s="140"/>
      <c r="CP5" s="141"/>
      <c r="CQ5" s="142"/>
      <c r="CR5" s="142"/>
      <c r="CS5" s="141"/>
      <c r="CT5" s="142"/>
      <c r="CU5" s="142"/>
      <c r="CV5" s="136"/>
      <c r="CW5" s="137"/>
      <c r="CX5" s="138"/>
      <c r="CY5" s="139"/>
      <c r="CZ5" s="137"/>
      <c r="DA5" s="137"/>
      <c r="DB5" s="140"/>
      <c r="DC5" s="140"/>
      <c r="DD5" s="141"/>
      <c r="DE5" s="142"/>
      <c r="DF5" s="142"/>
      <c r="DG5" s="141"/>
      <c r="DH5" s="142"/>
      <c r="DI5" s="142"/>
      <c r="DJ5" s="136"/>
      <c r="DK5" s="137"/>
      <c r="DL5" s="138"/>
      <c r="DM5" s="139"/>
      <c r="DN5" s="120"/>
      <c r="DO5" s="120"/>
      <c r="DP5" s="140"/>
      <c r="DQ5" s="140"/>
      <c r="DR5" s="141"/>
      <c r="DS5" s="142"/>
      <c r="DT5" s="142"/>
      <c r="DU5" s="141"/>
      <c r="DV5" s="142"/>
      <c r="DW5" s="142"/>
      <c r="DX5" s="136"/>
      <c r="DY5" s="137"/>
      <c r="DZ5" s="138"/>
      <c r="EA5" s="139"/>
      <c r="EB5" s="137"/>
      <c r="EC5" s="137"/>
      <c r="ED5" s="140"/>
      <c r="EE5" s="140"/>
      <c r="EF5" s="141"/>
      <c r="EG5" s="142"/>
      <c r="EH5" s="142"/>
      <c r="EI5" s="141"/>
      <c r="EJ5" s="142"/>
      <c r="EK5" s="142"/>
      <c r="EL5" s="136"/>
      <c r="EM5" s="137"/>
      <c r="EN5" s="138"/>
      <c r="EO5" s="139"/>
      <c r="EP5" s="137"/>
      <c r="EQ5" s="137"/>
      <c r="ER5" s="140"/>
      <c r="ES5" s="140"/>
      <c r="ET5" s="141"/>
      <c r="EU5" s="142"/>
      <c r="EV5" s="142"/>
      <c r="EW5" s="141"/>
      <c r="EX5" s="142"/>
      <c r="EY5" s="142"/>
      <c r="EZ5" s="136"/>
      <c r="FA5" s="137"/>
      <c r="FB5" s="138"/>
      <c r="FC5" s="139"/>
      <c r="FD5" s="137"/>
      <c r="FE5" s="137"/>
      <c r="FF5" s="140"/>
      <c r="FG5" s="140"/>
      <c r="FH5" s="141"/>
      <c r="FI5" s="142"/>
      <c r="FJ5" s="142"/>
      <c r="FK5" s="141"/>
      <c r="FL5" s="142"/>
      <c r="FM5" s="142"/>
      <c r="FN5" s="136"/>
      <c r="FO5" s="137"/>
      <c r="FP5" s="138"/>
      <c r="FQ5" s="139"/>
      <c r="FR5" s="137"/>
      <c r="FS5" s="137"/>
      <c r="FT5" s="140"/>
      <c r="FU5" s="140"/>
      <c r="FV5" s="141"/>
      <c r="FW5" s="142"/>
      <c r="FX5" s="142"/>
      <c r="FY5" s="141"/>
      <c r="FZ5" s="142"/>
      <c r="GA5" s="142"/>
      <c r="GB5" s="136"/>
      <c r="GC5" s="137"/>
      <c r="GD5" s="138"/>
      <c r="GE5" s="139"/>
      <c r="GF5" s="137"/>
      <c r="GG5" s="137"/>
      <c r="GH5" s="140"/>
      <c r="GI5" s="140"/>
      <c r="GJ5" s="141"/>
      <c r="GK5" s="142"/>
      <c r="GL5" s="142"/>
      <c r="GM5" s="141"/>
      <c r="GN5" s="142"/>
      <c r="GO5" s="142"/>
      <c r="GP5" s="136"/>
      <c r="GQ5" s="137"/>
      <c r="GR5" s="138"/>
      <c r="GS5" s="139"/>
      <c r="GT5" s="137"/>
      <c r="GU5" s="137"/>
      <c r="GV5" s="140"/>
      <c r="GW5" s="140"/>
      <c r="GX5" s="141"/>
      <c r="GY5" s="142"/>
      <c r="GZ5" s="142"/>
      <c r="HA5" s="141"/>
      <c r="HB5" s="142"/>
      <c r="HC5" s="142"/>
      <c r="HD5" s="136"/>
      <c r="HE5" s="137"/>
      <c r="HF5" s="138"/>
      <c r="HG5" s="139"/>
      <c r="HH5" s="137"/>
      <c r="HI5" s="137"/>
      <c r="HJ5" s="140"/>
      <c r="HK5" s="140"/>
      <c r="HL5" s="141"/>
      <c r="HM5" s="142"/>
      <c r="HN5" s="142"/>
      <c r="HO5" s="141"/>
      <c r="HP5" s="142"/>
      <c r="HQ5" s="142"/>
      <c r="HR5" s="136"/>
      <c r="HS5" s="137"/>
      <c r="HT5" s="138"/>
      <c r="HU5" s="139"/>
      <c r="HV5" s="137"/>
      <c r="HW5" s="137"/>
      <c r="HX5" s="140"/>
      <c r="HY5" s="140"/>
      <c r="HZ5" s="141"/>
      <c r="IA5" s="142"/>
      <c r="IB5" s="142"/>
      <c r="IC5" s="141"/>
      <c r="ID5" s="142"/>
      <c r="IE5" s="142"/>
      <c r="IF5" s="136"/>
      <c r="IG5" s="137"/>
      <c r="IH5" s="138"/>
      <c r="II5" s="139"/>
      <c r="IJ5" s="137"/>
      <c r="IK5" s="137"/>
      <c r="IL5" s="140"/>
      <c r="IM5" s="140"/>
      <c r="IN5" s="141"/>
      <c r="IO5" s="142"/>
      <c r="IP5" s="142"/>
      <c r="IQ5" s="141"/>
      <c r="IR5" s="142"/>
      <c r="IS5" s="142"/>
      <c r="IT5" s="136"/>
      <c r="IU5" s="137"/>
      <c r="IV5" s="138"/>
      <c r="IW5" s="136"/>
      <c r="IX5" s="137"/>
      <c r="IY5" s="138"/>
    </row>
    <row r="6">
      <c r="A6" s="33"/>
      <c r="B6" s="143"/>
      <c r="C6" s="38"/>
      <c r="D6" s="144"/>
      <c r="E6" s="145"/>
      <c r="F6" s="146"/>
      <c r="G6" s="146"/>
      <c r="H6" s="145"/>
      <c r="I6" s="145"/>
      <c r="J6" s="147"/>
      <c r="K6" s="33"/>
      <c r="L6" s="33"/>
      <c r="M6" s="148"/>
      <c r="N6" s="33"/>
      <c r="O6" s="38"/>
      <c r="P6" s="143"/>
      <c r="Q6" s="38"/>
      <c r="R6" s="144"/>
      <c r="S6" s="38"/>
      <c r="T6" s="33"/>
      <c r="U6" s="149">
        <v>1.0</v>
      </c>
      <c r="V6" s="149">
        <v>1.0</v>
      </c>
      <c r="W6" s="149">
        <v>1.0</v>
      </c>
      <c r="X6" s="148"/>
      <c r="Y6" s="33"/>
      <c r="Z6" s="33"/>
      <c r="AA6" s="148"/>
      <c r="AB6" s="33"/>
      <c r="AC6" s="38"/>
      <c r="AD6" s="143"/>
      <c r="AE6" s="38"/>
      <c r="AF6" s="144"/>
      <c r="AG6" s="38"/>
      <c r="AH6" s="33"/>
      <c r="AI6" s="149">
        <f t="shared" ref="AI6:AK6" si="1">U$6</f>
        <v>1</v>
      </c>
      <c r="AJ6" s="149">
        <f t="shared" si="1"/>
        <v>1</v>
      </c>
      <c r="AK6" s="149">
        <f t="shared" si="1"/>
        <v>1</v>
      </c>
      <c r="AL6" s="148"/>
      <c r="AM6" s="33"/>
      <c r="AN6" s="33"/>
      <c r="AO6" s="148"/>
      <c r="AP6" s="33"/>
      <c r="AQ6" s="38"/>
      <c r="AR6" s="143"/>
      <c r="AS6" s="38"/>
      <c r="AT6" s="144"/>
      <c r="AU6" s="38"/>
      <c r="AV6" s="33"/>
      <c r="AW6" s="149">
        <f t="shared" ref="AW6:AY6" si="2">AI$6</f>
        <v>1</v>
      </c>
      <c r="AX6" s="149">
        <f t="shared" si="2"/>
        <v>1</v>
      </c>
      <c r="AY6" s="149">
        <f t="shared" si="2"/>
        <v>1</v>
      </c>
      <c r="AZ6" s="148"/>
      <c r="BA6" s="33"/>
      <c r="BB6" s="33"/>
      <c r="BC6" s="148"/>
      <c r="BD6" s="33"/>
      <c r="BE6" s="38"/>
      <c r="BF6" s="143"/>
      <c r="BG6" s="38"/>
      <c r="BH6" s="144"/>
      <c r="BI6" s="38"/>
      <c r="BJ6" s="33"/>
      <c r="BK6" s="149">
        <f t="shared" ref="BK6:BM6" si="3">AW$6</f>
        <v>1</v>
      </c>
      <c r="BL6" s="149">
        <f t="shared" si="3"/>
        <v>1</v>
      </c>
      <c r="BM6" s="149">
        <f t="shared" si="3"/>
        <v>1</v>
      </c>
      <c r="BN6" s="148"/>
      <c r="BO6" s="33"/>
      <c r="BP6" s="33"/>
      <c r="BQ6" s="148"/>
      <c r="BR6" s="33"/>
      <c r="BS6" s="38"/>
      <c r="BT6" s="143"/>
      <c r="BU6" s="38"/>
      <c r="BV6" s="144"/>
      <c r="BW6" s="38"/>
      <c r="BX6" s="33"/>
      <c r="BY6" s="149">
        <f t="shared" ref="BY6:CA6" si="4">BK$6</f>
        <v>1</v>
      </c>
      <c r="BZ6" s="149">
        <f t="shared" si="4"/>
        <v>1</v>
      </c>
      <c r="CA6" s="149">
        <f t="shared" si="4"/>
        <v>1</v>
      </c>
      <c r="CB6" s="148"/>
      <c r="CC6" s="33"/>
      <c r="CD6" s="33"/>
      <c r="CE6" s="148"/>
      <c r="CF6" s="33"/>
      <c r="CG6" s="38"/>
      <c r="CH6" s="143"/>
      <c r="CI6" s="38"/>
      <c r="CJ6" s="144"/>
      <c r="CK6" s="38"/>
      <c r="CL6" s="33"/>
      <c r="CM6" s="149">
        <f t="shared" ref="CM6:CO6" si="5">BY$6</f>
        <v>1</v>
      </c>
      <c r="CN6" s="149">
        <f t="shared" si="5"/>
        <v>1</v>
      </c>
      <c r="CO6" s="149">
        <f t="shared" si="5"/>
        <v>1</v>
      </c>
      <c r="CP6" s="148"/>
      <c r="CQ6" s="33"/>
      <c r="CR6" s="33"/>
      <c r="CS6" s="148"/>
      <c r="CT6" s="33"/>
      <c r="CU6" s="38"/>
      <c r="CV6" s="143"/>
      <c r="CW6" s="38"/>
      <c r="CX6" s="144"/>
      <c r="CY6" s="38"/>
      <c r="CZ6" s="33"/>
      <c r="DA6" s="149">
        <f t="shared" ref="DA6:DC6" si="6">CM$6</f>
        <v>1</v>
      </c>
      <c r="DB6" s="149">
        <f t="shared" si="6"/>
        <v>1</v>
      </c>
      <c r="DC6" s="149">
        <f t="shared" si="6"/>
        <v>1</v>
      </c>
      <c r="DD6" s="148"/>
      <c r="DE6" s="33"/>
      <c r="DF6" s="33"/>
      <c r="DG6" s="148"/>
      <c r="DH6" s="33"/>
      <c r="DI6" s="38"/>
      <c r="DJ6" s="143"/>
      <c r="DK6" s="38"/>
      <c r="DL6" s="144"/>
      <c r="DM6" s="38"/>
      <c r="DN6" s="33"/>
      <c r="DO6" s="149">
        <f t="shared" ref="DO6:DQ6" si="7">DA$6</f>
        <v>1</v>
      </c>
      <c r="DP6" s="149">
        <f t="shared" si="7"/>
        <v>1</v>
      </c>
      <c r="DQ6" s="149">
        <f t="shared" si="7"/>
        <v>1</v>
      </c>
      <c r="DR6" s="148"/>
      <c r="DS6" s="33"/>
      <c r="DT6" s="33"/>
      <c r="DU6" s="148"/>
      <c r="DV6" s="33"/>
      <c r="DW6" s="38"/>
      <c r="DX6" s="143"/>
      <c r="DY6" s="38"/>
      <c r="DZ6" s="144"/>
      <c r="EA6" s="38"/>
      <c r="EB6" s="33"/>
      <c r="EC6" s="149"/>
      <c r="ED6" s="149"/>
      <c r="EE6" s="149"/>
      <c r="EF6" s="148"/>
      <c r="EG6" s="33"/>
      <c r="EH6" s="33"/>
      <c r="EI6" s="148"/>
      <c r="EJ6" s="33"/>
      <c r="EK6" s="38"/>
      <c r="EL6" s="143"/>
      <c r="EM6" s="38"/>
      <c r="EN6" s="144"/>
      <c r="EO6" s="38"/>
      <c r="EP6" s="33"/>
      <c r="EQ6" s="149"/>
      <c r="ER6" s="149"/>
      <c r="ES6" s="149"/>
      <c r="ET6" s="148"/>
      <c r="EU6" s="33"/>
      <c r="EV6" s="33"/>
      <c r="EW6" s="148"/>
      <c r="EX6" s="33"/>
      <c r="EY6" s="38"/>
      <c r="EZ6" s="143"/>
      <c r="FA6" s="38"/>
      <c r="FB6" s="144"/>
      <c r="FC6" s="38"/>
      <c r="FD6" s="33"/>
      <c r="FE6" s="149"/>
      <c r="FF6" s="149"/>
      <c r="FG6" s="149"/>
      <c r="FH6" s="148"/>
      <c r="FI6" s="33"/>
      <c r="FJ6" s="33"/>
      <c r="FK6" s="148"/>
      <c r="FL6" s="33"/>
      <c r="FM6" s="38"/>
      <c r="FN6" s="143"/>
      <c r="FO6" s="38"/>
      <c r="FP6" s="144"/>
      <c r="FQ6" s="38"/>
      <c r="FR6" s="33"/>
      <c r="FS6" s="149"/>
      <c r="FT6" s="149"/>
      <c r="FU6" s="149"/>
      <c r="FV6" s="148"/>
      <c r="FW6" s="33"/>
      <c r="FX6" s="33"/>
      <c r="FY6" s="148"/>
      <c r="FZ6" s="33"/>
      <c r="GA6" s="38"/>
      <c r="GB6" s="143"/>
      <c r="GC6" s="38"/>
      <c r="GD6" s="144"/>
      <c r="GE6" s="38"/>
      <c r="GF6" s="33"/>
      <c r="GG6" s="149"/>
      <c r="GH6" s="149"/>
      <c r="GI6" s="149"/>
      <c r="GJ6" s="148"/>
      <c r="GK6" s="33"/>
      <c r="GL6" s="33"/>
      <c r="GM6" s="148"/>
      <c r="GN6" s="33"/>
      <c r="GO6" s="38"/>
      <c r="GP6" s="143"/>
      <c r="GQ6" s="38"/>
      <c r="GR6" s="144"/>
      <c r="GS6" s="38"/>
      <c r="GT6" s="33"/>
      <c r="GU6" s="149"/>
      <c r="GV6" s="149"/>
      <c r="GW6" s="149"/>
      <c r="GX6" s="148"/>
      <c r="GY6" s="33"/>
      <c r="GZ6" s="33"/>
      <c r="HA6" s="148"/>
      <c r="HB6" s="33"/>
      <c r="HC6" s="38"/>
      <c r="HD6" s="143"/>
      <c r="HE6" s="38"/>
      <c r="HF6" s="144"/>
      <c r="HG6" s="38"/>
      <c r="HH6" s="33"/>
      <c r="HI6" s="149"/>
      <c r="HJ6" s="149"/>
      <c r="HK6" s="149"/>
      <c r="HL6" s="148"/>
      <c r="HM6" s="33"/>
      <c r="HN6" s="33"/>
      <c r="HO6" s="148"/>
      <c r="HP6" s="33"/>
      <c r="HQ6" s="38"/>
      <c r="HR6" s="143"/>
      <c r="HS6" s="38"/>
      <c r="HT6" s="144"/>
      <c r="HU6" s="38"/>
      <c r="HV6" s="33"/>
      <c r="HW6" s="149"/>
      <c r="HX6" s="149"/>
      <c r="HY6" s="149"/>
      <c r="HZ6" s="148"/>
      <c r="IA6" s="33"/>
      <c r="IB6" s="33"/>
      <c r="IC6" s="148"/>
      <c r="ID6" s="33"/>
      <c r="IE6" s="38"/>
      <c r="IF6" s="143"/>
      <c r="IG6" s="38"/>
      <c r="IH6" s="144"/>
      <c r="II6" s="38"/>
      <c r="IJ6" s="33"/>
      <c r="IK6" s="149"/>
      <c r="IL6" s="149"/>
      <c r="IM6" s="149"/>
      <c r="IN6" s="148"/>
      <c r="IO6" s="33"/>
      <c r="IP6" s="33"/>
      <c r="IQ6" s="148"/>
      <c r="IR6" s="33"/>
      <c r="IS6" s="38"/>
      <c r="IT6" s="143"/>
      <c r="IU6" s="38"/>
      <c r="IV6" s="144"/>
      <c r="IW6" s="143"/>
      <c r="IX6" s="38"/>
      <c r="IY6" s="144"/>
    </row>
    <row r="7">
      <c r="A7" s="33"/>
      <c r="B7" s="143"/>
      <c r="C7" s="150"/>
      <c r="D7" s="151"/>
      <c r="E7" s="152" t="s">
        <v>294</v>
      </c>
      <c r="F7" s="153" t="s">
        <v>187</v>
      </c>
      <c r="G7" s="154"/>
      <c r="H7" s="155"/>
      <c r="I7" s="156"/>
      <c r="J7" s="157"/>
      <c r="K7" s="33"/>
      <c r="L7" s="33"/>
      <c r="M7" s="148"/>
      <c r="N7" s="39"/>
      <c r="O7" s="38"/>
      <c r="P7" s="143"/>
      <c r="Q7" s="33"/>
      <c r="R7" s="151"/>
      <c r="S7" s="38"/>
      <c r="T7" s="33"/>
      <c r="U7" s="158">
        <f>VLOOKUP(U$6,'Personal Info'!$J$15:$W$21,6)</f>
        <v>200</v>
      </c>
      <c r="V7" s="158">
        <f>VLOOKUP(V$6,'Personal Info'!$J$15:$W$21,10)</f>
        <v>120</v>
      </c>
      <c r="W7" s="159">
        <f>VLOOKUP(W$6,'Personal Info'!$J$15:$W$21,14)</f>
        <v>224.9488753</v>
      </c>
      <c r="X7" s="157"/>
      <c r="Y7" s="33"/>
      <c r="Z7" s="33"/>
      <c r="AA7" s="148"/>
      <c r="AB7" s="39"/>
      <c r="AC7" s="38"/>
      <c r="AD7" s="143"/>
      <c r="AE7" s="33"/>
      <c r="AF7" s="151"/>
      <c r="AG7" s="38"/>
      <c r="AH7" s="33"/>
      <c r="AI7" s="158">
        <f>VLOOKUP(AI$6,'Personal Info'!$J$15:$W$21,6)</f>
        <v>200</v>
      </c>
      <c r="AJ7" s="158">
        <f>VLOOKUP(AJ$6,'Personal Info'!$J$15:$W$21,10)</f>
        <v>120</v>
      </c>
      <c r="AK7" s="159">
        <f>VLOOKUP(AK$6,'Personal Info'!$J$15:$W$21,14)</f>
        <v>224.9488753</v>
      </c>
      <c r="AL7" s="157"/>
      <c r="AM7" s="33"/>
      <c r="AN7" s="33"/>
      <c r="AO7" s="148"/>
      <c r="AP7" s="39"/>
      <c r="AQ7" s="38"/>
      <c r="AR7" s="143"/>
      <c r="AS7" s="33"/>
      <c r="AT7" s="151"/>
      <c r="AU7" s="38"/>
      <c r="AV7" s="33"/>
      <c r="AW7" s="158">
        <f>VLOOKUP(AW$6,'Personal Info'!$J$15:$W$21,6)</f>
        <v>200</v>
      </c>
      <c r="AX7" s="158">
        <f>VLOOKUP(AX$6,'Personal Info'!$J$15:$W$21,10)</f>
        <v>120</v>
      </c>
      <c r="AY7" s="159">
        <f>VLOOKUP(AY$6,'Personal Info'!$J$15:$W$21,14)</f>
        <v>224.9488753</v>
      </c>
      <c r="AZ7" s="157"/>
      <c r="BA7" s="33"/>
      <c r="BB7" s="33"/>
      <c r="BC7" s="148"/>
      <c r="BD7" s="39"/>
      <c r="BE7" s="38"/>
      <c r="BF7" s="143"/>
      <c r="BG7" s="33"/>
      <c r="BH7" s="151"/>
      <c r="BI7" s="38"/>
      <c r="BJ7" s="33"/>
      <c r="BK7" s="158">
        <f>VLOOKUP(BK$6,'Personal Info'!$J$15:$W$21,6)</f>
        <v>200</v>
      </c>
      <c r="BL7" s="158">
        <f>VLOOKUP(BL$6,'Personal Info'!$J$15:$W$21,10)</f>
        <v>120</v>
      </c>
      <c r="BM7" s="159">
        <f>VLOOKUP(BM$6,'Personal Info'!$J$15:$W$21,14)</f>
        <v>224.9488753</v>
      </c>
      <c r="BN7" s="157"/>
      <c r="BO7" s="33"/>
      <c r="BP7" s="33"/>
      <c r="BQ7" s="148"/>
      <c r="BR7" s="39"/>
      <c r="BS7" s="38"/>
      <c r="BT7" s="143"/>
      <c r="BU7" s="33"/>
      <c r="BV7" s="151"/>
      <c r="BW7" s="38"/>
      <c r="BX7" s="33"/>
      <c r="BY7" s="158">
        <f>VLOOKUP(BY$6,'Personal Info'!$J$15:$W$21,6)</f>
        <v>200</v>
      </c>
      <c r="BZ7" s="158">
        <f>VLOOKUP(BZ$6,'Personal Info'!$J$15:$W$21,10)</f>
        <v>120</v>
      </c>
      <c r="CA7" s="159">
        <f>VLOOKUP(CA$6,'Personal Info'!$J$15:$W$21,14)</f>
        <v>224.9488753</v>
      </c>
      <c r="CB7" s="157"/>
      <c r="CC7" s="33"/>
      <c r="CD7" s="33"/>
      <c r="CE7" s="148"/>
      <c r="CF7" s="39"/>
      <c r="CG7" s="38"/>
      <c r="CH7" s="143"/>
      <c r="CI7" s="33"/>
      <c r="CJ7" s="151"/>
      <c r="CK7" s="38"/>
      <c r="CL7" s="33"/>
      <c r="CM7" s="158">
        <f>VLOOKUP(CM$6,'Personal Info'!$J$15:$W$21,6)</f>
        <v>200</v>
      </c>
      <c r="CN7" s="158">
        <f>VLOOKUP(CN$6,'Personal Info'!$J$15:$W$21,10)</f>
        <v>120</v>
      </c>
      <c r="CO7" s="159">
        <f>VLOOKUP(CO$6,'Personal Info'!$J$15:$W$21,14)</f>
        <v>224.9488753</v>
      </c>
      <c r="CP7" s="157"/>
      <c r="CQ7" s="33"/>
      <c r="CR7" s="33"/>
      <c r="CS7" s="148"/>
      <c r="CT7" s="39"/>
      <c r="CU7" s="38"/>
      <c r="CV7" s="143"/>
      <c r="CW7" s="33"/>
      <c r="CX7" s="151"/>
      <c r="CY7" s="38"/>
      <c r="CZ7" s="33"/>
      <c r="DA7" s="158">
        <f>VLOOKUP(DA$6,'Personal Info'!$J$15:$W$21,6)</f>
        <v>200</v>
      </c>
      <c r="DB7" s="158">
        <f>VLOOKUP(DB$6,'Personal Info'!$J$15:$W$21,10)</f>
        <v>120</v>
      </c>
      <c r="DC7" s="159">
        <f>VLOOKUP(DC$6,'Personal Info'!$J$15:$W$21,14)</f>
        <v>224.9488753</v>
      </c>
      <c r="DD7" s="157"/>
      <c r="DE7" s="33"/>
      <c r="DF7" s="33"/>
      <c r="DG7" s="148"/>
      <c r="DH7" s="39"/>
      <c r="DI7" s="38"/>
      <c r="DJ7" s="143"/>
      <c r="DK7" s="33"/>
      <c r="DL7" s="151"/>
      <c r="DM7" s="38"/>
      <c r="DN7" s="33"/>
      <c r="DO7" s="160"/>
      <c r="DP7" s="158">
        <f>VLOOKUP(DP$6,'Personal Info'!$J$15:$W$21,10)</f>
        <v>120</v>
      </c>
      <c r="DQ7" s="159">
        <f>VLOOKUP(DQ$6,'Personal Info'!$J$15:$W$21,14)</f>
        <v>224.9488753</v>
      </c>
      <c r="DR7" s="157"/>
      <c r="DS7" s="33"/>
      <c r="DT7" s="33"/>
      <c r="DU7" s="148"/>
      <c r="DV7" s="39"/>
      <c r="DW7" s="38"/>
      <c r="DX7" s="143"/>
      <c r="DY7" s="33"/>
      <c r="DZ7" s="151"/>
      <c r="EA7" s="38"/>
      <c r="EB7" s="33"/>
      <c r="EC7" s="160"/>
      <c r="ED7" s="160"/>
      <c r="EE7" s="149"/>
      <c r="EF7" s="157"/>
      <c r="EG7" s="33"/>
      <c r="EH7" s="33"/>
      <c r="EI7" s="148"/>
      <c r="EJ7" s="39"/>
      <c r="EK7" s="38"/>
      <c r="EL7" s="143"/>
      <c r="EM7" s="33"/>
      <c r="EN7" s="151"/>
      <c r="EO7" s="38"/>
      <c r="EP7" s="33"/>
      <c r="EQ7" s="160"/>
      <c r="ER7" s="160"/>
      <c r="ES7" s="149"/>
      <c r="ET7" s="157"/>
      <c r="EU7" s="33"/>
      <c r="EV7" s="33"/>
      <c r="EW7" s="148"/>
      <c r="EX7" s="39"/>
      <c r="EY7" s="38"/>
      <c r="EZ7" s="143"/>
      <c r="FA7" s="33"/>
      <c r="FB7" s="151"/>
      <c r="FC7" s="38"/>
      <c r="FD7" s="33"/>
      <c r="FE7" s="160"/>
      <c r="FF7" s="160"/>
      <c r="FG7" s="149"/>
      <c r="FH7" s="157"/>
      <c r="FI7" s="33"/>
      <c r="FJ7" s="33"/>
      <c r="FK7" s="148"/>
      <c r="FL7" s="39"/>
      <c r="FM7" s="38"/>
      <c r="FN7" s="143"/>
      <c r="FO7" s="33"/>
      <c r="FP7" s="151"/>
      <c r="FQ7" s="38"/>
      <c r="FR7" s="33"/>
      <c r="FS7" s="160"/>
      <c r="FT7" s="160"/>
      <c r="FU7" s="149"/>
      <c r="FV7" s="157"/>
      <c r="FW7" s="33"/>
      <c r="FX7" s="33"/>
      <c r="FY7" s="148"/>
      <c r="FZ7" s="39"/>
      <c r="GA7" s="38"/>
      <c r="GB7" s="143"/>
      <c r="GC7" s="33"/>
      <c r="GD7" s="151"/>
      <c r="GE7" s="38"/>
      <c r="GF7" s="33"/>
      <c r="GG7" s="160"/>
      <c r="GH7" s="160"/>
      <c r="GI7" s="149"/>
      <c r="GJ7" s="157"/>
      <c r="GK7" s="33"/>
      <c r="GL7" s="33"/>
      <c r="GM7" s="148"/>
      <c r="GN7" s="39"/>
      <c r="GO7" s="38"/>
      <c r="GP7" s="143"/>
      <c r="GQ7" s="33"/>
      <c r="GR7" s="151"/>
      <c r="GS7" s="38"/>
      <c r="GT7" s="33"/>
      <c r="GU7" s="160"/>
      <c r="GV7" s="160"/>
      <c r="GW7" s="149"/>
      <c r="GX7" s="157"/>
      <c r="GY7" s="33"/>
      <c r="GZ7" s="33"/>
      <c r="HA7" s="148"/>
      <c r="HB7" s="39"/>
      <c r="HC7" s="38"/>
      <c r="HD7" s="143"/>
      <c r="HE7" s="33"/>
      <c r="HF7" s="151"/>
      <c r="HG7" s="38"/>
      <c r="HH7" s="33"/>
      <c r="HI7" s="160"/>
      <c r="HJ7" s="160"/>
      <c r="HK7" s="149"/>
      <c r="HL7" s="157"/>
      <c r="HM7" s="33"/>
      <c r="HN7" s="33"/>
      <c r="HO7" s="148"/>
      <c r="HP7" s="39"/>
      <c r="HQ7" s="38"/>
      <c r="HR7" s="143"/>
      <c r="HS7" s="33"/>
      <c r="HT7" s="151"/>
      <c r="HU7" s="38"/>
      <c r="HV7" s="33"/>
      <c r="HW7" s="160"/>
      <c r="HX7" s="160"/>
      <c r="HY7" s="149"/>
      <c r="HZ7" s="157"/>
      <c r="IA7" s="33"/>
      <c r="IB7" s="33"/>
      <c r="IC7" s="148"/>
      <c r="ID7" s="39"/>
      <c r="IE7" s="38"/>
      <c r="IF7" s="143"/>
      <c r="IG7" s="33"/>
      <c r="IH7" s="151"/>
      <c r="II7" s="38"/>
      <c r="IJ7" s="33"/>
      <c r="IK7" s="160"/>
      <c r="IL7" s="160"/>
      <c r="IM7" s="149"/>
      <c r="IN7" s="157"/>
      <c r="IO7" s="33"/>
      <c r="IP7" s="33"/>
      <c r="IQ7" s="148"/>
      <c r="IR7" s="39"/>
      <c r="IS7" s="38"/>
      <c r="IT7" s="143"/>
      <c r="IU7" s="33"/>
      <c r="IV7" s="151"/>
      <c r="IW7" s="143"/>
      <c r="IX7" s="33"/>
      <c r="IY7" s="151"/>
    </row>
    <row r="8" ht="9.0" customHeight="1">
      <c r="A8" s="33"/>
      <c r="B8" s="143"/>
      <c r="C8" s="38"/>
      <c r="D8" s="161"/>
      <c r="E8" s="38"/>
      <c r="F8" s="33"/>
      <c r="G8" s="33"/>
      <c r="H8" s="145"/>
      <c r="I8" s="145"/>
      <c r="J8" s="148"/>
      <c r="K8" s="33"/>
      <c r="L8" s="33"/>
      <c r="M8" s="147"/>
      <c r="N8" s="33"/>
      <c r="O8" s="33"/>
      <c r="P8" s="143"/>
      <c r="Q8" s="38"/>
      <c r="R8" s="161"/>
      <c r="S8" s="33"/>
      <c r="T8" s="33"/>
      <c r="U8" s="33"/>
      <c r="V8" s="145"/>
      <c r="W8" s="145"/>
      <c r="X8" s="148"/>
      <c r="Y8" s="33"/>
      <c r="Z8" s="33"/>
      <c r="AA8" s="147"/>
      <c r="AB8" s="33"/>
      <c r="AC8" s="33"/>
      <c r="AD8" s="143"/>
      <c r="AE8" s="38"/>
      <c r="AF8" s="161"/>
      <c r="AG8" s="33"/>
      <c r="AH8" s="33"/>
      <c r="AI8" s="33"/>
      <c r="AJ8" s="145"/>
      <c r="AK8" s="145"/>
      <c r="AL8" s="148"/>
      <c r="AM8" s="33"/>
      <c r="AN8" s="33"/>
      <c r="AO8" s="147"/>
      <c r="AP8" s="33"/>
      <c r="AQ8" s="33"/>
      <c r="AR8" s="143"/>
      <c r="AS8" s="38"/>
      <c r="AT8" s="161"/>
      <c r="AU8" s="33"/>
      <c r="AV8" s="33"/>
      <c r="AW8" s="33"/>
      <c r="AX8" s="145"/>
      <c r="AY8" s="145"/>
      <c r="AZ8" s="148"/>
      <c r="BA8" s="33"/>
      <c r="BB8" s="33"/>
      <c r="BC8" s="147"/>
      <c r="BD8" s="33"/>
      <c r="BE8" s="33"/>
      <c r="BF8" s="143"/>
      <c r="BG8" s="38"/>
      <c r="BH8" s="161"/>
      <c r="BI8" s="33"/>
      <c r="BJ8" s="33"/>
      <c r="BK8" s="33"/>
      <c r="BL8" s="145"/>
      <c r="BM8" s="145"/>
      <c r="BN8" s="148"/>
      <c r="BO8" s="33"/>
      <c r="BP8" s="33"/>
      <c r="BQ8" s="147"/>
      <c r="BR8" s="33"/>
      <c r="BS8" s="33"/>
      <c r="BT8" s="143"/>
      <c r="BU8" s="38"/>
      <c r="BV8" s="161"/>
      <c r="BW8" s="33"/>
      <c r="BX8" s="33"/>
      <c r="BY8" s="33"/>
      <c r="BZ8" s="145"/>
      <c r="CA8" s="145"/>
      <c r="CB8" s="148"/>
      <c r="CC8" s="33"/>
      <c r="CD8" s="33"/>
      <c r="CE8" s="147"/>
      <c r="CF8" s="33"/>
      <c r="CG8" s="33"/>
      <c r="CH8" s="143"/>
      <c r="CI8" s="38"/>
      <c r="CJ8" s="161"/>
      <c r="CK8" s="33"/>
      <c r="CL8" s="33"/>
      <c r="CM8" s="33"/>
      <c r="CN8" s="145"/>
      <c r="CO8" s="145"/>
      <c r="CP8" s="148"/>
      <c r="CQ8" s="33"/>
      <c r="CR8" s="33"/>
      <c r="CS8" s="147"/>
      <c r="CT8" s="33"/>
      <c r="CU8" s="33"/>
      <c r="CV8" s="143"/>
      <c r="CW8" s="38"/>
      <c r="CX8" s="161"/>
      <c r="CY8" s="33"/>
      <c r="CZ8" s="33"/>
      <c r="DA8" s="33"/>
      <c r="DB8" s="145"/>
      <c r="DC8" s="145"/>
      <c r="DD8" s="148"/>
      <c r="DE8" s="33"/>
      <c r="DF8" s="33"/>
      <c r="DG8" s="147"/>
      <c r="DH8" s="33"/>
      <c r="DI8" s="33"/>
      <c r="DJ8" s="143"/>
      <c r="DK8" s="38"/>
      <c r="DL8" s="161"/>
      <c r="DM8" s="33"/>
      <c r="DN8" s="33"/>
      <c r="DO8" s="33"/>
      <c r="DP8" s="145"/>
      <c r="DQ8" s="145"/>
      <c r="DR8" s="148"/>
      <c r="DS8" s="33"/>
      <c r="DT8" s="33"/>
      <c r="DU8" s="147"/>
      <c r="DV8" s="33"/>
      <c r="DW8" s="33"/>
      <c r="DX8" s="143"/>
      <c r="DY8" s="38"/>
      <c r="DZ8" s="161"/>
      <c r="EA8" s="33"/>
      <c r="EB8" s="33"/>
      <c r="EC8" s="33"/>
      <c r="ED8" s="145"/>
      <c r="EE8" s="145"/>
      <c r="EF8" s="148"/>
      <c r="EG8" s="33"/>
      <c r="EH8" s="33"/>
      <c r="EI8" s="147"/>
      <c r="EJ8" s="33"/>
      <c r="EK8" s="33"/>
      <c r="EL8" s="143"/>
      <c r="EM8" s="38"/>
      <c r="EN8" s="161"/>
      <c r="EO8" s="33"/>
      <c r="EP8" s="33"/>
      <c r="EQ8" s="33"/>
      <c r="ER8" s="145"/>
      <c r="ES8" s="145"/>
      <c r="ET8" s="148"/>
      <c r="EU8" s="33"/>
      <c r="EV8" s="33"/>
      <c r="EW8" s="147"/>
      <c r="EX8" s="33"/>
      <c r="EY8" s="33"/>
      <c r="EZ8" s="143"/>
      <c r="FA8" s="38"/>
      <c r="FB8" s="161"/>
      <c r="FC8" s="33"/>
      <c r="FD8" s="33"/>
      <c r="FE8" s="33"/>
      <c r="FF8" s="145"/>
      <c r="FG8" s="145"/>
      <c r="FH8" s="148"/>
      <c r="FI8" s="33"/>
      <c r="FJ8" s="33"/>
      <c r="FK8" s="147"/>
      <c r="FL8" s="33"/>
      <c r="FM8" s="33"/>
      <c r="FN8" s="143"/>
      <c r="FO8" s="38"/>
      <c r="FP8" s="161"/>
      <c r="FQ8" s="33"/>
      <c r="FR8" s="33"/>
      <c r="FS8" s="33"/>
      <c r="FT8" s="145"/>
      <c r="FU8" s="145"/>
      <c r="FV8" s="148"/>
      <c r="FW8" s="33"/>
      <c r="FX8" s="33"/>
      <c r="FY8" s="147"/>
      <c r="FZ8" s="33"/>
      <c r="GA8" s="33"/>
      <c r="GB8" s="143"/>
      <c r="GC8" s="38"/>
      <c r="GD8" s="161"/>
      <c r="GE8" s="33"/>
      <c r="GF8" s="33"/>
      <c r="GG8" s="33"/>
      <c r="GH8" s="145"/>
      <c r="GI8" s="145"/>
      <c r="GJ8" s="148"/>
      <c r="GK8" s="33"/>
      <c r="GL8" s="33"/>
      <c r="GM8" s="147"/>
      <c r="GN8" s="33"/>
      <c r="GO8" s="33"/>
      <c r="GP8" s="143"/>
      <c r="GQ8" s="38"/>
      <c r="GR8" s="161"/>
      <c r="GS8" s="33"/>
      <c r="GT8" s="33"/>
      <c r="GU8" s="33"/>
      <c r="GV8" s="145"/>
      <c r="GW8" s="145"/>
      <c r="GX8" s="148"/>
      <c r="GY8" s="33"/>
      <c r="GZ8" s="33"/>
      <c r="HA8" s="147"/>
      <c r="HB8" s="33"/>
      <c r="HC8" s="33"/>
      <c r="HD8" s="143"/>
      <c r="HE8" s="38"/>
      <c r="HF8" s="161"/>
      <c r="HG8" s="33"/>
      <c r="HH8" s="33"/>
      <c r="HI8" s="33"/>
      <c r="HJ8" s="145"/>
      <c r="HK8" s="145"/>
      <c r="HL8" s="148"/>
      <c r="HM8" s="33"/>
      <c r="HN8" s="33"/>
      <c r="HO8" s="147"/>
      <c r="HP8" s="33"/>
      <c r="HQ8" s="33"/>
      <c r="HR8" s="143"/>
      <c r="HS8" s="38"/>
      <c r="HT8" s="161"/>
      <c r="HU8" s="33"/>
      <c r="HV8" s="33"/>
      <c r="HW8" s="33"/>
      <c r="HX8" s="145"/>
      <c r="HY8" s="145"/>
      <c r="HZ8" s="148"/>
      <c r="IA8" s="33"/>
      <c r="IB8" s="33"/>
      <c r="IC8" s="147"/>
      <c r="ID8" s="33"/>
      <c r="IE8" s="33"/>
      <c r="IF8" s="143"/>
      <c r="IG8" s="38"/>
      <c r="IH8" s="161"/>
      <c r="II8" s="33"/>
      <c r="IJ8" s="33"/>
      <c r="IK8" s="33"/>
      <c r="IL8" s="145"/>
      <c r="IM8" s="145"/>
      <c r="IN8" s="148"/>
      <c r="IO8" s="33"/>
      <c r="IP8" s="33"/>
      <c r="IQ8" s="147"/>
      <c r="IR8" s="33"/>
      <c r="IS8" s="33"/>
      <c r="IT8" s="143"/>
      <c r="IU8" s="38"/>
      <c r="IV8" s="161"/>
      <c r="IW8" s="143"/>
      <c r="IX8" s="38"/>
      <c r="IY8" s="161"/>
    </row>
    <row r="9">
      <c r="A9" s="33"/>
      <c r="B9" s="143"/>
      <c r="C9" s="162" t="s">
        <v>295</v>
      </c>
      <c r="D9" s="163" t="s">
        <v>296</v>
      </c>
      <c r="E9" s="164" t="s">
        <v>297</v>
      </c>
      <c r="F9" s="110" t="s">
        <v>298</v>
      </c>
      <c r="G9" s="165" t="s">
        <v>299</v>
      </c>
      <c r="H9" s="162" t="s">
        <v>300</v>
      </c>
      <c r="I9" s="162" t="s">
        <v>301</v>
      </c>
      <c r="J9" s="166" t="s">
        <v>302</v>
      </c>
      <c r="K9" s="34"/>
      <c r="L9" s="165" t="s">
        <v>303</v>
      </c>
      <c r="M9" s="166" t="s">
        <v>302</v>
      </c>
      <c r="N9" s="165" t="s">
        <v>304</v>
      </c>
      <c r="O9" s="38"/>
      <c r="P9" s="143"/>
      <c r="Q9" s="162" t="s">
        <v>295</v>
      </c>
      <c r="R9" s="163" t="s">
        <v>296</v>
      </c>
      <c r="S9" s="164" t="s">
        <v>297</v>
      </c>
      <c r="T9" s="110" t="s">
        <v>298</v>
      </c>
      <c r="U9" s="165" t="s">
        <v>299</v>
      </c>
      <c r="V9" s="162" t="s">
        <v>300</v>
      </c>
      <c r="W9" s="162" t="s">
        <v>301</v>
      </c>
      <c r="X9" s="166" t="s">
        <v>302</v>
      </c>
      <c r="Y9" s="34"/>
      <c r="Z9" s="165" t="s">
        <v>303</v>
      </c>
      <c r="AA9" s="166" t="s">
        <v>302</v>
      </c>
      <c r="AB9" s="165" t="s">
        <v>304</v>
      </c>
      <c r="AC9" s="38"/>
      <c r="AD9" s="143"/>
      <c r="AE9" s="162" t="s">
        <v>295</v>
      </c>
      <c r="AF9" s="163" t="s">
        <v>296</v>
      </c>
      <c r="AG9" s="164" t="s">
        <v>297</v>
      </c>
      <c r="AH9" s="110" t="s">
        <v>298</v>
      </c>
      <c r="AI9" s="165" t="s">
        <v>299</v>
      </c>
      <c r="AJ9" s="162" t="s">
        <v>300</v>
      </c>
      <c r="AK9" s="162" t="s">
        <v>301</v>
      </c>
      <c r="AL9" s="166" t="s">
        <v>302</v>
      </c>
      <c r="AM9" s="34"/>
      <c r="AN9" s="165" t="s">
        <v>303</v>
      </c>
      <c r="AO9" s="166" t="s">
        <v>302</v>
      </c>
      <c r="AP9" s="165" t="s">
        <v>304</v>
      </c>
      <c r="AQ9" s="38"/>
      <c r="AR9" s="143"/>
      <c r="AS9" s="162" t="s">
        <v>295</v>
      </c>
      <c r="AT9" s="163" t="s">
        <v>296</v>
      </c>
      <c r="AU9" s="164" t="s">
        <v>297</v>
      </c>
      <c r="AV9" s="110" t="s">
        <v>298</v>
      </c>
      <c r="AW9" s="165" t="s">
        <v>299</v>
      </c>
      <c r="AX9" s="162" t="s">
        <v>300</v>
      </c>
      <c r="AY9" s="162" t="s">
        <v>301</v>
      </c>
      <c r="AZ9" s="166" t="s">
        <v>302</v>
      </c>
      <c r="BA9" s="34"/>
      <c r="BB9" s="165" t="s">
        <v>303</v>
      </c>
      <c r="BC9" s="166" t="s">
        <v>302</v>
      </c>
      <c r="BD9" s="165" t="s">
        <v>304</v>
      </c>
      <c r="BE9" s="38"/>
      <c r="BF9" s="143"/>
      <c r="BG9" s="162" t="s">
        <v>295</v>
      </c>
      <c r="BH9" s="163" t="s">
        <v>296</v>
      </c>
      <c r="BI9" s="164" t="s">
        <v>297</v>
      </c>
      <c r="BJ9" s="110" t="s">
        <v>298</v>
      </c>
      <c r="BK9" s="165" t="s">
        <v>299</v>
      </c>
      <c r="BL9" s="162" t="s">
        <v>300</v>
      </c>
      <c r="BM9" s="162" t="s">
        <v>301</v>
      </c>
      <c r="BN9" s="166" t="s">
        <v>302</v>
      </c>
      <c r="BO9" s="34"/>
      <c r="BP9" s="165" t="s">
        <v>303</v>
      </c>
      <c r="BQ9" s="166" t="s">
        <v>302</v>
      </c>
      <c r="BR9" s="165" t="s">
        <v>304</v>
      </c>
      <c r="BS9" s="38"/>
      <c r="BT9" s="143"/>
      <c r="BU9" s="162" t="s">
        <v>295</v>
      </c>
      <c r="BV9" s="163" t="s">
        <v>296</v>
      </c>
      <c r="BW9" s="164" t="s">
        <v>297</v>
      </c>
      <c r="BX9" s="110" t="s">
        <v>298</v>
      </c>
      <c r="BY9" s="165" t="s">
        <v>299</v>
      </c>
      <c r="BZ9" s="162" t="s">
        <v>300</v>
      </c>
      <c r="CA9" s="162" t="s">
        <v>301</v>
      </c>
      <c r="CB9" s="166" t="s">
        <v>302</v>
      </c>
      <c r="CC9" s="34"/>
      <c r="CD9" s="165" t="s">
        <v>303</v>
      </c>
      <c r="CE9" s="166" t="s">
        <v>302</v>
      </c>
      <c r="CF9" s="165" t="s">
        <v>304</v>
      </c>
      <c r="CG9" s="38"/>
      <c r="CH9" s="143"/>
      <c r="CI9" s="162" t="s">
        <v>295</v>
      </c>
      <c r="CJ9" s="163" t="s">
        <v>296</v>
      </c>
      <c r="CK9" s="164" t="s">
        <v>297</v>
      </c>
      <c r="CL9" s="110" t="s">
        <v>298</v>
      </c>
      <c r="CM9" s="165" t="s">
        <v>299</v>
      </c>
      <c r="CN9" s="162" t="s">
        <v>300</v>
      </c>
      <c r="CO9" s="162" t="s">
        <v>301</v>
      </c>
      <c r="CP9" s="166" t="s">
        <v>302</v>
      </c>
      <c r="CQ9" s="34"/>
      <c r="CR9" s="165" t="s">
        <v>303</v>
      </c>
      <c r="CS9" s="166" t="s">
        <v>302</v>
      </c>
      <c r="CT9" s="165" t="s">
        <v>304</v>
      </c>
      <c r="CU9" s="38"/>
      <c r="CV9" s="143"/>
      <c r="CW9" s="162" t="s">
        <v>295</v>
      </c>
      <c r="CX9" s="163" t="s">
        <v>296</v>
      </c>
      <c r="CY9" s="164" t="s">
        <v>297</v>
      </c>
      <c r="CZ9" s="110" t="s">
        <v>298</v>
      </c>
      <c r="DA9" s="165" t="s">
        <v>299</v>
      </c>
      <c r="DB9" s="162" t="s">
        <v>300</v>
      </c>
      <c r="DC9" s="162" t="s">
        <v>301</v>
      </c>
      <c r="DD9" s="166" t="s">
        <v>302</v>
      </c>
      <c r="DE9" s="34"/>
      <c r="DF9" s="165" t="s">
        <v>303</v>
      </c>
      <c r="DG9" s="166" t="s">
        <v>302</v>
      </c>
      <c r="DH9" s="165" t="s">
        <v>304</v>
      </c>
      <c r="DI9" s="38"/>
      <c r="DJ9" s="143"/>
      <c r="DK9" s="162" t="s">
        <v>295</v>
      </c>
      <c r="DL9" s="163" t="s">
        <v>296</v>
      </c>
      <c r="DM9" s="164" t="s">
        <v>297</v>
      </c>
      <c r="DN9" s="110" t="s">
        <v>298</v>
      </c>
      <c r="DO9" s="165" t="s">
        <v>299</v>
      </c>
      <c r="DP9" s="162" t="s">
        <v>300</v>
      </c>
      <c r="DQ9" s="162" t="s">
        <v>301</v>
      </c>
      <c r="DR9" s="166" t="s">
        <v>302</v>
      </c>
      <c r="DS9" s="34"/>
      <c r="DT9" s="165" t="s">
        <v>303</v>
      </c>
      <c r="DU9" s="166" t="s">
        <v>302</v>
      </c>
      <c r="DV9" s="165" t="s">
        <v>304</v>
      </c>
      <c r="DW9" s="38"/>
      <c r="DX9" s="143"/>
      <c r="DY9" s="162"/>
      <c r="DZ9" s="163"/>
      <c r="EA9" s="164"/>
      <c r="EB9" s="110"/>
      <c r="EC9" s="165"/>
      <c r="ED9" s="162"/>
      <c r="EE9" s="162"/>
      <c r="EF9" s="166"/>
      <c r="EG9" s="34"/>
      <c r="EH9" s="165"/>
      <c r="EI9" s="166"/>
      <c r="EJ9" s="165"/>
      <c r="EK9" s="38"/>
      <c r="EL9" s="143"/>
      <c r="EM9" s="162"/>
      <c r="EN9" s="163"/>
      <c r="EO9" s="164"/>
      <c r="EP9" s="110"/>
      <c r="EQ9" s="165"/>
      <c r="ER9" s="162"/>
      <c r="ES9" s="162"/>
      <c r="ET9" s="166"/>
      <c r="EU9" s="34"/>
      <c r="EV9" s="165"/>
      <c r="EW9" s="166"/>
      <c r="EX9" s="165"/>
      <c r="EY9" s="38"/>
      <c r="EZ9" s="143"/>
      <c r="FA9" s="162"/>
      <c r="FB9" s="163"/>
      <c r="FC9" s="164"/>
      <c r="FD9" s="110"/>
      <c r="FE9" s="165"/>
      <c r="FF9" s="162"/>
      <c r="FG9" s="162"/>
      <c r="FH9" s="166"/>
      <c r="FI9" s="34"/>
      <c r="FJ9" s="165"/>
      <c r="FK9" s="166"/>
      <c r="FL9" s="165"/>
      <c r="FM9" s="38"/>
      <c r="FN9" s="143"/>
      <c r="FO9" s="162"/>
      <c r="FP9" s="163"/>
      <c r="FQ9" s="164"/>
      <c r="FR9" s="110"/>
      <c r="FS9" s="165"/>
      <c r="FT9" s="162"/>
      <c r="FU9" s="162"/>
      <c r="FV9" s="166"/>
      <c r="FW9" s="34"/>
      <c r="FX9" s="165"/>
      <c r="FY9" s="166"/>
      <c r="FZ9" s="165"/>
      <c r="GA9" s="38"/>
      <c r="GB9" s="143"/>
      <c r="GC9" s="162"/>
      <c r="GD9" s="163"/>
      <c r="GE9" s="164"/>
      <c r="GF9" s="110"/>
      <c r="GG9" s="165"/>
      <c r="GH9" s="162"/>
      <c r="GI9" s="162"/>
      <c r="GJ9" s="166"/>
      <c r="GK9" s="34"/>
      <c r="GL9" s="165"/>
      <c r="GM9" s="166"/>
      <c r="GN9" s="165"/>
      <c r="GO9" s="38"/>
      <c r="GP9" s="143"/>
      <c r="GQ9" s="162"/>
      <c r="GR9" s="163"/>
      <c r="GS9" s="164"/>
      <c r="GT9" s="110"/>
      <c r="GU9" s="165"/>
      <c r="GV9" s="162"/>
      <c r="GW9" s="162"/>
      <c r="GX9" s="166"/>
      <c r="GY9" s="34"/>
      <c r="GZ9" s="165"/>
      <c r="HA9" s="166"/>
      <c r="HB9" s="165"/>
      <c r="HC9" s="38"/>
      <c r="HD9" s="143"/>
      <c r="HE9" s="162"/>
      <c r="HF9" s="163"/>
      <c r="HG9" s="164"/>
      <c r="HH9" s="110"/>
      <c r="HI9" s="165"/>
      <c r="HJ9" s="162"/>
      <c r="HK9" s="162"/>
      <c r="HL9" s="166"/>
      <c r="HM9" s="34"/>
      <c r="HN9" s="165"/>
      <c r="HO9" s="166"/>
      <c r="HP9" s="165"/>
      <c r="HQ9" s="38"/>
      <c r="HR9" s="143"/>
      <c r="HS9" s="162"/>
      <c r="HT9" s="163"/>
      <c r="HU9" s="164"/>
      <c r="HV9" s="110"/>
      <c r="HW9" s="165"/>
      <c r="HX9" s="162"/>
      <c r="HY9" s="162"/>
      <c r="HZ9" s="166"/>
      <c r="IA9" s="34"/>
      <c r="IB9" s="165"/>
      <c r="IC9" s="166"/>
      <c r="ID9" s="165"/>
      <c r="IE9" s="38"/>
      <c r="IF9" s="143"/>
      <c r="IG9" s="162"/>
      <c r="IH9" s="163"/>
      <c r="II9" s="164"/>
      <c r="IJ9" s="110"/>
      <c r="IK9" s="165"/>
      <c r="IL9" s="162"/>
      <c r="IM9" s="162"/>
      <c r="IN9" s="166"/>
      <c r="IO9" s="34"/>
      <c r="IP9" s="165"/>
      <c r="IQ9" s="166"/>
      <c r="IR9" s="165"/>
      <c r="IS9" s="38"/>
      <c r="IT9" s="143"/>
      <c r="IU9" s="162"/>
      <c r="IV9" s="163"/>
      <c r="IW9" s="143"/>
      <c r="IX9" s="162" t="s">
        <v>295</v>
      </c>
      <c r="IY9" s="163" t="s">
        <v>296</v>
      </c>
    </row>
    <row r="10">
      <c r="A10" s="38"/>
      <c r="B10" s="143" t="s">
        <v>305</v>
      </c>
      <c r="C10" s="38" t="str">
        <f>IFERROR(__xludf.DUMMYFUNCTION("ARRAYFORMULA(IF(ISBLANK(E10:E210),"""", IF(ISNA(LOOKUP(ROW(E10:E210),FILTER(ROW(E10:E210),LEN(E10:E210)&gt;1),VLOOKUP(FILTER(E10:E210,LEN(E10:E210)&gt;1),{'Personal Info'!$A:$B;'Personal Info'!$C:$D;'Personal Info'!$E:$F},2,FALSE))), ""ac"" , LOOKUP(ROW(E10:E21"&amp;"0),FILTER(ROW(E10:E210),LEN(E10:E210)&gt;1),VLOOKUP(FILTER(E10:E210,LEN(E10:E210)&gt;1),{'Personal Info'!$A:$B;'Personal Info'!$C:$D;'Personal Info'!$E:$F},2,FALSE)))))"),"sq")</f>
        <v>sq</v>
      </c>
      <c r="D10" s="144">
        <f t="array" ref="D10:D199">IF(WEEKDAY(progdt)=1, progdt+1, progdt +2-MOD(WEEKDAY(progdt),7))*ROW(INDIRECT("A1:A190"))^0</f>
        <v>46111</v>
      </c>
      <c r="E10" s="167" t="s">
        <v>175</v>
      </c>
      <c r="F10" s="168">
        <v>1.0</v>
      </c>
      <c r="G10" s="169">
        <v>3.0</v>
      </c>
      <c r="H10" s="170">
        <v>80.0</v>
      </c>
      <c r="I10" s="171">
        <f t="array" ref="I10">IFERROR(IF(C10="ac"+ISNUMBER(SEARCH("'",H10))+G10="","", MROUND(SWITCH(C10,"sq",'Personal Info'!$O$15,"bn",'Personal Info'!$S$15,"dl",'Personal Info'!$W$15,"")*IF(H10&gt;10, H10/100, VLOOKUP(H10, _rpe,SUBSTITUTE(G10,"+","")+1,0)), IF( SWITCH(C10:C210,"sq",'Personal Info'!$O$15,"bn",'Personal Info'!$S$15,"dl", 'Personal Info'!$W$15,"")&lt; IF(_uom="lbs", 175, 80), 1.25, IF(_uom="lbs",5,2.5)))),"")</f>
        <v>160</v>
      </c>
      <c r="J10" s="148" t="str">
        <f t="array" ref="J10:J210">IF(C10:C210="",,IFERROR(I10:I210/VLOOKUP(L10:L210, _rpe,SUBSTITUTE(G10:G210,"+","")+1,FALSE)*1,""))</f>
        <v/>
      </c>
      <c r="K10" s="155"/>
      <c r="L10" s="171"/>
      <c r="M10" s="124" t="str">
        <f>IFERROR(__xludf.DUMMYFUNCTION("IF(I10=MAX(FILTER(I$10:I$199,LOOKUP(ROW(C$10:C$199),FILTER(ROW(C$10:C$199),C$10:C$199&lt;&gt;C$9:C$198))=LOOKUP(ROW(C10),FILTER(ROW(C$10:C$199),C$10:C$199&lt;&gt;C$9:C$198)))),J10,)"),"")</f>
        <v/>
      </c>
      <c r="N10" s="120"/>
      <c r="O10" s="38"/>
      <c r="P10" s="143" t="str">
        <f t="shared" ref="P10:P199" si="12">IF(ISBLANK(B10),"",B10)</f>
        <v>SQ 1: hypertrophy</v>
      </c>
      <c r="Q10" s="38" t="str">
        <f>IFERROR(__xludf.DUMMYFUNCTION("ARRAYFORMULA(IF(S10:S210="""","""", IF(ISNA(LOOKUP(ROW(S10:S210),FILTER(ROW(S10:S210),LEN(S10:S210)&gt;1),VLOOKUP(FILTER(S10:S210,LEN(S10:S210)&gt;1),{'Personal Info'!$A:$B;'Personal Info'!$C:$D;'Personal Info'!$E:$F},2,FALSE))), ""ac"" , LOOKUP(ROW(S10:S210),F"&amp;"ILTER(ROW(S10:S210),LEN(S10:S210)&gt;1),VLOOKUP(FILTER(S10:S210,LEN(S10:S210)&gt;1),{'Personal Info'!$A:$B;'Personal Info'!$C:$D;'Personal Info'!$E:$F},2,FALSE)))))"),"sq")</f>
        <v>sq</v>
      </c>
      <c r="R10" s="144">
        <f t="array" ref="R10:R199">(D10+7)*ROW(INDIRECT("A1:A190"))^0</f>
        <v>46118</v>
      </c>
      <c r="S10" s="167" t="str">
        <f t="shared" ref="S10:S199" si="13">IF(ISBLANK(E10),"",E10)</f>
        <v>Competition Squat</v>
      </c>
      <c r="T10" s="168">
        <v>1.0</v>
      </c>
      <c r="U10" s="169">
        <f>IF( OR(ISBLANK(G10),G10=""),"", G10)</f>
        <v>3</v>
      </c>
      <c r="V10" s="172">
        <v>82.0</v>
      </c>
      <c r="W10" s="171">
        <f t="array" ref="W10">IFERROR(IF(Q10="ac"+ISNUMBER(SEARCH("'",V10))+U10="","", IF(ISNUMBER(SEARCH("lw",V10)), I10 + SUBSTITUTE(V10,"lw+",""), MROUND(SWITCH(Q10,"sq",U$7,"bn",V$7,"dl",W$7,"")*IF(V10&gt;10, V10/100, VLOOKUP(V10, _rpe,SUBSTITUTE(U10,"+","")+1,0)), IF( SWITCH(Q10,"sq",U$7,"bn",V$7,"dl", W$7,"")&lt; IF(_uom="lbs", 175, 80), 1.25, IF(_uom="lbs",5,2.5))))), "")</f>
        <v>165</v>
      </c>
      <c r="X10" s="148" t="str">
        <f t="array" ref="X10:X210">IF(Q10:Q210="",,IFERROR(W10:W210/VLOOKUP(Z10:Z210, _rpe,SUBSTITUTE(U10:U210,"+","")+1,FALSE)*1,""))</f>
        <v/>
      </c>
      <c r="Y10" s="155"/>
      <c r="Z10" s="171"/>
      <c r="AA10" s="124" t="str">
        <f>IFERROR(__xludf.DUMMYFUNCTION("IF(W10=MAX(FILTER(W$10:W$199,LOOKUP(ROW(Q$10:Q$199),FILTER(ROW(Q$10:Q$199),Q$10:Q$199&lt;&gt;Q$9:Q$198))=LOOKUP(ROW(Q10),FILTER(ROW(Q$10:Q$199),Q$10:Q$199&lt;&gt;Q$9:Q$198)))),X10,)"),"")</f>
        <v/>
      </c>
      <c r="AB10" s="120"/>
      <c r="AC10" s="38"/>
      <c r="AD10" s="143" t="str">
        <f t="shared" ref="AD10:AD199" si="14">IF(ISBLANK(P10),"",P10)</f>
        <v>SQ 1: hypertrophy</v>
      </c>
      <c r="AE10" s="38" t="str">
        <f>IFERROR(__xludf.DUMMYFUNCTION("ARRAYFORMULA(IF(AG10:AG210="""","""", IF(ISNA(LOOKUP(ROW(AG10:AG210),FILTER(ROW(AG10:AG210),LEN(AG10:AG210)&gt;1),VLOOKUP(FILTER(AG10:AG210,LEN(AG10:AG210)&gt;1),{'Personal Info'!$A:$B;'Personal Info'!$C:$D;'Personal Info'!$E:$F},2,FALSE))), ""ac"" , LOOKUP(ROW"&amp;"(AG10:AG210),FILTER(ROW(AG10:AG210),LEN(AG10:AG210)&gt;1),VLOOKUP(FILTER(AG10:AG210,LEN(AG10:AG210)&gt;1),{'Personal Info'!$A:$B;'Personal Info'!$C:$D;'Personal Info'!$E:$F},2,FALSE)))))"),"sq")</f>
        <v>sq</v>
      </c>
      <c r="AF10" s="144">
        <f t="array" ref="AF10:AF199">(R10+7)*ROW(INDIRECT("A1:A190"))^0</f>
        <v>46125</v>
      </c>
      <c r="AG10" s="167" t="str">
        <f t="shared" ref="AG10:AH10" si="8">IF(ISBLANK(S10),"",S10)</f>
        <v>Competition Squat</v>
      </c>
      <c r="AH10" s="168">
        <f t="shared" si="8"/>
        <v>1</v>
      </c>
      <c r="AI10" s="169">
        <f>IF( OR(ISBLANK(U10),U10=""),"", U10)</f>
        <v>3</v>
      </c>
      <c r="AJ10" s="172">
        <v>84.0</v>
      </c>
      <c r="AK10" s="171">
        <f t="array" ref="AK10">IFERROR(IF(AE10="ac"+ISNUMBER(SEARCH("'",AJ10))+AI10="","", IF(ISNUMBER(SEARCH("lw",AJ10)), W10 + SUBSTITUTE(AJ10,"lw+",""), MROUND(SWITCH(AE10,"sq",AI$7,"bn",AJ$7,"dl",AK$7,"")*IF(AJ10&gt;10, AJ10/100, VLOOKUP(AJ10, _rpe,SUBSTITUTE(AI10,"+","")+1,0)), IF( SWITCH(AE10,"sq",AI$7,"bn",AJ$7,"dl", AK$7,"")&lt; IF(_uom="lbs", 175, 80), 1.25, IF(_uom="lbs",5,2.5))))), "")</f>
        <v>170</v>
      </c>
      <c r="AL10" s="148" t="str">
        <f t="array" ref="AL10:AL210">IF(AE10:AE210="",,IFERROR(AK10:AK210/VLOOKUP(AN10:AN210, _rpe,SUBSTITUTE(AI10:AI210,"+","")+1,FALSE)*1,""))</f>
        <v/>
      </c>
      <c r="AM10" s="155"/>
      <c r="AN10" s="171"/>
      <c r="AO10" s="124" t="str">
        <f>IFERROR(__xludf.DUMMYFUNCTION("IF(AK10=MAX(FILTER(AK$10:AK$199,LOOKUP(ROW(AE$10:AE$199),FILTER(ROW(AE$10:AE$199),AE$10:AE$199&lt;&gt;AE$9:AE$198))=LOOKUP(ROW(AE10),FILTER(ROW(AE$10:AE$199),AE$10:AE$199&lt;&gt;AE$9:AE$198)))),AL10,)"),"")</f>
        <v/>
      </c>
      <c r="AP10" s="120"/>
      <c r="AQ10" s="38"/>
      <c r="AR10" s="143" t="str">
        <f t="shared" ref="AR10:AR199" si="16">IF(ISBLANK(AD10),"",AD10)</f>
        <v>SQ 1: hypertrophy</v>
      </c>
      <c r="AS10" s="38" t="str">
        <f>IFERROR(__xludf.DUMMYFUNCTION("ARRAYFORMULA(IF(AU10:AU210="""","""", IF(ISNA(LOOKUP(ROW(AU10:AU210),FILTER(ROW(AU10:AU210),LEN(AU10:AU210)&gt;1),VLOOKUP(FILTER(AU10:AU210,LEN(AU10:AU210)&gt;1),{'Personal Info'!$A:$B;'Personal Info'!$C:$D;'Personal Info'!$E:$F},2,FALSE))), ""ac"" , LOOKUP(ROW"&amp;"(AU10:AU210),FILTER(ROW(AU10:AU210),LEN(AU10:AU210)&gt;1),VLOOKUP(FILTER(AU10:AU210,LEN(AU10:AU210)&gt;1),{'Personal Info'!$A:$B;'Personal Info'!$C:$D;'Personal Info'!$E:$F},2,FALSE)))))"),"sq")</f>
        <v>sq</v>
      </c>
      <c r="AT10" s="144">
        <f t="array" ref="AT10:AT199">(AF10+7)*ROW(INDIRECT("A1:A190"))^0</f>
        <v>46132</v>
      </c>
      <c r="AU10" s="167" t="str">
        <f t="shared" ref="AU10:AV10" si="9">IF(ISBLANK(AG10),"",AG10)</f>
        <v>Competition Squat</v>
      </c>
      <c r="AV10" s="168">
        <f t="shared" si="9"/>
        <v>1</v>
      </c>
      <c r="AW10" s="169">
        <f>IF( OR(ISBLANK(AI10),AI10=""),"", AI10)</f>
        <v>3</v>
      </c>
      <c r="AX10" s="172">
        <v>86.0</v>
      </c>
      <c r="AY10" s="171">
        <f t="array" ref="AY10">IFERROR(IF(AS10="ac"+ISNUMBER(SEARCH("'",AX10))+AW10="","", IF(ISNUMBER(SEARCH("lw",AX10)), AK10 + SUBSTITUTE(AX10,"lw+",""), MROUND(SWITCH(AS10,"sq",AW$7,"bn",AX$7,"dl",AY$7,"")*IF(AX10&gt;10, AX10/100, VLOOKUP(AX10, _rpe,SUBSTITUTE(AW10,"+","")+1,0)), IF( SWITCH(AS10,"sq",AW$7,"bn",AX$7,"dl", AY$7,"")&lt; IF(_uom="lbs", 175, 80), 1.25, IF(_uom="lbs",5,2.5))))), "")</f>
        <v>170</v>
      </c>
      <c r="AZ10" s="148" t="str">
        <f t="array" ref="AZ10:AZ210">IF(AS10:AS210="",,IFERROR(AY10:AY210/VLOOKUP(BB10:BB210, _rpe,SUBSTITUTE(AW10:AW210,"+","")+1,FALSE)*1,""))</f>
        <v/>
      </c>
      <c r="BA10" s="155"/>
      <c r="BB10" s="171"/>
      <c r="BC10" s="124" t="str">
        <f>IFERROR(__xludf.DUMMYFUNCTION("IF(AY10=MAX(FILTER(AY$10:AY$199,LOOKUP(ROW(AS$10:AS$199),FILTER(ROW(AS$10:AS$199),AS$10:AS$199&lt;&gt;AS$9:AS$198))=LOOKUP(ROW(AS10),FILTER(ROW(AS$10:AS$199),AS$10:AS$199&lt;&gt;AS$9:AS$198)))),AZ10,)"),"")</f>
        <v/>
      </c>
      <c r="BD10" s="120"/>
      <c r="BE10" s="38"/>
      <c r="BF10" s="143" t="str">
        <f t="shared" ref="BF10:BF199" si="17">IF(ISBLANK(AR10),"",AR10)</f>
        <v>SQ 1: hypertrophy</v>
      </c>
      <c r="BG10" s="38" t="str">
        <f>IFERROR(__xludf.DUMMYFUNCTION("ARRAYFORMULA(IF(BI10:BI210="""","""", IF(ISNA(LOOKUP(ROW(BI10:BI210),FILTER(ROW(BI10:BI210),LEN(BI10:BI210)&gt;1),VLOOKUP(FILTER(BI10:BI210,LEN(BI10:BI210)&gt;1),{'Personal Info'!$A:$B;'Personal Info'!$C:$D;'Personal Info'!$E:$F},2,FALSE))), ""ac"" , LOOKUP(ROW"&amp;"(BI10:BI210),FILTER(ROW(BI10:BI210),LEN(BI10:BI210)&gt;1),VLOOKUP(FILTER(BI10:BI210,LEN(BI10:BI210)&gt;1),{'Personal Info'!$A:$B;'Personal Info'!$C:$D;'Personal Info'!$E:$F},2,FALSE)))))"),"sq")</f>
        <v>sq</v>
      </c>
      <c r="BH10" s="144">
        <f t="array" ref="BH10:BH199">(AT10+7)*ROW(INDIRECT("A1:A190"))^0</f>
        <v>46139</v>
      </c>
      <c r="BI10" s="167" t="str">
        <f t="shared" ref="BI10:BI199" si="18">IF(ISBLANK(AU10),"",AU10)</f>
        <v>Competition Squat</v>
      </c>
      <c r="BJ10" s="168">
        <v>3.0</v>
      </c>
      <c r="BK10" s="169">
        <v>5.0</v>
      </c>
      <c r="BL10" s="172">
        <v>73.0</v>
      </c>
      <c r="BM10" s="171">
        <f t="array" ref="BM10">IFERROR(IF(BG10="ac"+ISNUMBER(SEARCH("'",BL10))+BK10="","", IF(ISNUMBER(SEARCH("lw",BL10)), AY10 + SUBSTITUTE(BL10,"lw+",""), MROUND(SWITCH(BG10,"sq",BK$7,"bn",BL$7,"dl",BM$7,"")*IF(BL10&gt;10, BL10/100, VLOOKUP(BL10, _rpe,SUBSTITUTE(BK10,"+","")+1,0)), IF( SWITCH(BG10,"sq",BK$7,"bn",BL$7,"dl", BM$7,"")&lt; IF(_uom="lbs", 175, 80), 1.25, IF(_uom="lbs",5,2.5))))), "")</f>
        <v>145</v>
      </c>
      <c r="BN10" s="148" t="str">
        <f t="array" ref="BN10:BN210">IF(BG10:BG210="",,IFERROR(BM10:BM210/VLOOKUP(BP10:BP210, _rpe,SUBSTITUTE(BK10:BK210,"+","")+1,FALSE)*1,""))</f>
        <v/>
      </c>
      <c r="BO10" s="155"/>
      <c r="BP10" s="171"/>
      <c r="BQ10" s="124" t="str">
        <f>IFERROR(__xludf.DUMMYFUNCTION("IF(BM10=MAX(FILTER(BM$10:BM$199,LOOKUP(ROW(BG$10:BG$199),FILTER(ROW(BG$10:BG$199),BG$10:BG$199&lt;&gt;BG$9:BG$198))=LOOKUP(ROW(BG10),FILTER(ROW(BG$10:BG$199),BG$10:BG$199&lt;&gt;BG$9:BG$198)))),BN10,)"),"")</f>
        <v/>
      </c>
      <c r="BR10" s="120"/>
      <c r="BS10" s="38"/>
      <c r="BT10" s="143" t="str">
        <f t="shared" ref="BT10:BT199" si="19">IF(ISBLANK(BF10),"",BF10)</f>
        <v>SQ 1: hypertrophy</v>
      </c>
      <c r="BU10" s="38" t="str">
        <f>IFERROR(__xludf.DUMMYFUNCTION("ARRAYFORMULA(IF(BW10:BW210="""","""", IF(ISNA(LOOKUP(ROW(BW10:BW210),FILTER(ROW(BW10:BW210),LEN(BW10:BW210)&gt;1),VLOOKUP(FILTER(BW10:BW210,LEN(BW10:BW210)&gt;1),{'Personal Info'!$A:$B;'Personal Info'!$C:$D;'Personal Info'!$E:$F},2,FALSE))), ""ac"" , LOOKUP(ROW"&amp;"(BW10:BW210),FILTER(ROW(BW10:BW210),LEN(BW10:BW210)&gt;1),VLOOKUP(FILTER(BW10:BW210,LEN(BW10:BW210)&gt;1),{'Personal Info'!$A:$B;'Personal Info'!$C:$D;'Personal Info'!$E:$F},2,FALSE)))))"),"sq")</f>
        <v>sq</v>
      </c>
      <c r="BV10" s="144">
        <f t="array" ref="BV10:BV199">(BH10+7)*ROW(INDIRECT("A1:A190"))^0</f>
        <v>46146</v>
      </c>
      <c r="BW10" s="167" t="str">
        <f t="shared" ref="BW10:BW199" si="20">IF(ISBLANK(BI10),"",BI10)</f>
        <v>Competition Squat</v>
      </c>
      <c r="BX10" s="168">
        <v>1.0</v>
      </c>
      <c r="BY10" s="169">
        <v>1.0</v>
      </c>
      <c r="BZ10" s="173" t="s">
        <v>306</v>
      </c>
      <c r="CA10" s="171" t="str">
        <f t="array" ref="CA10">IFERROR(IF(BU10="ac"+ISNUMBER(SEARCH("'",BZ10))+BY10="","", IF(ISNUMBER(SEARCH("lw",BZ10)), BM10 + SUBSTITUTE(BZ10,"lw+",""), MROUND(SWITCH(BU10,"sq",BY$7,"bn",BZ$7,"dl",CA$7,"")*IF(BZ10&gt;10, BZ10/100, VLOOKUP(BZ10, _rpe,SUBSTITUTE(BY10,"+","")+1,0)), IF( SWITCH(BU10,"sq",BY$7,"bn",BZ$7,"dl", CA$7,"")&lt; IF(_uom="lbs", 175, 80), 1.25, IF(_uom="lbs",5,2.5))))), "")</f>
        <v/>
      </c>
      <c r="CB10" s="148" t="str">
        <f t="array" ref="CB10:CB210">IF(BU10:BU210="",,IFERROR(CA10:CA210/VLOOKUP(CD10:CD210, _rpe,SUBSTITUTE(BY10:BY210,"+","")+1,FALSE)*1,""))</f>
        <v/>
      </c>
      <c r="CC10" s="155"/>
      <c r="CD10" s="171"/>
      <c r="CE10" s="124" t="str">
        <f>IFERROR(__xludf.DUMMYFUNCTION("IF(CA10=MAX(FILTER(CA$10:CA$199,LOOKUP(ROW(BU$10:BU$199),FILTER(ROW(BU$10:BU$199),BU$10:BU$199&lt;&gt;BU$9:BU$198))=LOOKUP(ROW(BU10),FILTER(ROW(BU$10:BU$199),BU$10:BU$199&lt;&gt;BU$9:BU$198)))),CB10,)"),"")</f>
        <v/>
      </c>
      <c r="CF10" s="120"/>
      <c r="CG10" s="38"/>
      <c r="CH10" s="143" t="str">
        <f t="shared" ref="CH10:CH199" si="21">IF(ISBLANK(BT10),"",BT10)</f>
        <v>SQ 1: hypertrophy</v>
      </c>
      <c r="CI10" s="38" t="str">
        <f>IFERROR(__xludf.DUMMYFUNCTION("ARRAYFORMULA(IF(CK10:CK210="""","""", IF(ISNA(LOOKUP(ROW(CK10:CK210),FILTER(ROW(CK10:CK210),LEN(CK10:CK210)&gt;1),VLOOKUP(FILTER(CK10:CK210,LEN(CK10:CK210)&gt;1),{'Personal Info'!$A:$B;'Personal Info'!$C:$D;'Personal Info'!$E:$F},2,FALSE))), ""ac"" , LOOKUP(ROW"&amp;"(CK10:CK210),FILTER(ROW(CK10:CK210),LEN(CK10:CK210)&gt;1),VLOOKUP(FILTER(CK10:CK210,LEN(CK10:CK210)&gt;1),{'Personal Info'!$A:$B;'Personal Info'!$C:$D;'Personal Info'!$E:$F},2,FALSE)))))"),"sq")</f>
        <v>sq</v>
      </c>
      <c r="CJ10" s="144">
        <f t="array" ref="CJ10:CJ199">(BV10+7)*ROW(INDIRECT("A1:A190"))^0</f>
        <v>46153</v>
      </c>
      <c r="CK10" s="167" t="str">
        <f t="shared" ref="CK10:CL10" si="10">IF(ISBLANK(BW10),"",BW10)</f>
        <v>Competition Squat</v>
      </c>
      <c r="CL10" s="168">
        <f t="shared" si="10"/>
        <v>1</v>
      </c>
      <c r="CM10" s="169">
        <f>IF( OR(ISBLANK(BY10),BY10=""),"", BY10)</f>
        <v>1</v>
      </c>
      <c r="CN10" s="173" t="s">
        <v>307</v>
      </c>
      <c r="CO10" s="171" t="str">
        <f t="array" ref="CO10">IFERROR(IF(CI10="ac"+ISNUMBER(SEARCH("'",CN10))+CM10="","", IF(ISNUMBER(SEARCH("lw",CN10)), CA10 + SUBSTITUTE(CN10,"lw+",""), MROUND(SWITCH(CI10,"sq",CM$7,"bn",CN$7,"dl",CO$7,"")*IF(CN10&gt;10, CN10/100, VLOOKUP(CN10, _rpe,SUBSTITUTE(CM10,"+","")+1,0)), IF( SWITCH(CI10,"sq",CM$7,"bn",CN$7,"dl", CO$7,"")&lt; IF(_uom="lbs", 175, 80), 1.25, IF(_uom="lbs",5,2.5))))), "")</f>
        <v/>
      </c>
      <c r="CP10" s="148" t="str">
        <f t="array" ref="CP10:CP210">IF(CI10:CI210="",,IFERROR(CO10:CO210/VLOOKUP(CR10:CR210, _rpe,SUBSTITUTE(CM10:CM210,"+","")+1,FALSE)*1,""))</f>
        <v/>
      </c>
      <c r="CQ10" s="155"/>
      <c r="CR10" s="171"/>
      <c r="CS10" s="124" t="str">
        <f>IFERROR(__xludf.DUMMYFUNCTION("IF(CO10=MAX(FILTER(CO$10:CO$199,LOOKUP(ROW(CI$10:CI$199),FILTER(ROW(CI$10:CI$199),CI$10:CI$199&lt;&gt;CI$9:CI$198))=LOOKUP(ROW(CI10),FILTER(ROW(CI$10:CI$199),CI$10:CI$199&lt;&gt;CI$9:CI$198)))),CP10,)"),"")</f>
        <v/>
      </c>
      <c r="CT10" s="120"/>
      <c r="CU10" s="38"/>
      <c r="CV10" s="143" t="str">
        <f t="shared" ref="CV10:CV199" si="22">IF(ISBLANK(CH10),"",CH10)</f>
        <v>SQ 1: hypertrophy</v>
      </c>
      <c r="CW10" s="38" t="str">
        <f>IFERROR(__xludf.DUMMYFUNCTION("ARRAYFORMULA(IF(CY10:CY210="""","""", IF(ISNA(LOOKUP(ROW(CY10:CY210),FILTER(ROW(CY10:CY210),LEN(CY10:CY210)&gt;1),VLOOKUP(FILTER(CY10:CY210,LEN(CY10:CY210)&gt;1),{'Personal Info'!$A:$B;'Personal Info'!$C:$D;'Personal Info'!$E:$F},2,FALSE))), ""ac"" , LOOKUP(ROW"&amp;"(CY10:CY210),FILTER(ROW(CY10:CY210),LEN(CY10:CY210)&gt;1),VLOOKUP(FILTER(CY10:CY210,LEN(CY10:CY210)&gt;1),{'Personal Info'!$A:$B;'Personal Info'!$C:$D;'Personal Info'!$E:$F},2,FALSE)))))"),"sq")</f>
        <v>sq</v>
      </c>
      <c r="CX10" s="144">
        <f t="array" ref="CX10:CX199">(CJ10+7)*ROW(INDIRECT("A1:A190"))^0</f>
        <v>46160</v>
      </c>
      <c r="CY10" s="167" t="str">
        <f t="shared" ref="CY10:CZ10" si="11">IF(ISBLANK(CK10),"",CK10)</f>
        <v>Competition Squat</v>
      </c>
      <c r="CZ10" s="168">
        <f t="shared" si="11"/>
        <v>1</v>
      </c>
      <c r="DA10" s="169">
        <f>IF( OR(ISBLANK(CM10),CM10=""),"", CM10)</f>
        <v>1</v>
      </c>
      <c r="DB10" s="173" t="s">
        <v>308</v>
      </c>
      <c r="DC10" s="171" t="str">
        <f t="array" ref="DC10">IFERROR(IF(CW10="ac"+ISNUMBER(SEARCH("'",DB10))+DA10="","", IF(ISNUMBER(SEARCH("lw",DB10)), CO10 + SUBSTITUTE(DB10,"lw+",""), MROUND(SWITCH(CW10,"sq",DA$7,"bn",DB$7,"dl",DC$7,"")*IF(DB10&gt;10, DB10/100, VLOOKUP(DB10, _rpe,SUBSTITUTE(DA10,"+","")+1,0)), IF( SWITCH(CW10,"sq",DA$7,"bn",DB$7,"dl", DC$7,"")&lt; IF(_uom="lbs", 175, 80), 1.25, IF(_uom="lbs",5,2.5))))), "")</f>
        <v/>
      </c>
      <c r="DD10" s="148" t="str">
        <f t="array" ref="DD10:DD210">IF(CW10:CW210="",,IFERROR(DC10:DC210/VLOOKUP(DF10:DF210, _rpe,SUBSTITUTE(DA10:DA210,"+","")+1,FALSE)*1,""))</f>
        <v/>
      </c>
      <c r="DE10" s="155"/>
      <c r="DF10" s="171"/>
      <c r="DG10" s="124" t="str">
        <f>IFERROR(__xludf.DUMMYFUNCTION("IF(DC10=MAX(FILTER(DC$10:DC$199,LOOKUP(ROW(CW$10:CW$199),FILTER(ROW(CW$10:CW$199),CW$10:CW$199&lt;&gt;CW$9:CW$198))=LOOKUP(ROW(CW10),FILTER(ROW(CW$10:CW$199),CW$10:CW$199&lt;&gt;CW$9:CW$198)))),DD10,)"),"")</f>
        <v/>
      </c>
      <c r="DH10" s="120"/>
      <c r="DI10" s="38"/>
      <c r="DJ10" s="143" t="str">
        <f t="shared" ref="DJ10:DJ199" si="23">IF(ISBLANK(CV10),"",CV10)</f>
        <v>SQ 1: hypertrophy</v>
      </c>
      <c r="DK10" s="38" t="str">
        <f>IFERROR(__xludf.DUMMYFUNCTION("ARRAYFORMULA(IF(DM10:DM210="""","""", IF(ISNA(LOOKUP(ROW(DM10:DM210),FILTER(ROW(DM10:DM210),LEN(DM10:DM210)&gt;1),VLOOKUP(FILTER(DM10:DM210,LEN(DM10:DM210)&gt;1),{'Personal Info'!$A:$B;'Personal Info'!$C:$D;'Personal Info'!$E:$F},2,FALSE))), ""ac"" , LOOKUP(ROW"&amp;"(DM10:DM210),FILTER(ROW(DM10:DM210),LEN(DM10:DM210)&gt;1),VLOOKUP(FILTER(DM10:DM210,LEN(DM10:DM210)&gt;1),{'Personal Info'!$A:$B;'Personal Info'!$C:$D;'Personal Info'!$E:$F},2,FALSE)))))"),"sq")</f>
        <v>sq</v>
      </c>
      <c r="DL10" s="144">
        <f t="array" ref="DL10:DL199">(CX10+7)*ROW(INDIRECT("A1:A190"))^0</f>
        <v>46167</v>
      </c>
      <c r="DM10" s="167" t="s">
        <v>76</v>
      </c>
      <c r="DN10" s="168">
        <v>5.0</v>
      </c>
      <c r="DO10" s="169">
        <v>2.0</v>
      </c>
      <c r="DP10" s="172">
        <v>80.0</v>
      </c>
      <c r="DQ10" s="171">
        <f t="array" ref="DQ10">IFERROR(IF(DK10="ac"+ISNUMBER(SEARCH("'",DP10))+DO10="","", IF(ISNUMBER(SEARCH("lw",DP10)), DC10 + SUBSTITUTE(DP10,"lw+",""), MROUND(SWITCH(DK10,"sq",DO$7,"bn",DP$7,"dl",DQ$7,"")*IF(DP10&gt;10, DP10/100, VLOOKUP(DP10, _rpe,SUBSTITUTE(DO10,"+","")+1,0)), IF( SWITCH(DK10,"sq",DO$7,"bn",DP$7,"dl", DQ$7,"")&lt; IF(_uom="lbs", 175, 80), 1.25, IF(_uom="lbs",5,2.5))))), "")</f>
        <v>0</v>
      </c>
      <c r="DR10" s="148" t="str">
        <f t="array" ref="DR10:DR210">IF(DK10:DK210="",,IFERROR(DQ10:DQ210/VLOOKUP(DT10:DT210, _rpe,SUBSTITUTE(DO10:DO210,"+","")+1,FALSE)*1,""))</f>
        <v/>
      </c>
      <c r="DS10" s="155"/>
      <c r="DT10" s="171"/>
      <c r="DU10" s="124" t="str">
        <f>IFERROR(__xludf.DUMMYFUNCTION("IF(DQ10=MAX(FILTER(DQ$10:DQ$199,LOOKUP(ROW(DK$10:DK$199),FILTER(ROW(DK$10:DK$199),DK$10:DK$199&lt;&gt;DK$9:DK$198))=LOOKUP(ROW(DK10),FILTER(ROW(DK$10:DK$199),DK$10:DK$199&lt;&gt;DK$9:DK$198)))),DR10,)"),"")</f>
        <v/>
      </c>
      <c r="DV10" s="120"/>
      <c r="DW10" s="38"/>
      <c r="DX10" s="143"/>
      <c r="DY10" s="38"/>
      <c r="DZ10" s="144"/>
      <c r="EA10" s="150"/>
      <c r="EB10" s="174"/>
      <c r="EC10" s="175"/>
      <c r="ED10" s="176"/>
      <c r="EE10" s="155"/>
      <c r="EF10" s="148"/>
      <c r="EG10" s="155"/>
      <c r="EH10" s="155"/>
      <c r="EI10" s="148"/>
      <c r="EJ10" s="38"/>
      <c r="EK10" s="38"/>
      <c r="EL10" s="143"/>
      <c r="EM10" s="38"/>
      <c r="EN10" s="144"/>
      <c r="EO10" s="150"/>
      <c r="EP10" s="174"/>
      <c r="EQ10" s="175"/>
      <c r="ER10" s="176"/>
      <c r="ES10" s="155"/>
      <c r="ET10" s="148"/>
      <c r="EU10" s="155"/>
      <c r="EV10" s="155"/>
      <c r="EW10" s="148"/>
      <c r="EX10" s="38"/>
      <c r="EY10" s="38"/>
      <c r="EZ10" s="143"/>
      <c r="FA10" s="38"/>
      <c r="FB10" s="144"/>
      <c r="FC10" s="150"/>
      <c r="FD10" s="174"/>
      <c r="FE10" s="175"/>
      <c r="FF10" s="176"/>
      <c r="FG10" s="155"/>
      <c r="FH10" s="148"/>
      <c r="FI10" s="155"/>
      <c r="FJ10" s="155"/>
      <c r="FK10" s="148"/>
      <c r="FL10" s="38"/>
      <c r="FM10" s="38"/>
      <c r="FN10" s="143"/>
      <c r="FO10" s="38"/>
      <c r="FP10" s="144"/>
      <c r="FQ10" s="150"/>
      <c r="FR10" s="38"/>
      <c r="FS10" s="175"/>
      <c r="FT10" s="176"/>
      <c r="FU10" s="155"/>
      <c r="FV10" s="148"/>
      <c r="FW10" s="155"/>
      <c r="FX10" s="155"/>
      <c r="FY10" s="148"/>
      <c r="FZ10" s="38"/>
      <c r="GA10" s="38"/>
      <c r="GB10" s="143"/>
      <c r="GC10" s="38"/>
      <c r="GD10" s="144"/>
      <c r="GE10" s="150"/>
      <c r="GF10" s="174"/>
      <c r="GG10" s="175"/>
      <c r="GH10" s="176"/>
      <c r="GI10" s="155"/>
      <c r="GJ10" s="148"/>
      <c r="GK10" s="155"/>
      <c r="GL10" s="155"/>
      <c r="GM10" s="148"/>
      <c r="GN10" s="38"/>
      <c r="GO10" s="38"/>
      <c r="GP10" s="143"/>
      <c r="GQ10" s="38"/>
      <c r="GR10" s="144"/>
      <c r="GS10" s="150"/>
      <c r="GT10" s="174"/>
      <c r="GU10" s="175"/>
      <c r="GV10" s="176"/>
      <c r="GW10" s="155"/>
      <c r="GX10" s="148"/>
      <c r="GY10" s="155"/>
      <c r="GZ10" s="155"/>
      <c r="HA10" s="148"/>
      <c r="HB10" s="38"/>
      <c r="HC10" s="38"/>
      <c r="HD10" s="143"/>
      <c r="HE10" s="38"/>
      <c r="HF10" s="144"/>
      <c r="HG10" s="150"/>
      <c r="HH10" s="174"/>
      <c r="HI10" s="175"/>
      <c r="HJ10" s="176"/>
      <c r="HK10" s="155"/>
      <c r="HL10" s="148"/>
      <c r="HM10" s="155"/>
      <c r="HN10" s="155"/>
      <c r="HO10" s="148"/>
      <c r="HP10" s="38"/>
      <c r="HQ10" s="38"/>
      <c r="HR10" s="143"/>
      <c r="HS10" s="38"/>
      <c r="HT10" s="144"/>
      <c r="HU10" s="150"/>
      <c r="HV10" s="174"/>
      <c r="HW10" s="175"/>
      <c r="HX10" s="176"/>
      <c r="HY10" s="155"/>
      <c r="HZ10" s="148"/>
      <c r="IA10" s="155"/>
      <c r="IB10" s="155"/>
      <c r="IC10" s="148"/>
      <c r="ID10" s="38"/>
      <c r="IE10" s="38"/>
      <c r="IF10" s="143"/>
      <c r="IG10" s="38"/>
      <c r="IH10" s="144"/>
      <c r="II10" s="150"/>
      <c r="IJ10" s="174"/>
      <c r="IK10" s="175"/>
      <c r="IL10" s="176"/>
      <c r="IM10" s="155"/>
      <c r="IN10" s="148"/>
      <c r="IO10" s="155"/>
      <c r="IP10" s="155"/>
      <c r="IQ10" s="148"/>
      <c r="IR10" s="38"/>
      <c r="IS10" s="38"/>
      <c r="IT10" s="143"/>
      <c r="IU10" s="38"/>
      <c r="IV10" s="144"/>
      <c r="IW10" s="143" t="str">
        <f t="shared" ref="IW10:IW88" si="24">IF(ISBLANK(#REF!),"",#REF!)</f>
        <v>#REF!</v>
      </c>
      <c r="IX10" s="38" t="str">
        <f>IFERROR(__xludf.DUMMYFUNCTION("ARRAYFORMULA(IF(#REF!="""","""", IF(ISNA(LOOKUP(ROW(#REF!),FILTER(ROW(#REF!),LEN(#REF!)&gt;1),VLOOKUP(FILTER(#REF!,LEN(#REF!)&gt;1),{'Personal Info'!$A:$B;'Personal Info'!$C:$D;'Personal Info'!$E:$F},2,FALSE))), ""ac"" , LOOKUP(ROW(#REF!),FILTER(ROW(#REF!),LEN("&amp;"#REF!)&gt;1),VLOOKUP(FILTER(#REF!,LEN(#REF!)&gt;1),{'Personal Info'!$A:$B;'Personal Info'!$C:$D;'Personal Info'!$E:$F},2,FALSE)))))"),"#REF!")</f>
        <v>#REF!</v>
      </c>
      <c r="IY10" s="144" t="str">
        <f t="array" ref="IY10:IY199">(#REF!+7)*ROW(INDIRECT("A1:A190"))^0</f>
        <v>#REF!</v>
      </c>
    </row>
    <row r="11" outlineLevel="1">
      <c r="A11" s="38"/>
      <c r="B11" s="143"/>
      <c r="C11" s="38" t="str">
        <f>IFERROR(__xludf.DUMMYFUNCTION("""COMPUTED_VALUE"""),"sq")</f>
        <v>sq</v>
      </c>
      <c r="D11" s="144">
        <v>46111.0</v>
      </c>
      <c r="E11" s="167" t="s">
        <v>309</v>
      </c>
      <c r="F11" s="168">
        <v>3.0</v>
      </c>
      <c r="G11" s="169">
        <v>8.0</v>
      </c>
      <c r="H11" s="170">
        <v>69.0</v>
      </c>
      <c r="I11" s="171">
        <f t="array" ref="I11">IFERROR(IF(C11="ac"+ISNUMBER(SEARCH("'",H11))+G11="","", MROUND(SWITCH(C11,"sq",'Personal Info'!$O$15,"bn",'Personal Info'!$S$15,"dl",'Personal Info'!$W$15,"")*IF(H11&gt;10, H11/100, VLOOKUP(H11, _rpe,SUBSTITUTE(G11,"+","")+1,0)), IF( SWITCH(C11:C210,"sq",'Personal Info'!$O$15,"bn",'Personal Info'!$S$15,"dl", 'Personal Info'!$W$15,"")&lt; IF(_uom="lbs", 175, 80), 1.25, IF(_uom="lbs",5,2.5)))),"")</f>
        <v>140</v>
      </c>
      <c r="J11" s="148"/>
      <c r="K11" s="38"/>
      <c r="L11" s="171"/>
      <c r="M11" s="124" t="str">
        <f>IFERROR(__xludf.DUMMYFUNCTION("IF(I11=MAX(FILTER(I$10:I$199,LOOKUP(ROW(C$10:C$199),FILTER(ROW(C$10:C$199),C$10:C$199&lt;&gt;C$9:C$198))=LOOKUP(ROW(C11),FILTER(ROW(C$10:C$199),C$10:C$199&lt;&gt;C$9:C$198)))),J11,)"),"")</f>
        <v/>
      </c>
      <c r="N11" s="120"/>
      <c r="O11" s="38"/>
      <c r="P11" s="143" t="str">
        <f t="shared" si="12"/>
        <v/>
      </c>
      <c r="Q11" s="38" t="str">
        <f>IFERROR(__xludf.DUMMYFUNCTION("""COMPUTED_VALUE"""),"sq")</f>
        <v>sq</v>
      </c>
      <c r="R11" s="144">
        <v>46118.0</v>
      </c>
      <c r="S11" s="167" t="str">
        <f t="shared" si="13"/>
        <v>-</v>
      </c>
      <c r="T11" s="168">
        <v>3.0</v>
      </c>
      <c r="U11" s="169">
        <v>8.0</v>
      </c>
      <c r="V11" s="172">
        <v>71.0</v>
      </c>
      <c r="W11" s="171">
        <f t="array" ref="W11">IFERROR(IF(Q11="ac"+ISNUMBER(SEARCH("'",V11))+U11="","", IF(ISNUMBER(SEARCH("lw",V11)), I11 + SUBSTITUTE(V11,"lw+",""), MROUND(SWITCH(Q11,"sq",U$7,"bn",V$7,"dl",W$7,"")*IF(V11&gt;10, V11/100, VLOOKUP(V11, _rpe,SUBSTITUTE(U11,"+","")+1,0)), IF( SWITCH(Q11,"sq",U$7,"bn",V$7,"dl", W$7,"")&lt; IF(_uom="lbs", 175, 80), 1.25, IF(_uom="lbs",5,2.5))))), "")</f>
        <v>140</v>
      </c>
      <c r="X11" s="148"/>
      <c r="Y11" s="38"/>
      <c r="Z11" s="171"/>
      <c r="AA11" s="124" t="str">
        <f>IFERROR(__xludf.DUMMYFUNCTION("IF(W11=MAX(FILTER(W$10:W$199,LOOKUP(ROW(Q$10:Q$199),FILTER(ROW(Q$10:Q$199),Q$10:Q$199&lt;&gt;Q$9:Q$198))=LOOKUP(ROW(Q11),FILTER(ROW(Q$10:Q$199),Q$10:Q$199&lt;&gt;Q$9:Q$198)))),X11,)"),"")</f>
        <v/>
      </c>
      <c r="AB11" s="120"/>
      <c r="AC11" s="38"/>
      <c r="AD11" s="143" t="str">
        <f t="shared" si="14"/>
        <v/>
      </c>
      <c r="AE11" s="38" t="str">
        <f>IFERROR(__xludf.DUMMYFUNCTION("""COMPUTED_VALUE"""),"sq")</f>
        <v>sq</v>
      </c>
      <c r="AF11" s="144">
        <v>46125.0</v>
      </c>
      <c r="AG11" s="167" t="str">
        <f t="shared" ref="AG11:AH11" si="15">IF(ISBLANK(S11),"",S11)</f>
        <v>-</v>
      </c>
      <c r="AH11" s="168">
        <f t="shared" si="15"/>
        <v>3</v>
      </c>
      <c r="AI11" s="169">
        <v>7.0</v>
      </c>
      <c r="AJ11" s="172">
        <v>73.0</v>
      </c>
      <c r="AK11" s="171">
        <f t="array" ref="AK11">IFERROR(IF(AE11="ac"+ISNUMBER(SEARCH("'",AJ11))+AI11="","", IF(ISNUMBER(SEARCH("lw",AJ11)), W11 + SUBSTITUTE(AJ11,"lw+",""), MROUND(SWITCH(AE11,"sq",AI$7,"bn",AJ$7,"dl",AK$7,"")*IF(AJ11&gt;10, AJ11/100, VLOOKUP(AJ11, _rpe,SUBSTITUTE(AI11,"+","")+1,0)), IF( SWITCH(AE11,"sq",AI$7,"bn",AJ$7,"dl", AK$7,"")&lt; IF(_uom="lbs", 175, 80), 1.25, IF(_uom="lbs",5,2.5))))), "")</f>
        <v>145</v>
      </c>
      <c r="AL11" s="148"/>
      <c r="AM11" s="38"/>
      <c r="AN11" s="171"/>
      <c r="AO11" s="124" t="str">
        <f>IFERROR(__xludf.DUMMYFUNCTION("IF(AK11=MAX(FILTER(AK$10:AK$199,LOOKUP(ROW(AE$10:AE$199),FILTER(ROW(AE$10:AE$199),AE$10:AE$199&lt;&gt;AE$9:AE$198))=LOOKUP(ROW(AE11),FILTER(ROW(AE$10:AE$199),AE$10:AE$199&lt;&gt;AE$9:AE$198)))),AL11,)"),"")</f>
        <v/>
      </c>
      <c r="AP11" s="120"/>
      <c r="AQ11" s="38"/>
      <c r="AR11" s="143" t="str">
        <f t="shared" si="16"/>
        <v/>
      </c>
      <c r="AS11" s="38" t="str">
        <f>IFERROR(__xludf.DUMMYFUNCTION("""COMPUTED_VALUE"""),"sq")</f>
        <v>sq</v>
      </c>
      <c r="AT11" s="144">
        <v>46132.0</v>
      </c>
      <c r="AU11" s="167" t="str">
        <f t="shared" ref="AU11:AU199" si="26">IF(ISBLANK(AG11),"",AG11)</f>
        <v>-</v>
      </c>
      <c r="AV11" s="168">
        <v>3.0</v>
      </c>
      <c r="AW11" s="169">
        <v>7.0</v>
      </c>
      <c r="AX11" s="172">
        <v>75.0</v>
      </c>
      <c r="AY11" s="171">
        <f t="array" ref="AY11">IFERROR(IF(AS11="ac"+ISNUMBER(SEARCH("'",AX11))+AW11="","", IF(ISNUMBER(SEARCH("lw",AX11)), AK11 + SUBSTITUTE(AX11,"lw+",""), MROUND(SWITCH(AS11,"sq",AW$7,"bn",AX$7,"dl",AY$7,"")*IF(AX11&gt;10, AX11/100, VLOOKUP(AX11, _rpe,SUBSTITUTE(AW11,"+","")+1,0)), IF( SWITCH(AS11,"sq",AW$7,"bn",AX$7,"dl", AY$7,"")&lt; IF(_uom="lbs", 175, 80), 1.25, IF(_uom="lbs",5,2.5))))), "")</f>
        <v>150</v>
      </c>
      <c r="AZ11" s="148"/>
      <c r="BA11" s="38"/>
      <c r="BB11" s="171"/>
      <c r="BC11" s="124" t="str">
        <f>IFERROR(__xludf.DUMMYFUNCTION("IF(AY11=MAX(FILTER(AY$10:AY$199,LOOKUP(ROW(AS$10:AS$199),FILTER(ROW(AS$10:AS$199),AS$10:AS$199&lt;&gt;AS$9:AS$198))=LOOKUP(ROW(AS11),FILTER(ROW(AS$10:AS$199),AS$10:AS$199&lt;&gt;AS$9:AS$198)))),AZ11,)"),"")</f>
        <v/>
      </c>
      <c r="BD11" s="120"/>
      <c r="BE11" s="38"/>
      <c r="BF11" s="143" t="str">
        <f t="shared" si="17"/>
        <v/>
      </c>
      <c r="BG11" s="38" t="str">
        <f>IFERROR(__xludf.DUMMYFUNCTION("""COMPUTED_VALUE"""),"sq")</f>
        <v>sq</v>
      </c>
      <c r="BH11" s="144">
        <v>46139.0</v>
      </c>
      <c r="BI11" s="167" t="str">
        <f t="shared" si="18"/>
        <v>-</v>
      </c>
      <c r="BJ11" s="168"/>
      <c r="BK11" s="169"/>
      <c r="BL11" s="172"/>
      <c r="BM11" s="171" t="str">
        <f t="array" ref="BM11">IFERROR(IF(BG11="ac"+ISNUMBER(SEARCH("'",BL11))+BK11="","", IF(ISNUMBER(SEARCH("lw",BL11)), AY11 + SUBSTITUTE(BL11,"lw+",""), MROUND(SWITCH(BG11,"sq",BK$7,"bn",BL$7,"dl",BM$7,"")*IF(BL11&gt;10, BL11/100, VLOOKUP(BL11, _rpe,SUBSTITUTE(BK11,"+","")+1,0)), IF( SWITCH(BG11,"sq",BK$7,"bn",BL$7,"dl", BM$7,"")&lt; IF(_uom="lbs", 175, 80), 1.25, IF(_uom="lbs",5,2.5))))), "")</f>
        <v/>
      </c>
      <c r="BN11" s="148"/>
      <c r="BO11" s="38"/>
      <c r="BP11" s="171"/>
      <c r="BQ11" s="124" t="str">
        <f>IFERROR(__xludf.DUMMYFUNCTION("IF(BM11=MAX(FILTER(BM$10:BM$199,LOOKUP(ROW(BG$10:BG$199),FILTER(ROW(BG$10:BG$199),BG$10:BG$199&lt;&gt;BG$9:BG$198))=LOOKUP(ROW(BG11),FILTER(ROW(BG$10:BG$199),BG$10:BG$199&lt;&gt;BG$9:BG$198)))),BN11,)"),"")</f>
        <v/>
      </c>
      <c r="BR11" s="120"/>
      <c r="BS11" s="38"/>
      <c r="BT11" s="143" t="str">
        <f t="shared" si="19"/>
        <v/>
      </c>
      <c r="BU11" s="38" t="str">
        <f>IFERROR(__xludf.DUMMYFUNCTION("""COMPUTED_VALUE"""),"sq")</f>
        <v>sq</v>
      </c>
      <c r="BV11" s="144">
        <v>46146.0</v>
      </c>
      <c r="BW11" s="167" t="str">
        <f t="shared" si="20"/>
        <v>-</v>
      </c>
      <c r="BX11" s="168">
        <v>5.0</v>
      </c>
      <c r="BY11" s="169">
        <v>3.0</v>
      </c>
      <c r="BZ11" s="172">
        <v>85.0</v>
      </c>
      <c r="CA11" s="171">
        <f t="array" ref="CA11">IFERROR(IF(BU11="ac"+ISNUMBER(SEARCH("'",BZ11))+BY11="","", IF(ISNUMBER(SEARCH("lw",BZ11)), BM11 + SUBSTITUTE(BZ11,"lw+",""), MROUND(SWITCH(BU11,"sq",BY$7,"bn",BZ$7,"dl",CA$7,"")*IF(BZ11&gt;10, BZ11/100, VLOOKUP(BZ11, _rpe,SUBSTITUTE(BY11,"+","")+1,0)), IF( SWITCH(BU11,"sq",BY$7,"bn",BZ$7,"dl", CA$7,"")&lt; IF(_uom="lbs", 175, 80), 1.25, IF(_uom="lbs",5,2.5))))), "")</f>
        <v>170</v>
      </c>
      <c r="CB11" s="148"/>
      <c r="CC11" s="38"/>
      <c r="CD11" s="171"/>
      <c r="CE11" s="124" t="str">
        <f>IFERROR(__xludf.DUMMYFUNCTION("IF(CA11=MAX(FILTER(CA$10:CA$199,LOOKUP(ROW(BU$10:BU$199),FILTER(ROW(BU$10:BU$199),BU$10:BU$199&lt;&gt;BU$9:BU$198))=LOOKUP(ROW(BU11),FILTER(ROW(BU$10:BU$199),BU$10:BU$199&lt;&gt;BU$9:BU$198)))),CB11,)"),"")</f>
        <v/>
      </c>
      <c r="CF11" s="120"/>
      <c r="CG11" s="38"/>
      <c r="CH11" s="143" t="str">
        <f t="shared" si="21"/>
        <v/>
      </c>
      <c r="CI11" s="38" t="str">
        <f>IFERROR(__xludf.DUMMYFUNCTION("""COMPUTED_VALUE"""),"sq")</f>
        <v>sq</v>
      </c>
      <c r="CJ11" s="144">
        <v>46153.0</v>
      </c>
      <c r="CK11" s="167" t="str">
        <f t="shared" ref="CK11:CK199" si="27">IF(ISBLANK(BW11),"",BW11)</f>
        <v>-</v>
      </c>
      <c r="CL11" s="168">
        <v>5.0</v>
      </c>
      <c r="CM11" s="169">
        <v>3.0</v>
      </c>
      <c r="CN11" s="172">
        <v>87.0</v>
      </c>
      <c r="CO11" s="171">
        <f t="array" ref="CO11">IFERROR(IF(CI11="ac"+ISNUMBER(SEARCH("'",CN11))+CM11="","", IF(ISNUMBER(SEARCH("lw",CN11)), CA11 + SUBSTITUTE(CN11,"lw+",""), MROUND(SWITCH(CI11,"sq",CM$7,"bn",CN$7,"dl",CO$7,"")*IF(CN11&gt;10, CN11/100, VLOOKUP(CN11, _rpe,SUBSTITUTE(CM11,"+","")+1,0)), IF( SWITCH(CI11,"sq",CM$7,"bn",CN$7,"dl", CO$7,"")&lt; IF(_uom="lbs", 175, 80), 1.25, IF(_uom="lbs",5,2.5))))), "")</f>
        <v>175</v>
      </c>
      <c r="CP11" s="148"/>
      <c r="CQ11" s="38"/>
      <c r="CR11" s="171"/>
      <c r="CS11" s="124" t="str">
        <f>IFERROR(__xludf.DUMMYFUNCTION("IF(CO11=MAX(FILTER(CO$10:CO$199,LOOKUP(ROW(CI$10:CI$199),FILTER(ROW(CI$10:CI$199),CI$10:CI$199&lt;&gt;CI$9:CI$198))=LOOKUP(ROW(CI11),FILTER(ROW(CI$10:CI$199),CI$10:CI$199&lt;&gt;CI$9:CI$198)))),CP11,)"),"")</f>
        <v/>
      </c>
      <c r="CT11" s="120"/>
      <c r="CU11" s="38"/>
      <c r="CV11" s="143" t="str">
        <f t="shared" si="22"/>
        <v/>
      </c>
      <c r="CW11" s="38" t="str">
        <f>IFERROR(__xludf.DUMMYFUNCTION("""COMPUTED_VALUE"""),"sq")</f>
        <v>sq</v>
      </c>
      <c r="CX11" s="144">
        <v>46160.0</v>
      </c>
      <c r="CY11" s="167" t="str">
        <f t="shared" ref="CY11:CY199" si="28">IF(ISBLANK(CK11),"",CK11)</f>
        <v>-</v>
      </c>
      <c r="CZ11" s="168">
        <v>5.0</v>
      </c>
      <c r="DA11" s="169">
        <v>2.0</v>
      </c>
      <c r="DB11" s="172">
        <v>89.0</v>
      </c>
      <c r="DC11" s="171">
        <f t="array" ref="DC11">IFERROR(IF(CW11="ac"+ISNUMBER(SEARCH("'",DB11))+DA11="","", IF(ISNUMBER(SEARCH("lw",DB11)), CO11 + SUBSTITUTE(DB11,"lw+",""), MROUND(SWITCH(CW11,"sq",DA$7,"bn",DB$7,"dl",DC$7,"")*IF(DB11&gt;10, DB11/100, VLOOKUP(DB11, _rpe,SUBSTITUTE(DA11,"+","")+1,0)), IF( SWITCH(CW11,"sq",DA$7,"bn",DB$7,"dl", DC$7,"")&lt; IF(_uom="lbs", 175, 80), 1.25, IF(_uom="lbs",5,2.5))))), "")</f>
        <v>180</v>
      </c>
      <c r="DD11" s="148"/>
      <c r="DE11" s="38"/>
      <c r="DF11" s="171"/>
      <c r="DG11" s="124" t="str">
        <f>IFERROR(__xludf.DUMMYFUNCTION("IF(DC11=MAX(FILTER(DC$10:DC$199,LOOKUP(ROW(CW$10:CW$199),FILTER(ROW(CW$10:CW$199),CW$10:CW$199&lt;&gt;CW$9:CW$198))=LOOKUP(ROW(CW11),FILTER(ROW(CW$10:CW$199),CW$10:CW$199&lt;&gt;CW$9:CW$198)))),DD11,)"),"")</f>
        <v/>
      </c>
      <c r="DH11" s="120"/>
      <c r="DI11" s="38"/>
      <c r="DJ11" s="143" t="str">
        <f t="shared" si="23"/>
        <v/>
      </c>
      <c r="DK11" s="38" t="str">
        <f>IFERROR(__xludf.DUMMYFUNCTION("""COMPUTED_VALUE"""),"sq")</f>
        <v>sq</v>
      </c>
      <c r="DL11" s="144">
        <v>46167.0</v>
      </c>
      <c r="DM11" s="167" t="str">
        <f t="shared" ref="DM11:DM21" si="29">IF(ISBLANK(CY11),"",CY11)</f>
        <v>-</v>
      </c>
      <c r="DN11" s="168"/>
      <c r="DO11" s="169"/>
      <c r="DP11" s="172"/>
      <c r="DQ11" s="171" t="str">
        <f t="array" ref="DQ11">IFERROR(IF(DK11="ac"+ISNUMBER(SEARCH("'",DP11))+DO11="","", IF(ISNUMBER(SEARCH("lw",DP11)), DC11 + SUBSTITUTE(DP11,"lw+",""), MROUND(SWITCH(DK11,"sq",DO$7,"bn",DP$7,"dl",DQ$7,"")*IF(DP11&gt;10, DP11/100, VLOOKUP(DP11, _rpe,SUBSTITUTE(DO11,"+","")+1,0)), IF( SWITCH(DK11,"sq",DO$7,"bn",DP$7,"dl", DQ$7,"")&lt; IF(_uom="lbs", 175, 80), 1.25, IF(_uom="lbs",5,2.5))))), "")</f>
        <v/>
      </c>
      <c r="DR11" s="148"/>
      <c r="DS11" s="38"/>
      <c r="DT11" s="171"/>
      <c r="DU11" s="124" t="str">
        <f>IFERROR(__xludf.DUMMYFUNCTION("IF(DQ11=MAX(FILTER(DQ$10:DQ$199,LOOKUP(ROW(DK$10:DK$199),FILTER(ROW(DK$10:DK$199),DK$10:DK$199&lt;&gt;DK$9:DK$198))=LOOKUP(ROW(DK11),FILTER(ROW(DK$10:DK$199),DK$10:DK$199&lt;&gt;DK$9:DK$198)))),DR11,)"),"")</f>
        <v/>
      </c>
      <c r="DV11" s="120"/>
      <c r="DW11" s="38"/>
      <c r="DX11" s="143"/>
      <c r="DY11" s="38"/>
      <c r="DZ11" s="144"/>
      <c r="EA11" s="150"/>
      <c r="EB11" s="174"/>
      <c r="EC11" s="175"/>
      <c r="ED11" s="176"/>
      <c r="EE11" s="155"/>
      <c r="EF11" s="148"/>
      <c r="EG11" s="38"/>
      <c r="EH11" s="155"/>
      <c r="EI11" s="148"/>
      <c r="EJ11" s="38"/>
      <c r="EK11" s="38"/>
      <c r="EL11" s="143"/>
      <c r="EM11" s="38"/>
      <c r="EN11" s="144"/>
      <c r="EO11" s="150"/>
      <c r="EP11" s="174"/>
      <c r="EQ11" s="175"/>
      <c r="ER11" s="176"/>
      <c r="ES11" s="155"/>
      <c r="ET11" s="148"/>
      <c r="EU11" s="38"/>
      <c r="EV11" s="155"/>
      <c r="EW11" s="148"/>
      <c r="EX11" s="38"/>
      <c r="EY11" s="38"/>
      <c r="EZ11" s="143"/>
      <c r="FA11" s="38"/>
      <c r="FB11" s="144"/>
      <c r="FC11" s="150"/>
      <c r="FD11" s="174"/>
      <c r="FE11" s="175"/>
      <c r="FF11" s="176"/>
      <c r="FG11" s="155"/>
      <c r="FH11" s="148"/>
      <c r="FI11" s="38"/>
      <c r="FJ11" s="155"/>
      <c r="FK11" s="148"/>
      <c r="FL11" s="38"/>
      <c r="FM11" s="38"/>
      <c r="FN11" s="143"/>
      <c r="FO11" s="38"/>
      <c r="FP11" s="144"/>
      <c r="FQ11" s="150"/>
      <c r="FR11" s="174"/>
      <c r="FS11" s="175"/>
      <c r="FT11" s="176"/>
      <c r="FU11" s="155"/>
      <c r="FV11" s="148"/>
      <c r="FW11" s="38"/>
      <c r="FX11" s="155"/>
      <c r="FY11" s="148"/>
      <c r="FZ11" s="38"/>
      <c r="GA11" s="38"/>
      <c r="GB11" s="143"/>
      <c r="GC11" s="38"/>
      <c r="GD11" s="144"/>
      <c r="GE11" s="150"/>
      <c r="GF11" s="174"/>
      <c r="GG11" s="175"/>
      <c r="GH11" s="176"/>
      <c r="GI11" s="155"/>
      <c r="GJ11" s="148"/>
      <c r="GK11" s="38"/>
      <c r="GL11" s="155"/>
      <c r="GM11" s="148"/>
      <c r="GN11" s="38"/>
      <c r="GO11" s="38"/>
      <c r="GP11" s="143"/>
      <c r="GQ11" s="38"/>
      <c r="GR11" s="144"/>
      <c r="GS11" s="150"/>
      <c r="GT11" s="174"/>
      <c r="GU11" s="175"/>
      <c r="GV11" s="176"/>
      <c r="GW11" s="155"/>
      <c r="GX11" s="148"/>
      <c r="GY11" s="38"/>
      <c r="GZ11" s="155"/>
      <c r="HA11" s="148"/>
      <c r="HB11" s="38"/>
      <c r="HC11" s="38"/>
      <c r="HD11" s="143"/>
      <c r="HE11" s="38"/>
      <c r="HF11" s="144"/>
      <c r="HG11" s="150"/>
      <c r="HH11" s="174"/>
      <c r="HI11" s="175"/>
      <c r="HJ11" s="176"/>
      <c r="HK11" s="155"/>
      <c r="HL11" s="148"/>
      <c r="HM11" s="38"/>
      <c r="HN11" s="155"/>
      <c r="HO11" s="148"/>
      <c r="HP11" s="38"/>
      <c r="HQ11" s="38"/>
      <c r="HR11" s="143"/>
      <c r="HS11" s="38"/>
      <c r="HT11" s="144"/>
      <c r="HU11" s="150"/>
      <c r="HV11" s="174"/>
      <c r="HW11" s="175"/>
      <c r="HX11" s="176"/>
      <c r="HY11" s="155"/>
      <c r="HZ11" s="148"/>
      <c r="IA11" s="38"/>
      <c r="IB11" s="155"/>
      <c r="IC11" s="148"/>
      <c r="ID11" s="38"/>
      <c r="IE11" s="38"/>
      <c r="IF11" s="143"/>
      <c r="IG11" s="38"/>
      <c r="IH11" s="144"/>
      <c r="II11" s="150"/>
      <c r="IJ11" s="174"/>
      <c r="IK11" s="175"/>
      <c r="IL11" s="176"/>
      <c r="IM11" s="155"/>
      <c r="IN11" s="148"/>
      <c r="IO11" s="38"/>
      <c r="IP11" s="155"/>
      <c r="IQ11" s="148"/>
      <c r="IR11" s="38"/>
      <c r="IS11" s="38"/>
      <c r="IT11" s="143"/>
      <c r="IU11" s="38"/>
      <c r="IV11" s="144"/>
      <c r="IW11" s="143" t="str">
        <f t="shared" si="24"/>
        <v>#REF!</v>
      </c>
      <c r="IX11" s="38"/>
      <c r="IY11" s="144" t="e">
        <v>#REF!</v>
      </c>
    </row>
    <row r="12" hidden="1" outlineLevel="1">
      <c r="A12" s="38"/>
      <c r="B12" s="143"/>
      <c r="C12" s="38" t="str">
        <f>IFERROR(__xludf.DUMMYFUNCTION("""COMPUTED_VALUE"""),"")</f>
        <v/>
      </c>
      <c r="D12" s="144">
        <v>46111.0</v>
      </c>
      <c r="E12" s="167"/>
      <c r="F12" s="168"/>
      <c r="G12" s="169"/>
      <c r="H12" s="170"/>
      <c r="I12" s="171" t="str">
        <f t="array" ref="I12">IFERROR(IF(C12="ac"+ISNUMBER(SEARCH("'",H12))+G12="","", MROUND(SWITCH(C12,"sq",'Personal Info'!$O$15,"bn",'Personal Info'!$S$15,"dl",'Personal Info'!$W$15,"")*IF(H12&gt;10, H12/100, VLOOKUP(H12, _rpe,SUBSTITUTE(G12,"+","")+1,0)), IF( SWITCH(C12:C210,"sq",'Personal Info'!$O$15,"bn",'Personal Info'!$S$15,"dl", 'Personal Info'!$W$15,"")&lt; IF(_uom="lbs", 175, 80), 1.25, IF(_uom="lbs",5,2.5)))),"")</f>
        <v/>
      </c>
      <c r="J12" s="148"/>
      <c r="K12" s="38"/>
      <c r="L12" s="171"/>
      <c r="M12" s="124" t="str">
        <f>IFERROR(__xludf.DUMMYFUNCTION("IF(I12=MAX(FILTER(I$10:I$199,LOOKUP(ROW(C$10:C$199),FILTER(ROW(C$10:C$199),C$10:C$199&lt;&gt;C$9:C$198))=LOOKUP(ROW(C12),FILTER(ROW(C$10:C$199),C$10:C$199&lt;&gt;C$9:C$198)))),J12,)"),"")</f>
        <v/>
      </c>
      <c r="N12" s="120"/>
      <c r="O12" s="177"/>
      <c r="P12" s="143" t="str">
        <f t="shared" si="12"/>
        <v/>
      </c>
      <c r="Q12" s="38" t="str">
        <f>IFERROR(__xludf.DUMMYFUNCTION("""COMPUTED_VALUE"""),"")</f>
        <v/>
      </c>
      <c r="R12" s="144">
        <v>46118.0</v>
      </c>
      <c r="S12" s="167" t="str">
        <f t="shared" si="13"/>
        <v/>
      </c>
      <c r="T12" s="168" t="str">
        <f t="shared" ref="T12:T13" si="30">IF(ISBLANK(F12),"",F12)</f>
        <v/>
      </c>
      <c r="U12" s="169" t="str">
        <f t="shared" ref="U12:U17" si="31">IF( OR(ISBLANK(G12),G12=""),"", G12)</f>
        <v/>
      </c>
      <c r="V12" s="172" t="str">
        <f t="shared" ref="V12:V13" si="32">IF(ISBLANK(H12),"",H12)</f>
        <v/>
      </c>
      <c r="W12" s="171" t="str">
        <f t="array" ref="W12">IFERROR(IF(Q12="ac"+ISNUMBER(SEARCH("'",V12))+U12="","", IF(ISNUMBER(SEARCH("lw",V12)), I12 + SUBSTITUTE(V12,"lw+",""), MROUND(SWITCH(Q12,"sq",U$7,"bn",V$7,"dl",W$7,"")*IF(V12&gt;10, V12/100, VLOOKUP(V12, _rpe,SUBSTITUTE(U12,"+","")+1,0)), IF( SWITCH(Q12,"sq",U$7,"bn",V$7,"dl", W$7,"")&lt; IF(_uom="lbs", 175, 80), 1.25, IF(_uom="lbs",5,2.5))))), "")</f>
        <v/>
      </c>
      <c r="X12" s="148"/>
      <c r="Y12" s="38"/>
      <c r="Z12" s="171"/>
      <c r="AA12" s="124" t="str">
        <f>IFERROR(__xludf.DUMMYFUNCTION("IF(W12=MAX(FILTER(W$10:W$199,LOOKUP(ROW(Q$10:Q$199),FILTER(ROW(Q$10:Q$199),Q$10:Q$199&lt;&gt;Q$9:Q$198))=LOOKUP(ROW(Q12),FILTER(ROW(Q$10:Q$199),Q$10:Q$199&lt;&gt;Q$9:Q$198)))),X12,)"),"")</f>
        <v/>
      </c>
      <c r="AB12" s="120"/>
      <c r="AC12" s="177"/>
      <c r="AD12" s="143" t="str">
        <f t="shared" si="14"/>
        <v/>
      </c>
      <c r="AE12" s="38" t="str">
        <f>IFERROR(__xludf.DUMMYFUNCTION("""COMPUTED_VALUE"""),"")</f>
        <v/>
      </c>
      <c r="AF12" s="144">
        <v>46125.0</v>
      </c>
      <c r="AG12" s="167" t="str">
        <f t="shared" ref="AG12:AH12" si="25">IF(ISBLANK(S12),"",S12)</f>
        <v/>
      </c>
      <c r="AH12" s="168" t="str">
        <f t="shared" si="25"/>
        <v/>
      </c>
      <c r="AI12" s="169" t="str">
        <f t="shared" ref="AI12:AI13" si="34">IF( OR(ISBLANK(U12),U12=""),"", U12)</f>
        <v/>
      </c>
      <c r="AJ12" s="172" t="str">
        <f t="shared" ref="AJ12:AJ13" si="35">IF(ISBLANK(V12),"",V12)</f>
        <v/>
      </c>
      <c r="AK12" s="171" t="str">
        <f t="array" ref="AK12">IFERROR(IF(AE12="ac"+ISNUMBER(SEARCH("'",AJ12))+AI12="","", IF(ISNUMBER(SEARCH("lw",AJ12)), W12 + SUBSTITUTE(AJ12,"lw+",""), MROUND(SWITCH(AE12,"sq",AI$7,"bn",AJ$7,"dl",AK$7,"")*IF(AJ12&gt;10, AJ12/100, VLOOKUP(AJ12, _rpe,SUBSTITUTE(AI12,"+","")+1,0)), IF( SWITCH(AE12,"sq",AI$7,"bn",AJ$7,"dl", AK$7,"")&lt; IF(_uom="lbs", 175, 80), 1.25, IF(_uom="lbs",5,2.5))))), "")</f>
        <v/>
      </c>
      <c r="AL12" s="148"/>
      <c r="AM12" s="38"/>
      <c r="AN12" s="171"/>
      <c r="AO12" s="124" t="str">
        <f>IFERROR(__xludf.DUMMYFUNCTION("IF(AK12=MAX(FILTER(AK$10:AK$199,LOOKUP(ROW(AE$10:AE$199),FILTER(ROW(AE$10:AE$199),AE$10:AE$199&lt;&gt;AE$9:AE$198))=LOOKUP(ROW(AE12),FILTER(ROW(AE$10:AE$199),AE$10:AE$199&lt;&gt;AE$9:AE$198)))),AL12,)"),"")</f>
        <v/>
      </c>
      <c r="AP12" s="120"/>
      <c r="AQ12" s="177"/>
      <c r="AR12" s="143" t="str">
        <f t="shared" si="16"/>
        <v/>
      </c>
      <c r="AS12" s="38" t="str">
        <f>IFERROR(__xludf.DUMMYFUNCTION("""COMPUTED_VALUE"""),"")</f>
        <v/>
      </c>
      <c r="AT12" s="144">
        <v>46132.0</v>
      </c>
      <c r="AU12" s="167" t="str">
        <f t="shared" si="26"/>
        <v/>
      </c>
      <c r="AV12" s="168" t="str">
        <f t="shared" ref="AV12:AV13" si="36">IF(ISBLANK(AH12),"",AH12)</f>
        <v/>
      </c>
      <c r="AW12" s="169" t="str">
        <f t="shared" ref="AW12:AW14" si="37">IF( OR(ISBLANK(AI12),AI12=""),"", AI12)</f>
        <v/>
      </c>
      <c r="AX12" s="172" t="str">
        <f t="shared" ref="AX12:AX13" si="38">IF(ISBLANK(AJ12),"",AJ12)</f>
        <v/>
      </c>
      <c r="AY12" s="171" t="str">
        <f t="array" ref="AY12">IFERROR(IF(AS12="ac"+ISNUMBER(SEARCH("'",AX12))+AW12="","", IF(ISNUMBER(SEARCH("lw",AX12)), AK12 + SUBSTITUTE(AX12,"lw+",""), MROUND(SWITCH(AS12,"sq",AW$7,"bn",AX$7,"dl",AY$7,"")*IF(AX12&gt;10, AX12/100, VLOOKUP(AX12, _rpe,SUBSTITUTE(AW12,"+","")+1,0)), IF( SWITCH(AS12,"sq",AW$7,"bn",AX$7,"dl", AY$7,"")&lt; IF(_uom="lbs", 175, 80), 1.25, IF(_uom="lbs",5,2.5))))), "")</f>
        <v/>
      </c>
      <c r="AZ12" s="148"/>
      <c r="BA12" s="38"/>
      <c r="BB12" s="171"/>
      <c r="BC12" s="124" t="str">
        <f>IFERROR(__xludf.DUMMYFUNCTION("IF(AY12=MAX(FILTER(AY$10:AY$199,LOOKUP(ROW(AS$10:AS$199),FILTER(ROW(AS$10:AS$199),AS$10:AS$199&lt;&gt;AS$9:AS$198))=LOOKUP(ROW(AS12),FILTER(ROW(AS$10:AS$199),AS$10:AS$199&lt;&gt;AS$9:AS$198)))),AZ12,)"),"")</f>
        <v/>
      </c>
      <c r="BD12" s="120"/>
      <c r="BE12" s="177"/>
      <c r="BF12" s="143" t="str">
        <f t="shared" si="17"/>
        <v/>
      </c>
      <c r="BG12" s="38" t="str">
        <f>IFERROR(__xludf.DUMMYFUNCTION("""COMPUTED_VALUE"""),"")</f>
        <v/>
      </c>
      <c r="BH12" s="144">
        <v>46139.0</v>
      </c>
      <c r="BI12" s="167" t="str">
        <f t="shared" si="18"/>
        <v/>
      </c>
      <c r="BJ12" s="168" t="str">
        <f t="shared" ref="BJ12:BJ13" si="39">IF(ISBLANK(AV12),"",AV12)</f>
        <v/>
      </c>
      <c r="BK12" s="169" t="str">
        <f t="shared" ref="BK12:BK13" si="40">IF( OR(ISBLANK(AW12),AW12=""),"", AW12)</f>
        <v/>
      </c>
      <c r="BL12" s="172" t="str">
        <f t="shared" ref="BL12:BL13" si="41">IF(ISBLANK(AX12),"",AX12)</f>
        <v/>
      </c>
      <c r="BM12" s="171" t="str">
        <f t="array" ref="BM12">IFERROR(IF(BG12="ac"+ISNUMBER(SEARCH("'",BL12))+BK12="","", IF(ISNUMBER(SEARCH("lw",BL12)), AY12 + SUBSTITUTE(BL12,"lw+",""), MROUND(SWITCH(BG12,"sq",BK$7,"bn",BL$7,"dl",BM$7,"")*IF(BL12&gt;10, BL12/100, VLOOKUP(BL12, _rpe,SUBSTITUTE(BK12,"+","")+1,0)), IF( SWITCH(BG12,"sq",BK$7,"bn",BL$7,"dl", BM$7,"")&lt; IF(_uom="lbs", 175, 80), 1.25, IF(_uom="lbs",5,2.5))))), "")</f>
        <v/>
      </c>
      <c r="BN12" s="148"/>
      <c r="BO12" s="38"/>
      <c r="BP12" s="171"/>
      <c r="BQ12" s="124" t="str">
        <f>IFERROR(__xludf.DUMMYFUNCTION("IF(BM12=MAX(FILTER(BM$10:BM$199,LOOKUP(ROW(BG$10:BG$199),FILTER(ROW(BG$10:BG$199),BG$10:BG$199&lt;&gt;BG$9:BG$198))=LOOKUP(ROW(BG12),FILTER(ROW(BG$10:BG$199),BG$10:BG$199&lt;&gt;BG$9:BG$198)))),BN12,)"),"")</f>
        <v/>
      </c>
      <c r="BR12" s="120"/>
      <c r="BS12" s="177"/>
      <c r="BT12" s="143" t="str">
        <f t="shared" si="19"/>
        <v/>
      </c>
      <c r="BU12" s="38" t="str">
        <f>IFERROR(__xludf.DUMMYFUNCTION("""COMPUTED_VALUE"""),"")</f>
        <v/>
      </c>
      <c r="BV12" s="144">
        <v>46146.0</v>
      </c>
      <c r="BW12" s="167" t="str">
        <f t="shared" si="20"/>
        <v/>
      </c>
      <c r="BX12" s="168" t="str">
        <f t="shared" ref="BX12:BX13" si="42">IF(ISBLANK(BJ12),"",BJ12)</f>
        <v/>
      </c>
      <c r="BY12" s="169" t="str">
        <f t="shared" ref="BY12:BY13" si="43">IF( OR(ISBLANK(BK12),BK12=""),"", BK12)</f>
        <v/>
      </c>
      <c r="BZ12" s="172" t="str">
        <f t="shared" ref="BZ12:BZ13" si="44">IF(ISBLANK(BL12),"",BL12)</f>
        <v/>
      </c>
      <c r="CA12" s="171" t="str">
        <f t="array" ref="CA12">IFERROR(IF(BU12="ac"+ISNUMBER(SEARCH("'",BZ12))+BY12="","", IF(ISNUMBER(SEARCH("lw",BZ12)), BM12 + SUBSTITUTE(BZ12,"lw+",""), MROUND(SWITCH(BU12,"sq",BY$7,"bn",BZ$7,"dl",CA$7,"")*IF(BZ12&gt;10, BZ12/100, VLOOKUP(BZ12, _rpe,SUBSTITUTE(BY12,"+","")+1,0)), IF( SWITCH(BU12,"sq",BY$7,"bn",BZ$7,"dl", CA$7,"")&lt; IF(_uom="lbs", 175, 80), 1.25, IF(_uom="lbs",5,2.5))))), "")</f>
        <v/>
      </c>
      <c r="CB12" s="148"/>
      <c r="CC12" s="38"/>
      <c r="CD12" s="171"/>
      <c r="CE12" s="124" t="str">
        <f>IFERROR(__xludf.DUMMYFUNCTION("IF(CA12=MAX(FILTER(CA$10:CA$199,LOOKUP(ROW(BU$10:BU$199),FILTER(ROW(BU$10:BU$199),BU$10:BU$199&lt;&gt;BU$9:BU$198))=LOOKUP(ROW(BU12),FILTER(ROW(BU$10:BU$199),BU$10:BU$199&lt;&gt;BU$9:BU$198)))),CB12,)"),"")</f>
        <v/>
      </c>
      <c r="CF12" s="120"/>
      <c r="CG12" s="177"/>
      <c r="CH12" s="143" t="str">
        <f t="shared" si="21"/>
        <v/>
      </c>
      <c r="CI12" s="38" t="str">
        <f>IFERROR(__xludf.DUMMYFUNCTION("""COMPUTED_VALUE"""),"")</f>
        <v/>
      </c>
      <c r="CJ12" s="144">
        <v>46153.0</v>
      </c>
      <c r="CK12" s="167" t="str">
        <f t="shared" si="27"/>
        <v/>
      </c>
      <c r="CL12" s="168" t="str">
        <f t="shared" ref="CL12:CL13" si="45">IF(ISBLANK(BX12),"",BX12)</f>
        <v/>
      </c>
      <c r="CM12" s="169" t="str">
        <f t="shared" ref="CM12:CM13" si="46">IF( OR(ISBLANK(BY12),BY12=""),"", BY12)</f>
        <v/>
      </c>
      <c r="CN12" s="172" t="str">
        <f t="shared" ref="CN12:CN13" si="47">IF(ISBLANK(BZ12),"",BZ12)</f>
        <v/>
      </c>
      <c r="CO12" s="171" t="str">
        <f t="array" ref="CO12">IFERROR(IF(CI12="ac"+ISNUMBER(SEARCH("'",CN12))+CM12="","", IF(ISNUMBER(SEARCH("lw",CN12)), CA12 + SUBSTITUTE(CN12,"lw+",""), MROUND(SWITCH(CI12,"sq",CM$7,"bn",CN$7,"dl",CO$7,"")*IF(CN12&gt;10, CN12/100, VLOOKUP(CN12, _rpe,SUBSTITUTE(CM12,"+","")+1,0)), IF( SWITCH(CI12,"sq",CM$7,"bn",CN$7,"dl", CO$7,"")&lt; IF(_uom="lbs", 175, 80), 1.25, IF(_uom="lbs",5,2.5))))), "")</f>
        <v/>
      </c>
      <c r="CP12" s="148"/>
      <c r="CQ12" s="38"/>
      <c r="CR12" s="171"/>
      <c r="CS12" s="124" t="str">
        <f>IFERROR(__xludf.DUMMYFUNCTION("IF(CO12=MAX(FILTER(CO$10:CO$199,LOOKUP(ROW(CI$10:CI$199),FILTER(ROW(CI$10:CI$199),CI$10:CI$199&lt;&gt;CI$9:CI$198))=LOOKUP(ROW(CI12),FILTER(ROW(CI$10:CI$199),CI$10:CI$199&lt;&gt;CI$9:CI$198)))),CP12,)"),"")</f>
        <v/>
      </c>
      <c r="CT12" s="120"/>
      <c r="CU12" s="177"/>
      <c r="CV12" s="143" t="str">
        <f t="shared" si="22"/>
        <v/>
      </c>
      <c r="CW12" s="38" t="str">
        <f>IFERROR(__xludf.DUMMYFUNCTION("""COMPUTED_VALUE"""),"")</f>
        <v/>
      </c>
      <c r="CX12" s="144">
        <v>46160.0</v>
      </c>
      <c r="CY12" s="167" t="str">
        <f t="shared" si="28"/>
        <v/>
      </c>
      <c r="CZ12" s="168" t="str">
        <f t="shared" ref="CZ12:CZ13" si="48">IF(ISBLANK(CL12),"",CL12)</f>
        <v/>
      </c>
      <c r="DA12" s="169" t="str">
        <f t="shared" ref="DA12:DA13" si="49">IF( OR(ISBLANK(CM12),CM12=""),"", CM12)</f>
        <v/>
      </c>
      <c r="DB12" s="172" t="str">
        <f t="shared" ref="DB12:DB13" si="50">IF(ISBLANK(CN12),"",CN12)</f>
        <v/>
      </c>
      <c r="DC12" s="171" t="str">
        <f t="array" ref="DC12">IFERROR(IF(CW12="ac"+ISNUMBER(SEARCH("'",DB12))+DA12="","", IF(ISNUMBER(SEARCH("lw",DB12)), CO12 + SUBSTITUTE(DB12,"lw+",""), MROUND(SWITCH(CW12,"sq",DA$7,"bn",DB$7,"dl",DC$7,"")*IF(DB12&gt;10, DB12/100, VLOOKUP(DB12, _rpe,SUBSTITUTE(DA12,"+","")+1,0)), IF( SWITCH(CW12,"sq",DA$7,"bn",DB$7,"dl", DC$7,"")&lt; IF(_uom="lbs", 175, 80), 1.25, IF(_uom="lbs",5,2.5))))), "")</f>
        <v/>
      </c>
      <c r="DD12" s="148"/>
      <c r="DE12" s="38"/>
      <c r="DF12" s="171"/>
      <c r="DG12" s="124" t="str">
        <f>IFERROR(__xludf.DUMMYFUNCTION("IF(DC12=MAX(FILTER(DC$10:DC$199,LOOKUP(ROW(CW$10:CW$199),FILTER(ROW(CW$10:CW$199),CW$10:CW$199&lt;&gt;CW$9:CW$198))=LOOKUP(ROW(CW12),FILTER(ROW(CW$10:CW$199),CW$10:CW$199&lt;&gt;CW$9:CW$198)))),DD12,)"),"")</f>
        <v/>
      </c>
      <c r="DH12" s="120"/>
      <c r="DI12" s="177"/>
      <c r="DJ12" s="143" t="str">
        <f t="shared" si="23"/>
        <v/>
      </c>
      <c r="DK12" s="38" t="str">
        <f>IFERROR(__xludf.DUMMYFUNCTION("""COMPUTED_VALUE"""),"")</f>
        <v/>
      </c>
      <c r="DL12" s="144">
        <v>46167.0</v>
      </c>
      <c r="DM12" s="167" t="str">
        <f t="shared" si="29"/>
        <v/>
      </c>
      <c r="DN12" s="168" t="str">
        <f t="shared" ref="DN12:DN13" si="51">IF(ISBLANK(CZ12),"",CZ12)</f>
        <v/>
      </c>
      <c r="DO12" s="169" t="str">
        <f t="shared" ref="DO12:DO13" si="52">IF( OR(ISBLANK(DA12),DA12=""),"", DA12)</f>
        <v/>
      </c>
      <c r="DP12" s="172" t="str">
        <f t="shared" ref="DP12:DP13" si="53">IF(ISBLANK(DB12),"",DB12)</f>
        <v/>
      </c>
      <c r="DQ12" s="171" t="str">
        <f t="array" ref="DQ12">IFERROR(IF(DK12="ac"+ISNUMBER(SEARCH("'",DP12))+DO12="","", IF(ISNUMBER(SEARCH("lw",DP12)), DC12 + SUBSTITUTE(DP12,"lw+",""), MROUND(SWITCH(DK12,"sq",DO$7,"bn",DP$7,"dl",DQ$7,"")*IF(DP12&gt;10, DP12/100, VLOOKUP(DP12, _rpe,SUBSTITUTE(DO12,"+","")+1,0)), IF( SWITCH(DK12,"sq",DO$7,"bn",DP$7,"dl", DQ$7,"")&lt; IF(_uom="lbs", 175, 80), 1.25, IF(_uom="lbs",5,2.5))))), "")</f>
        <v/>
      </c>
      <c r="DR12" s="148"/>
      <c r="DS12" s="38"/>
      <c r="DT12" s="171"/>
      <c r="DU12" s="124" t="str">
        <f>IFERROR(__xludf.DUMMYFUNCTION("IF(DQ12=MAX(FILTER(DQ$10:DQ$199,LOOKUP(ROW(DK$10:DK$199),FILTER(ROW(DK$10:DK$199),DK$10:DK$199&lt;&gt;DK$9:DK$198))=LOOKUP(ROW(DK12),FILTER(ROW(DK$10:DK$199),DK$10:DK$199&lt;&gt;DK$9:DK$198)))),DR12,)"),"")</f>
        <v/>
      </c>
      <c r="DV12" s="120"/>
      <c r="DW12" s="177"/>
      <c r="DX12" s="143"/>
      <c r="DY12" s="38"/>
      <c r="DZ12" s="144"/>
      <c r="EA12" s="150"/>
      <c r="EB12" s="174"/>
      <c r="EC12" s="175"/>
      <c r="ED12" s="176"/>
      <c r="EE12" s="155"/>
      <c r="EF12" s="148"/>
      <c r="EG12" s="38"/>
      <c r="EH12" s="155"/>
      <c r="EI12" s="148"/>
      <c r="EJ12" s="38"/>
      <c r="EK12" s="177"/>
      <c r="EL12" s="143"/>
      <c r="EM12" s="38"/>
      <c r="EN12" s="144"/>
      <c r="EO12" s="150"/>
      <c r="EP12" s="174"/>
      <c r="EQ12" s="175"/>
      <c r="ER12" s="176"/>
      <c r="ES12" s="155"/>
      <c r="ET12" s="148"/>
      <c r="EU12" s="38"/>
      <c r="EV12" s="155"/>
      <c r="EW12" s="148"/>
      <c r="EX12" s="38"/>
      <c r="EY12" s="177"/>
      <c r="EZ12" s="143"/>
      <c r="FA12" s="38"/>
      <c r="FB12" s="144"/>
      <c r="FC12" s="150"/>
      <c r="FD12" s="174"/>
      <c r="FE12" s="175"/>
      <c r="FF12" s="176"/>
      <c r="FG12" s="155"/>
      <c r="FH12" s="148"/>
      <c r="FI12" s="38"/>
      <c r="FJ12" s="155"/>
      <c r="FK12" s="148"/>
      <c r="FL12" s="38"/>
      <c r="FM12" s="177"/>
      <c r="FN12" s="143"/>
      <c r="FO12" s="38"/>
      <c r="FP12" s="144"/>
      <c r="FQ12" s="150"/>
      <c r="FR12" s="174"/>
      <c r="FS12" s="175"/>
      <c r="FT12" s="176"/>
      <c r="FU12" s="155"/>
      <c r="FV12" s="148"/>
      <c r="FW12" s="38"/>
      <c r="FX12" s="155"/>
      <c r="FY12" s="148"/>
      <c r="FZ12" s="38"/>
      <c r="GA12" s="177"/>
      <c r="GB12" s="143"/>
      <c r="GC12" s="38"/>
      <c r="GD12" s="144"/>
      <c r="GE12" s="150"/>
      <c r="GF12" s="174"/>
      <c r="GG12" s="175"/>
      <c r="GH12" s="176"/>
      <c r="GI12" s="155"/>
      <c r="GJ12" s="148"/>
      <c r="GK12" s="38"/>
      <c r="GL12" s="155"/>
      <c r="GM12" s="148"/>
      <c r="GN12" s="38"/>
      <c r="GO12" s="177"/>
      <c r="GP12" s="143"/>
      <c r="GQ12" s="38"/>
      <c r="GR12" s="144"/>
      <c r="GS12" s="150"/>
      <c r="GT12" s="174"/>
      <c r="GU12" s="175"/>
      <c r="GV12" s="176"/>
      <c r="GW12" s="155"/>
      <c r="GX12" s="148"/>
      <c r="GY12" s="38"/>
      <c r="GZ12" s="155"/>
      <c r="HA12" s="148"/>
      <c r="HB12" s="38"/>
      <c r="HC12" s="177"/>
      <c r="HD12" s="143"/>
      <c r="HE12" s="38"/>
      <c r="HF12" s="144"/>
      <c r="HG12" s="150"/>
      <c r="HH12" s="174"/>
      <c r="HI12" s="175"/>
      <c r="HJ12" s="176"/>
      <c r="HK12" s="155"/>
      <c r="HL12" s="148"/>
      <c r="HM12" s="38"/>
      <c r="HN12" s="155"/>
      <c r="HO12" s="148"/>
      <c r="HP12" s="38"/>
      <c r="HQ12" s="177"/>
      <c r="HR12" s="143"/>
      <c r="HS12" s="38"/>
      <c r="HT12" s="144"/>
      <c r="HU12" s="150"/>
      <c r="HV12" s="174"/>
      <c r="HW12" s="175"/>
      <c r="HX12" s="176"/>
      <c r="HY12" s="155"/>
      <c r="HZ12" s="148"/>
      <c r="IA12" s="38"/>
      <c r="IB12" s="155"/>
      <c r="IC12" s="148"/>
      <c r="ID12" s="38"/>
      <c r="IE12" s="177"/>
      <c r="IF12" s="143"/>
      <c r="IG12" s="38"/>
      <c r="IH12" s="144"/>
      <c r="II12" s="150"/>
      <c r="IJ12" s="174"/>
      <c r="IK12" s="175"/>
      <c r="IL12" s="176"/>
      <c r="IM12" s="155"/>
      <c r="IN12" s="148"/>
      <c r="IO12" s="38"/>
      <c r="IP12" s="155"/>
      <c r="IQ12" s="148"/>
      <c r="IR12" s="38"/>
      <c r="IS12" s="177"/>
      <c r="IT12" s="143"/>
      <c r="IU12" s="38"/>
      <c r="IV12" s="144"/>
      <c r="IW12" s="143" t="str">
        <f t="shared" si="24"/>
        <v>#REF!</v>
      </c>
      <c r="IX12" s="38"/>
      <c r="IY12" s="144" t="e">
        <v>#REF!</v>
      </c>
    </row>
    <row r="13" hidden="1" outlineLevel="1">
      <c r="A13" s="38"/>
      <c r="B13" s="143"/>
      <c r="C13" s="38" t="str">
        <f>IFERROR(__xludf.DUMMYFUNCTION("""COMPUTED_VALUE"""),"")</f>
        <v/>
      </c>
      <c r="D13" s="144">
        <v>46111.0</v>
      </c>
      <c r="E13" s="167"/>
      <c r="F13" s="168"/>
      <c r="G13" s="169"/>
      <c r="H13" s="170"/>
      <c r="I13" s="171" t="str">
        <f t="array" ref="I13">IFERROR(IF(C13="ac"+ISNUMBER(SEARCH("'",H13))+G13="","", MROUND(SWITCH(C13,"sq",'Personal Info'!$O$15,"bn",'Personal Info'!$S$15,"dl",'Personal Info'!$W$15,"")*IF(H13&gt;10, H13/100, VLOOKUP(H13, _rpe,SUBSTITUTE(G13,"+","")+1,0)), IF( SWITCH(C13:C210,"sq",'Personal Info'!$O$15,"bn",'Personal Info'!$S$15,"dl", 'Personal Info'!$W$15,"")&lt; IF(_uom="lbs", 175, 80), 1.25, IF(_uom="lbs",5,2.5)))),"")</f>
        <v/>
      </c>
      <c r="J13" s="148"/>
      <c r="K13" s="38"/>
      <c r="L13" s="171"/>
      <c r="M13" s="124" t="str">
        <f>IFERROR(__xludf.DUMMYFUNCTION("IF(I13=MAX(FILTER(I$10:I$199,LOOKUP(ROW(C$10:C$199),FILTER(ROW(C$10:C$199),C$10:C$199&lt;&gt;C$9:C$198))=LOOKUP(ROW(C13),FILTER(ROW(C$10:C$199),C$10:C$199&lt;&gt;C$9:C$198)))),J13,)"),"")</f>
        <v/>
      </c>
      <c r="N13" s="122"/>
      <c r="O13" s="38"/>
      <c r="P13" s="143" t="str">
        <f t="shared" si="12"/>
        <v/>
      </c>
      <c r="Q13" s="38" t="str">
        <f>IFERROR(__xludf.DUMMYFUNCTION("""COMPUTED_VALUE"""),"")</f>
        <v/>
      </c>
      <c r="R13" s="144">
        <v>46118.0</v>
      </c>
      <c r="S13" s="167" t="str">
        <f t="shared" si="13"/>
        <v/>
      </c>
      <c r="T13" s="168" t="str">
        <f t="shared" si="30"/>
        <v/>
      </c>
      <c r="U13" s="169" t="str">
        <f t="shared" si="31"/>
        <v/>
      </c>
      <c r="V13" s="172" t="str">
        <f t="shared" si="32"/>
        <v/>
      </c>
      <c r="W13" s="171" t="str">
        <f t="array" ref="W13">IFERROR(IF(Q13="ac"+ISNUMBER(SEARCH("'",V13))+U13="","", IF(ISNUMBER(SEARCH("lw",V13)), I13 + SUBSTITUTE(V13,"lw+",""), MROUND(SWITCH(Q13,"sq",U$7,"bn",V$7,"dl",W$7,"")*IF(V13&gt;10, V13/100, VLOOKUP(V13, _rpe,SUBSTITUTE(U13,"+","")+1,0)), IF( SWITCH(Q13,"sq",U$7,"bn",V$7,"dl", W$7,"")&lt; IF(_uom="lbs", 175, 80), 1.25, IF(_uom="lbs",5,2.5))))), "")</f>
        <v/>
      </c>
      <c r="X13" s="148"/>
      <c r="Y13" s="38"/>
      <c r="Z13" s="171"/>
      <c r="AA13" s="124" t="str">
        <f>IFERROR(__xludf.DUMMYFUNCTION("IF(W13=MAX(FILTER(W$10:W$199,LOOKUP(ROW(Q$10:Q$199),FILTER(ROW(Q$10:Q$199),Q$10:Q$199&lt;&gt;Q$9:Q$198))=LOOKUP(ROW(Q13),FILTER(ROW(Q$10:Q$199),Q$10:Q$199&lt;&gt;Q$9:Q$198)))),X13,)"),"")</f>
        <v/>
      </c>
      <c r="AB13" s="122"/>
      <c r="AC13" s="38"/>
      <c r="AD13" s="143" t="str">
        <f t="shared" si="14"/>
        <v/>
      </c>
      <c r="AE13" s="38" t="str">
        <f>IFERROR(__xludf.DUMMYFUNCTION("""COMPUTED_VALUE"""),"")</f>
        <v/>
      </c>
      <c r="AF13" s="144">
        <v>46125.0</v>
      </c>
      <c r="AG13" s="167" t="str">
        <f t="shared" ref="AG13:AH13" si="33">IF(ISBLANK(S13),"",S13)</f>
        <v/>
      </c>
      <c r="AH13" s="168" t="str">
        <f t="shared" si="33"/>
        <v/>
      </c>
      <c r="AI13" s="169" t="str">
        <f t="shared" si="34"/>
        <v/>
      </c>
      <c r="AJ13" s="172" t="str">
        <f t="shared" si="35"/>
        <v/>
      </c>
      <c r="AK13" s="171" t="str">
        <f t="array" ref="AK13">IFERROR(IF(AE13="ac"+ISNUMBER(SEARCH("'",AJ13))+AI13="","", IF(ISNUMBER(SEARCH("lw",AJ13)), W13 + SUBSTITUTE(AJ13,"lw+",""), MROUND(SWITCH(AE13,"sq",AI$7,"bn",AJ$7,"dl",AK$7,"")*IF(AJ13&gt;10, AJ13/100, VLOOKUP(AJ13, _rpe,SUBSTITUTE(AI13,"+","")+1,0)), IF( SWITCH(AE13,"sq",AI$7,"bn",AJ$7,"dl", AK$7,"")&lt; IF(_uom="lbs", 175, 80), 1.25, IF(_uom="lbs",5,2.5))))), "")</f>
        <v/>
      </c>
      <c r="AL13" s="148"/>
      <c r="AM13" s="38"/>
      <c r="AN13" s="171"/>
      <c r="AO13" s="124" t="str">
        <f>IFERROR(__xludf.DUMMYFUNCTION("IF(AK13=MAX(FILTER(AK$10:AK$199,LOOKUP(ROW(AE$10:AE$199),FILTER(ROW(AE$10:AE$199),AE$10:AE$199&lt;&gt;AE$9:AE$198))=LOOKUP(ROW(AE13),FILTER(ROW(AE$10:AE$199),AE$10:AE$199&lt;&gt;AE$9:AE$198)))),AL13,)"),"")</f>
        <v/>
      </c>
      <c r="AP13" s="122"/>
      <c r="AQ13" s="38"/>
      <c r="AR13" s="143" t="str">
        <f t="shared" si="16"/>
        <v/>
      </c>
      <c r="AS13" s="38" t="str">
        <f>IFERROR(__xludf.DUMMYFUNCTION("""COMPUTED_VALUE"""),"")</f>
        <v/>
      </c>
      <c r="AT13" s="144">
        <v>46132.0</v>
      </c>
      <c r="AU13" s="167" t="str">
        <f t="shared" si="26"/>
        <v/>
      </c>
      <c r="AV13" s="168" t="str">
        <f t="shared" si="36"/>
        <v/>
      </c>
      <c r="AW13" s="169" t="str">
        <f t="shared" si="37"/>
        <v/>
      </c>
      <c r="AX13" s="172" t="str">
        <f t="shared" si="38"/>
        <v/>
      </c>
      <c r="AY13" s="171" t="str">
        <f t="array" ref="AY13">IFERROR(IF(AS13="ac"+ISNUMBER(SEARCH("'",AX13))+AW13="","", IF(ISNUMBER(SEARCH("lw",AX13)), AK13 + SUBSTITUTE(AX13,"lw+",""), MROUND(SWITCH(AS13,"sq",AW$7,"bn",AX$7,"dl",AY$7,"")*IF(AX13&gt;10, AX13/100, VLOOKUP(AX13, _rpe,SUBSTITUTE(AW13,"+","")+1,0)), IF( SWITCH(AS13,"sq",AW$7,"bn",AX$7,"dl", AY$7,"")&lt; IF(_uom="lbs", 175, 80), 1.25, IF(_uom="lbs",5,2.5))))), "")</f>
        <v/>
      </c>
      <c r="AZ13" s="148"/>
      <c r="BA13" s="38"/>
      <c r="BB13" s="171"/>
      <c r="BC13" s="124" t="str">
        <f>IFERROR(__xludf.DUMMYFUNCTION("IF(AY13=MAX(FILTER(AY$10:AY$199,LOOKUP(ROW(AS$10:AS$199),FILTER(ROW(AS$10:AS$199),AS$10:AS$199&lt;&gt;AS$9:AS$198))=LOOKUP(ROW(AS13),FILTER(ROW(AS$10:AS$199),AS$10:AS$199&lt;&gt;AS$9:AS$198)))),AZ13,)"),"")</f>
        <v/>
      </c>
      <c r="BD13" s="122"/>
      <c r="BE13" s="38"/>
      <c r="BF13" s="143" t="str">
        <f t="shared" si="17"/>
        <v/>
      </c>
      <c r="BG13" s="38" t="str">
        <f>IFERROR(__xludf.DUMMYFUNCTION("""COMPUTED_VALUE"""),"")</f>
        <v/>
      </c>
      <c r="BH13" s="144">
        <v>46139.0</v>
      </c>
      <c r="BI13" s="167" t="str">
        <f t="shared" si="18"/>
        <v/>
      </c>
      <c r="BJ13" s="168" t="str">
        <f t="shared" si="39"/>
        <v/>
      </c>
      <c r="BK13" s="169" t="str">
        <f t="shared" si="40"/>
        <v/>
      </c>
      <c r="BL13" s="172" t="str">
        <f t="shared" si="41"/>
        <v/>
      </c>
      <c r="BM13" s="171" t="str">
        <f t="array" ref="BM13">IFERROR(IF(BG13="ac"+ISNUMBER(SEARCH("'",BL13))+BK13="","", IF(ISNUMBER(SEARCH("lw",BL13)), AY13 + SUBSTITUTE(BL13,"lw+",""), MROUND(SWITCH(BG13,"sq",BK$7,"bn",BL$7,"dl",BM$7,"")*IF(BL13&gt;10, BL13/100, VLOOKUP(BL13, _rpe,SUBSTITUTE(BK13,"+","")+1,0)), IF( SWITCH(BG13,"sq",BK$7,"bn",BL$7,"dl", BM$7,"")&lt; IF(_uom="lbs", 175, 80), 1.25, IF(_uom="lbs",5,2.5))))), "")</f>
        <v/>
      </c>
      <c r="BN13" s="148"/>
      <c r="BO13" s="38"/>
      <c r="BP13" s="171"/>
      <c r="BQ13" s="124" t="str">
        <f>IFERROR(__xludf.DUMMYFUNCTION("IF(BM13=MAX(FILTER(BM$10:BM$199,LOOKUP(ROW(BG$10:BG$199),FILTER(ROW(BG$10:BG$199),BG$10:BG$199&lt;&gt;BG$9:BG$198))=LOOKUP(ROW(BG13),FILTER(ROW(BG$10:BG$199),BG$10:BG$199&lt;&gt;BG$9:BG$198)))),BN13,)"),"")</f>
        <v/>
      </c>
      <c r="BR13" s="122"/>
      <c r="BS13" s="38"/>
      <c r="BT13" s="143" t="str">
        <f t="shared" si="19"/>
        <v/>
      </c>
      <c r="BU13" s="38" t="str">
        <f>IFERROR(__xludf.DUMMYFUNCTION("""COMPUTED_VALUE"""),"")</f>
        <v/>
      </c>
      <c r="BV13" s="144">
        <v>46146.0</v>
      </c>
      <c r="BW13" s="167" t="str">
        <f t="shared" si="20"/>
        <v/>
      </c>
      <c r="BX13" s="168" t="str">
        <f t="shared" si="42"/>
        <v/>
      </c>
      <c r="BY13" s="169" t="str">
        <f t="shared" si="43"/>
        <v/>
      </c>
      <c r="BZ13" s="172" t="str">
        <f t="shared" si="44"/>
        <v/>
      </c>
      <c r="CA13" s="171" t="str">
        <f t="array" ref="CA13">IFERROR(IF(BU13="ac"+ISNUMBER(SEARCH("'",BZ13))+BY13="","", IF(ISNUMBER(SEARCH("lw",BZ13)), BM13 + SUBSTITUTE(BZ13,"lw+",""), MROUND(SWITCH(BU13,"sq",BY$7,"bn",BZ$7,"dl",CA$7,"")*IF(BZ13&gt;10, BZ13/100, VLOOKUP(BZ13, _rpe,SUBSTITUTE(BY13,"+","")+1,0)), IF( SWITCH(BU13,"sq",BY$7,"bn",BZ$7,"dl", CA$7,"")&lt; IF(_uom="lbs", 175, 80), 1.25, IF(_uom="lbs",5,2.5))))), "")</f>
        <v/>
      </c>
      <c r="CB13" s="148"/>
      <c r="CC13" s="38"/>
      <c r="CD13" s="171"/>
      <c r="CE13" s="124" t="str">
        <f>IFERROR(__xludf.DUMMYFUNCTION("IF(CA13=MAX(FILTER(CA$10:CA$199,LOOKUP(ROW(BU$10:BU$199),FILTER(ROW(BU$10:BU$199),BU$10:BU$199&lt;&gt;BU$9:BU$198))=LOOKUP(ROW(BU13),FILTER(ROW(BU$10:BU$199),BU$10:BU$199&lt;&gt;BU$9:BU$198)))),CB13,)"),"")</f>
        <v/>
      </c>
      <c r="CF13" s="122"/>
      <c r="CG13" s="38"/>
      <c r="CH13" s="143" t="str">
        <f t="shared" si="21"/>
        <v/>
      </c>
      <c r="CI13" s="38" t="str">
        <f>IFERROR(__xludf.DUMMYFUNCTION("""COMPUTED_VALUE"""),"")</f>
        <v/>
      </c>
      <c r="CJ13" s="144">
        <v>46153.0</v>
      </c>
      <c r="CK13" s="167" t="str">
        <f t="shared" si="27"/>
        <v/>
      </c>
      <c r="CL13" s="168" t="str">
        <f t="shared" si="45"/>
        <v/>
      </c>
      <c r="CM13" s="169" t="str">
        <f t="shared" si="46"/>
        <v/>
      </c>
      <c r="CN13" s="172" t="str">
        <f t="shared" si="47"/>
        <v/>
      </c>
      <c r="CO13" s="171" t="str">
        <f t="array" ref="CO13">IFERROR(IF(CI13="ac"+ISNUMBER(SEARCH("'",CN13))+CM13="","", IF(ISNUMBER(SEARCH("lw",CN13)), CA13 + SUBSTITUTE(CN13,"lw+",""), MROUND(SWITCH(CI13,"sq",CM$7,"bn",CN$7,"dl",CO$7,"")*IF(CN13&gt;10, CN13/100, VLOOKUP(CN13, _rpe,SUBSTITUTE(CM13,"+","")+1,0)), IF( SWITCH(CI13,"sq",CM$7,"bn",CN$7,"dl", CO$7,"")&lt; IF(_uom="lbs", 175, 80), 1.25, IF(_uom="lbs",5,2.5))))), "")</f>
        <v/>
      </c>
      <c r="CP13" s="148"/>
      <c r="CQ13" s="38"/>
      <c r="CR13" s="171"/>
      <c r="CS13" s="124" t="str">
        <f>IFERROR(__xludf.DUMMYFUNCTION("IF(CO13=MAX(FILTER(CO$10:CO$199,LOOKUP(ROW(CI$10:CI$199),FILTER(ROW(CI$10:CI$199),CI$10:CI$199&lt;&gt;CI$9:CI$198))=LOOKUP(ROW(CI13),FILTER(ROW(CI$10:CI$199),CI$10:CI$199&lt;&gt;CI$9:CI$198)))),CP13,)"),"")</f>
        <v/>
      </c>
      <c r="CT13" s="122"/>
      <c r="CU13" s="38"/>
      <c r="CV13" s="143" t="str">
        <f t="shared" si="22"/>
        <v/>
      </c>
      <c r="CW13" s="38" t="str">
        <f>IFERROR(__xludf.DUMMYFUNCTION("""COMPUTED_VALUE"""),"")</f>
        <v/>
      </c>
      <c r="CX13" s="144">
        <v>46160.0</v>
      </c>
      <c r="CY13" s="167" t="str">
        <f t="shared" si="28"/>
        <v/>
      </c>
      <c r="CZ13" s="168" t="str">
        <f t="shared" si="48"/>
        <v/>
      </c>
      <c r="DA13" s="169" t="str">
        <f t="shared" si="49"/>
        <v/>
      </c>
      <c r="DB13" s="172" t="str">
        <f t="shared" si="50"/>
        <v/>
      </c>
      <c r="DC13" s="171" t="str">
        <f t="array" ref="DC13">IFERROR(IF(CW13="ac"+ISNUMBER(SEARCH("'",DB13))+DA13="","", IF(ISNUMBER(SEARCH("lw",DB13)), CO13 + SUBSTITUTE(DB13,"lw+",""), MROUND(SWITCH(CW13,"sq",DA$7,"bn",DB$7,"dl",DC$7,"")*IF(DB13&gt;10, DB13/100, VLOOKUP(DB13, _rpe,SUBSTITUTE(DA13,"+","")+1,0)), IF( SWITCH(CW13,"sq",DA$7,"bn",DB$7,"dl", DC$7,"")&lt; IF(_uom="lbs", 175, 80), 1.25, IF(_uom="lbs",5,2.5))))), "")</f>
        <v/>
      </c>
      <c r="DD13" s="148"/>
      <c r="DE13" s="38"/>
      <c r="DF13" s="171"/>
      <c r="DG13" s="124" t="str">
        <f>IFERROR(__xludf.DUMMYFUNCTION("IF(DC13=MAX(FILTER(DC$10:DC$199,LOOKUP(ROW(CW$10:CW$199),FILTER(ROW(CW$10:CW$199),CW$10:CW$199&lt;&gt;CW$9:CW$198))=LOOKUP(ROW(CW13),FILTER(ROW(CW$10:CW$199),CW$10:CW$199&lt;&gt;CW$9:CW$198)))),DD13,)"),"")</f>
        <v/>
      </c>
      <c r="DH13" s="122"/>
      <c r="DI13" s="38"/>
      <c r="DJ13" s="143" t="str">
        <f t="shared" si="23"/>
        <v/>
      </c>
      <c r="DK13" s="38" t="str">
        <f>IFERROR(__xludf.DUMMYFUNCTION("""COMPUTED_VALUE"""),"")</f>
        <v/>
      </c>
      <c r="DL13" s="144">
        <v>46167.0</v>
      </c>
      <c r="DM13" s="167" t="str">
        <f t="shared" si="29"/>
        <v/>
      </c>
      <c r="DN13" s="168" t="str">
        <f t="shared" si="51"/>
        <v/>
      </c>
      <c r="DO13" s="169" t="str">
        <f t="shared" si="52"/>
        <v/>
      </c>
      <c r="DP13" s="172" t="str">
        <f t="shared" si="53"/>
        <v/>
      </c>
      <c r="DQ13" s="171" t="str">
        <f t="array" ref="DQ13">IFERROR(IF(DK13="ac"+ISNUMBER(SEARCH("'",DP13))+DO13="","", IF(ISNUMBER(SEARCH("lw",DP13)), DC13 + SUBSTITUTE(DP13,"lw+",""), MROUND(SWITCH(DK13,"sq",DO$7,"bn",DP$7,"dl",DQ$7,"")*IF(DP13&gt;10, DP13/100, VLOOKUP(DP13, _rpe,SUBSTITUTE(DO13,"+","")+1,0)), IF( SWITCH(DK13,"sq",DO$7,"bn",DP$7,"dl", DQ$7,"")&lt; IF(_uom="lbs", 175, 80), 1.25, IF(_uom="lbs",5,2.5))))), "")</f>
        <v/>
      </c>
      <c r="DR13" s="148"/>
      <c r="DS13" s="38"/>
      <c r="DT13" s="171"/>
      <c r="DU13" s="124" t="str">
        <f>IFERROR(__xludf.DUMMYFUNCTION("IF(DQ13=MAX(FILTER(DQ$10:DQ$199,LOOKUP(ROW(DK$10:DK$199),FILTER(ROW(DK$10:DK$199),DK$10:DK$199&lt;&gt;DK$9:DK$198))=LOOKUP(ROW(DK13),FILTER(ROW(DK$10:DK$199),DK$10:DK$199&lt;&gt;DK$9:DK$198)))),DR13,)"),"")</f>
        <v/>
      </c>
      <c r="DV13" s="122"/>
      <c r="DW13" s="38"/>
      <c r="DX13" s="143"/>
      <c r="DY13" s="38"/>
      <c r="DZ13" s="144"/>
      <c r="EA13" s="150"/>
      <c r="EB13" s="174"/>
      <c r="EC13" s="175"/>
      <c r="ED13" s="176"/>
      <c r="EE13" s="155"/>
      <c r="EF13" s="148"/>
      <c r="EG13" s="38"/>
      <c r="EH13" s="155"/>
      <c r="EI13" s="148"/>
      <c r="EJ13" s="33"/>
      <c r="EK13" s="38"/>
      <c r="EL13" s="143"/>
      <c r="EM13" s="38"/>
      <c r="EN13" s="144"/>
      <c r="EO13" s="150"/>
      <c r="EP13" s="174"/>
      <c r="EQ13" s="175"/>
      <c r="ER13" s="176"/>
      <c r="ES13" s="155"/>
      <c r="ET13" s="148"/>
      <c r="EU13" s="38"/>
      <c r="EV13" s="155"/>
      <c r="EW13" s="148"/>
      <c r="EX13" s="33"/>
      <c r="EY13" s="38"/>
      <c r="EZ13" s="143"/>
      <c r="FA13" s="38"/>
      <c r="FB13" s="144"/>
      <c r="FC13" s="150"/>
      <c r="FD13" s="174"/>
      <c r="FE13" s="175"/>
      <c r="FF13" s="176"/>
      <c r="FG13" s="155"/>
      <c r="FH13" s="148"/>
      <c r="FI13" s="38"/>
      <c r="FJ13" s="155"/>
      <c r="FK13" s="148"/>
      <c r="FL13" s="33"/>
      <c r="FM13" s="38"/>
      <c r="FN13" s="143"/>
      <c r="FO13" s="38"/>
      <c r="FP13" s="144"/>
      <c r="FQ13" s="150"/>
      <c r="FR13" s="174"/>
      <c r="FS13" s="175"/>
      <c r="FT13" s="176"/>
      <c r="FU13" s="155"/>
      <c r="FV13" s="148"/>
      <c r="FW13" s="38"/>
      <c r="FX13" s="155"/>
      <c r="FY13" s="148"/>
      <c r="FZ13" s="33"/>
      <c r="GA13" s="38"/>
      <c r="GB13" s="143"/>
      <c r="GC13" s="38"/>
      <c r="GD13" s="144"/>
      <c r="GE13" s="150"/>
      <c r="GF13" s="174"/>
      <c r="GG13" s="175"/>
      <c r="GH13" s="176"/>
      <c r="GI13" s="155"/>
      <c r="GJ13" s="148"/>
      <c r="GK13" s="38"/>
      <c r="GL13" s="155"/>
      <c r="GM13" s="148"/>
      <c r="GN13" s="33"/>
      <c r="GO13" s="38"/>
      <c r="GP13" s="143"/>
      <c r="GQ13" s="38"/>
      <c r="GR13" s="144"/>
      <c r="GS13" s="150"/>
      <c r="GT13" s="174"/>
      <c r="GU13" s="175"/>
      <c r="GV13" s="176"/>
      <c r="GW13" s="155"/>
      <c r="GX13" s="148"/>
      <c r="GY13" s="38"/>
      <c r="GZ13" s="155"/>
      <c r="HA13" s="148"/>
      <c r="HB13" s="33"/>
      <c r="HC13" s="38"/>
      <c r="HD13" s="143"/>
      <c r="HE13" s="38"/>
      <c r="HF13" s="144"/>
      <c r="HG13" s="150"/>
      <c r="HH13" s="174"/>
      <c r="HI13" s="175"/>
      <c r="HJ13" s="176"/>
      <c r="HK13" s="155"/>
      <c r="HL13" s="148"/>
      <c r="HM13" s="38"/>
      <c r="HN13" s="155"/>
      <c r="HO13" s="148"/>
      <c r="HP13" s="33"/>
      <c r="HQ13" s="38"/>
      <c r="HR13" s="143"/>
      <c r="HS13" s="38"/>
      <c r="HT13" s="144"/>
      <c r="HU13" s="150"/>
      <c r="HV13" s="174"/>
      <c r="HW13" s="175"/>
      <c r="HX13" s="176"/>
      <c r="HY13" s="155"/>
      <c r="HZ13" s="148"/>
      <c r="IA13" s="38"/>
      <c r="IB13" s="155"/>
      <c r="IC13" s="148"/>
      <c r="ID13" s="33"/>
      <c r="IE13" s="38"/>
      <c r="IF13" s="143"/>
      <c r="IG13" s="38"/>
      <c r="IH13" s="144"/>
      <c r="II13" s="150"/>
      <c r="IJ13" s="174"/>
      <c r="IK13" s="175"/>
      <c r="IL13" s="176"/>
      <c r="IM13" s="155"/>
      <c r="IN13" s="148"/>
      <c r="IO13" s="38"/>
      <c r="IP13" s="155"/>
      <c r="IQ13" s="148"/>
      <c r="IR13" s="33"/>
      <c r="IS13" s="38"/>
      <c r="IT13" s="143"/>
      <c r="IU13" s="38"/>
      <c r="IV13" s="144"/>
      <c r="IW13" s="143" t="str">
        <f t="shared" si="24"/>
        <v>#REF!</v>
      </c>
      <c r="IX13" s="38"/>
      <c r="IY13" s="144" t="e">
        <v>#REF!</v>
      </c>
    </row>
    <row r="14">
      <c r="A14" s="38"/>
      <c r="B14" s="143" t="s">
        <v>310</v>
      </c>
      <c r="C14" s="38" t="str">
        <f>IFERROR(__xludf.DUMMYFUNCTION("""COMPUTED_VALUE"""),"bn")</f>
        <v>bn</v>
      </c>
      <c r="D14" s="144">
        <v>46111.0</v>
      </c>
      <c r="E14" s="167" t="s">
        <v>77</v>
      </c>
      <c r="F14" s="168">
        <f>IF(OR(gen="SELECT",gen="MALE"), 3, 4)</f>
        <v>3</v>
      </c>
      <c r="G14" s="169">
        <v>8.0</v>
      </c>
      <c r="H14" s="170">
        <v>69.0</v>
      </c>
      <c r="I14" s="171">
        <f t="array" ref="I14">IFERROR(IF(C14="ac"+ISNUMBER(SEARCH("'",H14))+G14="","", MROUND(SWITCH(C14,"sq",'Personal Info'!$O$15,"bn",'Personal Info'!$S$15,"dl",'Personal Info'!$W$15,"")*IF(H14&gt;10, H14/100, VLOOKUP(H14, _rpe,SUBSTITUTE(G14,"+","")+1,0)), IF( SWITCH(C14:C210,"sq",'Personal Info'!$O$15,"bn",'Personal Info'!$S$15,"dl", 'Personal Info'!$W$15,"")&lt; IF(_uom="lbs", 175, 80), 1.25, IF(_uom="lbs",5,2.5)))),"")</f>
        <v>82.5</v>
      </c>
      <c r="J14" s="148"/>
      <c r="K14" s="38"/>
      <c r="L14" s="171"/>
      <c r="M14" s="124" t="str">
        <f>IFERROR(__xludf.DUMMYFUNCTION("IF(I14=MAX(FILTER(I$10:I$199,LOOKUP(ROW(C$10:C$199),FILTER(ROW(C$10:C$199),C$10:C$199&lt;&gt;C$9:C$198))=LOOKUP(ROW(C14),FILTER(ROW(C$10:C$199),C$10:C$199&lt;&gt;C$9:C$198)))),J14,)"),"")</f>
        <v/>
      </c>
      <c r="N14" s="122"/>
      <c r="O14" s="38"/>
      <c r="P14" s="143" t="str">
        <f t="shared" si="12"/>
        <v>BN 1: hypertrophy</v>
      </c>
      <c r="Q14" s="38" t="str">
        <f>IFERROR(__xludf.DUMMYFUNCTION("""COMPUTED_VALUE"""),"bn")</f>
        <v>bn</v>
      </c>
      <c r="R14" s="144">
        <v>46118.0</v>
      </c>
      <c r="S14" s="167" t="str">
        <f t="shared" si="13"/>
        <v>Bench Press</v>
      </c>
      <c r="T14" s="168">
        <f>IF(OR(gen="SELECT",gen="MALE"), 3, 4)</f>
        <v>3</v>
      </c>
      <c r="U14" s="169">
        <f t="shared" si="31"/>
        <v>8</v>
      </c>
      <c r="V14" s="172">
        <v>71.0</v>
      </c>
      <c r="W14" s="171">
        <f t="array" ref="W14">IFERROR(IF(Q14="ac"+ISNUMBER(SEARCH("'",V14))+U14="","", IF(ISNUMBER(SEARCH("lw",V14)), I14 + SUBSTITUTE(V14,"lw+",""), MROUND(SWITCH(Q14,"sq",U$7,"bn",V$7,"dl",W$7,"")*IF(V14&gt;10, V14/100, VLOOKUP(V14, _rpe,SUBSTITUTE(U14,"+","")+1,0)), IF( SWITCH(Q14,"sq",U$7,"bn",V$7,"dl", W$7,"")&lt; IF(_uom="lbs", 175, 80), 1.25, IF(_uom="lbs",5,2.5))))), "")</f>
        <v>85</v>
      </c>
      <c r="X14" s="148"/>
      <c r="Y14" s="38"/>
      <c r="Z14" s="171"/>
      <c r="AA14" s="124" t="str">
        <f>IFERROR(__xludf.DUMMYFUNCTION("IF(W14=MAX(FILTER(W$10:W$199,LOOKUP(ROW(Q$10:Q$199),FILTER(ROW(Q$10:Q$199),Q$10:Q$199&lt;&gt;Q$9:Q$198))=LOOKUP(ROW(Q14),FILTER(ROW(Q$10:Q$199),Q$10:Q$199&lt;&gt;Q$9:Q$198)))),X14,)"),"")</f>
        <v/>
      </c>
      <c r="AB14" s="122"/>
      <c r="AC14" s="38"/>
      <c r="AD14" s="143" t="str">
        <f t="shared" si="14"/>
        <v>BN 1: hypertrophy</v>
      </c>
      <c r="AE14" s="38" t="str">
        <f>IFERROR(__xludf.DUMMYFUNCTION("""COMPUTED_VALUE"""),"bn")</f>
        <v>bn</v>
      </c>
      <c r="AF14" s="144">
        <v>46125.0</v>
      </c>
      <c r="AG14" s="167" t="str">
        <f t="shared" ref="AG14:AG199" si="54">IF(ISBLANK(S14),"",S14)</f>
        <v>Bench Press</v>
      </c>
      <c r="AH14" s="168">
        <f>IF(OR(gen="SELECT",gen="MALE"), 4, 5)</f>
        <v>4</v>
      </c>
      <c r="AI14" s="169">
        <v>7.0</v>
      </c>
      <c r="AJ14" s="172">
        <v>73.0</v>
      </c>
      <c r="AK14" s="171">
        <f t="array" ref="AK14">IFERROR(IF(AE14="ac"+ISNUMBER(SEARCH("'",AJ14))+AI14="","", IF(ISNUMBER(SEARCH("lw",AJ14)), W14 + SUBSTITUTE(AJ14,"lw+",""), MROUND(SWITCH(AE14,"sq",AI$7,"bn",AJ$7,"dl",AK$7,"")*IF(AJ14&gt;10, AJ14/100, VLOOKUP(AJ14, _rpe,SUBSTITUTE(AI14,"+","")+1,0)), IF( SWITCH(AE14,"sq",AI$7,"bn",AJ$7,"dl", AK$7,"")&lt; IF(_uom="lbs", 175, 80), 1.25, IF(_uom="lbs",5,2.5))))), "")</f>
        <v>87.5</v>
      </c>
      <c r="AL14" s="148"/>
      <c r="AM14" s="38"/>
      <c r="AN14" s="171"/>
      <c r="AO14" s="124" t="str">
        <f>IFERROR(__xludf.DUMMYFUNCTION("IF(AK14=MAX(FILTER(AK$10:AK$199,LOOKUP(ROW(AE$10:AE$199),FILTER(ROW(AE$10:AE$199),AE$10:AE$199&lt;&gt;AE$9:AE$198))=LOOKUP(ROW(AE14),FILTER(ROW(AE$10:AE$199),AE$10:AE$199&lt;&gt;AE$9:AE$198)))),AL14,)"),"")</f>
        <v/>
      </c>
      <c r="AP14" s="122"/>
      <c r="AQ14" s="38"/>
      <c r="AR14" s="143" t="str">
        <f t="shared" si="16"/>
        <v>BN 1: hypertrophy</v>
      </c>
      <c r="AS14" s="38" t="str">
        <f>IFERROR(__xludf.DUMMYFUNCTION("""COMPUTED_VALUE"""),"bn")</f>
        <v>bn</v>
      </c>
      <c r="AT14" s="144">
        <v>46132.0</v>
      </c>
      <c r="AU14" s="167" t="str">
        <f t="shared" si="26"/>
        <v>Bench Press</v>
      </c>
      <c r="AV14" s="168">
        <f>IF(OR(gen="SELECT",gen="MALE"), 4, 5)</f>
        <v>4</v>
      </c>
      <c r="AW14" s="169">
        <f t="shared" si="37"/>
        <v>7</v>
      </c>
      <c r="AX14" s="172">
        <v>75.0</v>
      </c>
      <c r="AY14" s="171">
        <f t="array" ref="AY14">IFERROR(IF(AS14="ac"+ISNUMBER(SEARCH("'",AX14))+AW14="","", IF(ISNUMBER(SEARCH("lw",AX14)), AK14 + SUBSTITUTE(AX14,"lw+",""), MROUND(SWITCH(AS14,"sq",AW$7,"bn",AX$7,"dl",AY$7,"")*IF(AX14&gt;10, AX14/100, VLOOKUP(AX14, _rpe,SUBSTITUTE(AW14,"+","")+1,0)), IF( SWITCH(AS14,"sq",AW$7,"bn",AX$7,"dl", AY$7,"")&lt; IF(_uom="lbs", 175, 80), 1.25, IF(_uom="lbs",5,2.5))))), "")</f>
        <v>90</v>
      </c>
      <c r="AZ14" s="148"/>
      <c r="BA14" s="38"/>
      <c r="BB14" s="171"/>
      <c r="BC14" s="124" t="str">
        <f>IFERROR(__xludf.DUMMYFUNCTION("IF(AY14=MAX(FILTER(AY$10:AY$199,LOOKUP(ROW(AS$10:AS$199),FILTER(ROW(AS$10:AS$199),AS$10:AS$199&lt;&gt;AS$9:AS$198))=LOOKUP(ROW(AS14),FILTER(ROW(AS$10:AS$199),AS$10:AS$199&lt;&gt;AS$9:AS$198)))),AZ14,)"),"")</f>
        <v/>
      </c>
      <c r="BD14" s="122"/>
      <c r="BE14" s="38"/>
      <c r="BF14" s="143" t="str">
        <f t="shared" si="17"/>
        <v>BN 1: hypertrophy</v>
      </c>
      <c r="BG14" s="38" t="str">
        <f>IFERROR(__xludf.DUMMYFUNCTION("""COMPUTED_VALUE"""),"bn")</f>
        <v>bn</v>
      </c>
      <c r="BH14" s="144">
        <v>46139.0</v>
      </c>
      <c r="BI14" s="167" t="str">
        <f t="shared" si="18"/>
        <v>Bench Press</v>
      </c>
      <c r="BJ14" s="168">
        <f>IF(OR(gen="SELECT",gen="MALE"), 3, 4)</f>
        <v>3</v>
      </c>
      <c r="BK14" s="169">
        <v>6.0</v>
      </c>
      <c r="BL14" s="172">
        <v>73.0</v>
      </c>
      <c r="BM14" s="171">
        <f t="array" ref="BM14">IFERROR(IF(BG14="ac"+ISNUMBER(SEARCH("'",BL14))+BK14="","", IF(ISNUMBER(SEARCH("lw",BL14)), AY14 + SUBSTITUTE(BL14,"lw+",""), MROUND(SWITCH(BG14,"sq",BK$7,"bn",BL$7,"dl",BM$7,"")*IF(BL14&gt;10, BL14/100, VLOOKUP(BL14, _rpe,SUBSTITUTE(BK14,"+","")+1,0)), IF( SWITCH(BG14,"sq",BK$7,"bn",BL$7,"dl", BM$7,"")&lt; IF(_uom="lbs", 175, 80), 1.25, IF(_uom="lbs",5,2.5))))), "")</f>
        <v>87.5</v>
      </c>
      <c r="BN14" s="148"/>
      <c r="BO14" s="38"/>
      <c r="BP14" s="171"/>
      <c r="BQ14" s="124" t="str">
        <f>IFERROR(__xludf.DUMMYFUNCTION("IF(BM14=MAX(FILTER(BM$10:BM$199,LOOKUP(ROW(BG$10:BG$199),FILTER(ROW(BG$10:BG$199),BG$10:BG$199&lt;&gt;BG$9:BG$198))=LOOKUP(ROW(BG14),FILTER(ROW(BG$10:BG$199),BG$10:BG$199&lt;&gt;BG$9:BG$198)))),BN14,)"),"")</f>
        <v/>
      </c>
      <c r="BR14" s="122"/>
      <c r="BS14" s="38"/>
      <c r="BT14" s="143" t="str">
        <f t="shared" si="19"/>
        <v>BN 1: hypertrophy</v>
      </c>
      <c r="BU14" s="38" t="str">
        <f>IFERROR(__xludf.DUMMYFUNCTION("""COMPUTED_VALUE"""),"bn")</f>
        <v>bn</v>
      </c>
      <c r="BV14" s="144">
        <v>46146.0</v>
      </c>
      <c r="BW14" s="167" t="str">
        <f t="shared" si="20"/>
        <v>Bench Press</v>
      </c>
      <c r="BX14" s="168">
        <f>IF(OR(gen="SELECT",gen="MALE"), 4, 5)</f>
        <v>4</v>
      </c>
      <c r="BY14" s="169">
        <v>6.0</v>
      </c>
      <c r="BZ14" s="172">
        <v>75.0</v>
      </c>
      <c r="CA14" s="171">
        <f t="array" ref="CA14">IFERROR(IF(BU14="ac"+ISNUMBER(SEARCH("'",BZ14))+BY14="","", IF(ISNUMBER(SEARCH("lw",BZ14)), BM14 + SUBSTITUTE(BZ14,"lw+",""), MROUND(SWITCH(BU14,"sq",BY$7,"bn",BZ$7,"dl",CA$7,"")*IF(BZ14&gt;10, BZ14/100, VLOOKUP(BZ14, _rpe,SUBSTITUTE(BY14,"+","")+1,0)), IF( SWITCH(BU14,"sq",BY$7,"bn",BZ$7,"dl", CA$7,"")&lt; IF(_uom="lbs", 175, 80), 1.25, IF(_uom="lbs",5,2.5))))), "")</f>
        <v>90</v>
      </c>
      <c r="CB14" s="148"/>
      <c r="CC14" s="38"/>
      <c r="CD14" s="171"/>
      <c r="CE14" s="124" t="str">
        <f>IFERROR(__xludf.DUMMYFUNCTION("IF(CA14=MAX(FILTER(CA$10:CA$199,LOOKUP(ROW(BU$10:BU$199),FILTER(ROW(BU$10:BU$199),BU$10:BU$199&lt;&gt;BU$9:BU$198))=LOOKUP(ROW(BU14),FILTER(ROW(BU$10:BU$199),BU$10:BU$199&lt;&gt;BU$9:BU$198)))),CB14,)"),"")</f>
        <v/>
      </c>
      <c r="CF14" s="122"/>
      <c r="CG14" s="38"/>
      <c r="CH14" s="143" t="str">
        <f t="shared" si="21"/>
        <v>BN 1: hypertrophy</v>
      </c>
      <c r="CI14" s="38" t="str">
        <f>IFERROR(__xludf.DUMMYFUNCTION("""COMPUTED_VALUE"""),"bn")</f>
        <v>bn</v>
      </c>
      <c r="CJ14" s="144">
        <v>46153.0</v>
      </c>
      <c r="CK14" s="167" t="str">
        <f t="shared" si="27"/>
        <v>Bench Press</v>
      </c>
      <c r="CL14" s="168">
        <f>IF(OR(gen="SELECT",gen="MALE"), 4, 5)</f>
        <v>4</v>
      </c>
      <c r="CM14" s="169">
        <v>6.0</v>
      </c>
      <c r="CN14" s="172">
        <v>77.0</v>
      </c>
      <c r="CO14" s="171">
        <f t="array" ref="CO14">IFERROR(IF(CI14="ac"+ISNUMBER(SEARCH("'",CN14))+CM14="","", IF(ISNUMBER(SEARCH("lw",CN14)), CA14 + SUBSTITUTE(CN14,"lw+",""), MROUND(SWITCH(CI14,"sq",CM$7,"bn",CN$7,"dl",CO$7,"")*IF(CN14&gt;10, CN14/100, VLOOKUP(CN14, _rpe,SUBSTITUTE(CM14,"+","")+1,0)), IF( SWITCH(CI14,"sq",CM$7,"bn",CN$7,"dl", CO$7,"")&lt; IF(_uom="lbs", 175, 80), 1.25, IF(_uom="lbs",5,2.5))))), "")</f>
        <v>92.5</v>
      </c>
      <c r="CP14" s="148"/>
      <c r="CQ14" s="38"/>
      <c r="CR14" s="171"/>
      <c r="CS14" s="124" t="str">
        <f>IFERROR(__xludf.DUMMYFUNCTION("IF(CO14=MAX(FILTER(CO$10:CO$199,LOOKUP(ROW(CI$10:CI$199),FILTER(ROW(CI$10:CI$199),CI$10:CI$199&lt;&gt;CI$9:CI$198))=LOOKUP(ROW(CI14),FILTER(ROW(CI$10:CI$199),CI$10:CI$199&lt;&gt;CI$9:CI$198)))),CP14,)"),"")</f>
        <v/>
      </c>
      <c r="CT14" s="122"/>
      <c r="CU14" s="38"/>
      <c r="CV14" s="143" t="str">
        <f t="shared" si="22"/>
        <v>BN 1: hypertrophy</v>
      </c>
      <c r="CW14" s="38" t="str">
        <f>IFERROR(__xludf.DUMMYFUNCTION("""COMPUTED_VALUE"""),"bn")</f>
        <v>bn</v>
      </c>
      <c r="CX14" s="144">
        <v>46160.0</v>
      </c>
      <c r="CY14" s="167" t="str">
        <f t="shared" si="28"/>
        <v>Bench Press</v>
      </c>
      <c r="CZ14" s="168">
        <f>IF(OR(gen="SELECT",gen="MALE"), 4, 5)</f>
        <v>4</v>
      </c>
      <c r="DA14" s="169">
        <v>5.0</v>
      </c>
      <c r="DB14" s="172">
        <v>79.0</v>
      </c>
      <c r="DC14" s="171">
        <f t="array" ref="DC14">IFERROR(IF(CW14="ac"+ISNUMBER(SEARCH("'",DB14))+DA14="","", IF(ISNUMBER(SEARCH("lw",DB14)), CO14 + SUBSTITUTE(DB14,"lw+",""), MROUND(SWITCH(CW14,"sq",DA$7,"bn",DB$7,"dl",DC$7,"")*IF(DB14&gt;10, DB14/100, VLOOKUP(DB14, _rpe,SUBSTITUTE(DA14,"+","")+1,0)), IF( SWITCH(CW14,"sq",DA$7,"bn",DB$7,"dl", DC$7,"")&lt; IF(_uom="lbs", 175, 80), 1.25, IF(_uom="lbs",5,2.5))))), "")</f>
        <v>95</v>
      </c>
      <c r="DD14" s="148"/>
      <c r="DE14" s="38"/>
      <c r="DF14" s="171"/>
      <c r="DG14" s="124" t="str">
        <f>IFERROR(__xludf.DUMMYFUNCTION("IF(DC14=MAX(FILTER(DC$10:DC$199,LOOKUP(ROW(CW$10:CW$199),FILTER(ROW(CW$10:CW$199),CW$10:CW$199&lt;&gt;CW$9:CW$198))=LOOKUP(ROW(CW14),FILTER(ROW(CW$10:CW$199),CW$10:CW$199&lt;&gt;CW$9:CW$198)))),DD14,)"),"")</f>
        <v/>
      </c>
      <c r="DH14" s="122"/>
      <c r="DI14" s="38"/>
      <c r="DJ14" s="143" t="str">
        <f t="shared" si="23"/>
        <v>BN 1: hypertrophy</v>
      </c>
      <c r="DK14" s="38" t="str">
        <f>IFERROR(__xludf.DUMMYFUNCTION("""COMPUTED_VALUE"""),"bn")</f>
        <v>bn</v>
      </c>
      <c r="DL14" s="144">
        <v>46167.0</v>
      </c>
      <c r="DM14" s="167" t="str">
        <f t="shared" si="29"/>
        <v>Bench Press</v>
      </c>
      <c r="DN14" s="168">
        <v>5.0</v>
      </c>
      <c r="DO14" s="169">
        <v>4.0</v>
      </c>
      <c r="DP14" s="172">
        <v>81.0</v>
      </c>
      <c r="DQ14" s="171">
        <f t="array" ref="DQ14">IFERROR(IF(DK14="ac"+ISNUMBER(SEARCH("'",DP14))+DO14="","", IF(ISNUMBER(SEARCH("lw",DP14)), DC14 + SUBSTITUTE(DP14,"lw+",""), MROUND(SWITCH(DK14,"sq",DO$7,"bn",DP$7,"dl",DQ$7,"")*IF(DP14&gt;10, DP14/100, VLOOKUP(DP14, _rpe,SUBSTITUTE(DO14,"+","")+1,0)), IF( SWITCH(DK14,"sq",DO$7,"bn",DP$7,"dl", DQ$7,"")&lt; IF(_uom="lbs", 175, 80), 1.25, IF(_uom="lbs",5,2.5))))), "")</f>
        <v>97.5</v>
      </c>
      <c r="DR14" s="148"/>
      <c r="DS14" s="38"/>
      <c r="DT14" s="171"/>
      <c r="DU14" s="124" t="str">
        <f>IFERROR(__xludf.DUMMYFUNCTION("IF(DQ14=MAX(FILTER(DQ$10:DQ$199,LOOKUP(ROW(DK$10:DK$199),FILTER(ROW(DK$10:DK$199),DK$10:DK$199&lt;&gt;DK$9:DK$198))=LOOKUP(ROW(DK14),FILTER(ROW(DK$10:DK$199),DK$10:DK$199&lt;&gt;DK$9:DK$198)))),DR14,)"),"")</f>
        <v/>
      </c>
      <c r="DV14" s="122"/>
      <c r="DW14" s="38"/>
      <c r="DX14" s="143"/>
      <c r="DY14" s="38"/>
      <c r="DZ14" s="144"/>
      <c r="EA14" s="150"/>
      <c r="EB14" s="174"/>
      <c r="EC14" s="175"/>
      <c r="ED14" s="176"/>
      <c r="EE14" s="155"/>
      <c r="EF14" s="148"/>
      <c r="EG14" s="38"/>
      <c r="EH14" s="155"/>
      <c r="EI14" s="148"/>
      <c r="EJ14" s="33"/>
      <c r="EK14" s="38"/>
      <c r="EL14" s="143"/>
      <c r="EM14" s="38"/>
      <c r="EN14" s="144"/>
      <c r="EO14" s="150"/>
      <c r="EP14" s="174"/>
      <c r="EQ14" s="175"/>
      <c r="ER14" s="176"/>
      <c r="ES14" s="155"/>
      <c r="ET14" s="148"/>
      <c r="EU14" s="38"/>
      <c r="EV14" s="155"/>
      <c r="EW14" s="148"/>
      <c r="EX14" s="33"/>
      <c r="EY14" s="38"/>
      <c r="EZ14" s="143"/>
      <c r="FA14" s="38"/>
      <c r="FB14" s="144"/>
      <c r="FC14" s="150"/>
      <c r="FD14" s="174"/>
      <c r="FE14" s="175"/>
      <c r="FF14" s="176"/>
      <c r="FG14" s="155"/>
      <c r="FH14" s="148"/>
      <c r="FI14" s="38"/>
      <c r="FJ14" s="155"/>
      <c r="FK14" s="148"/>
      <c r="FL14" s="33"/>
      <c r="FM14" s="38"/>
      <c r="FN14" s="143"/>
      <c r="FO14" s="38"/>
      <c r="FP14" s="144"/>
      <c r="FQ14" s="150"/>
      <c r="FR14" s="38"/>
      <c r="FS14" s="175"/>
      <c r="FT14" s="176"/>
      <c r="FU14" s="155"/>
      <c r="FV14" s="148"/>
      <c r="FW14" s="38"/>
      <c r="FX14" s="155"/>
      <c r="FY14" s="148"/>
      <c r="FZ14" s="33"/>
      <c r="GA14" s="38"/>
      <c r="GB14" s="143"/>
      <c r="GC14" s="38"/>
      <c r="GD14" s="144"/>
      <c r="GE14" s="150"/>
      <c r="GF14" s="174"/>
      <c r="GG14" s="175"/>
      <c r="GH14" s="176"/>
      <c r="GI14" s="155"/>
      <c r="GJ14" s="148"/>
      <c r="GK14" s="38"/>
      <c r="GL14" s="155"/>
      <c r="GM14" s="148"/>
      <c r="GN14" s="33"/>
      <c r="GO14" s="38"/>
      <c r="GP14" s="143"/>
      <c r="GQ14" s="38"/>
      <c r="GR14" s="144"/>
      <c r="GS14" s="150"/>
      <c r="GT14" s="174"/>
      <c r="GU14" s="175"/>
      <c r="GV14" s="176"/>
      <c r="GW14" s="155"/>
      <c r="GX14" s="148"/>
      <c r="GY14" s="38"/>
      <c r="GZ14" s="155"/>
      <c r="HA14" s="148"/>
      <c r="HB14" s="33"/>
      <c r="HC14" s="38"/>
      <c r="HD14" s="143"/>
      <c r="HE14" s="38"/>
      <c r="HF14" s="144"/>
      <c r="HG14" s="150"/>
      <c r="HH14" s="174"/>
      <c r="HI14" s="175"/>
      <c r="HJ14" s="176"/>
      <c r="HK14" s="155"/>
      <c r="HL14" s="148"/>
      <c r="HM14" s="38"/>
      <c r="HN14" s="155"/>
      <c r="HO14" s="148"/>
      <c r="HP14" s="33"/>
      <c r="HQ14" s="38"/>
      <c r="HR14" s="143"/>
      <c r="HS14" s="38"/>
      <c r="HT14" s="144"/>
      <c r="HU14" s="150"/>
      <c r="HV14" s="174"/>
      <c r="HW14" s="175"/>
      <c r="HX14" s="176"/>
      <c r="HY14" s="155"/>
      <c r="HZ14" s="148"/>
      <c r="IA14" s="38"/>
      <c r="IB14" s="155"/>
      <c r="IC14" s="148"/>
      <c r="ID14" s="33"/>
      <c r="IE14" s="38"/>
      <c r="IF14" s="143"/>
      <c r="IG14" s="38"/>
      <c r="IH14" s="144"/>
      <c r="II14" s="150"/>
      <c r="IJ14" s="174"/>
      <c r="IK14" s="175"/>
      <c r="IL14" s="176"/>
      <c r="IM14" s="155"/>
      <c r="IN14" s="148"/>
      <c r="IO14" s="38"/>
      <c r="IP14" s="155"/>
      <c r="IQ14" s="148"/>
      <c r="IR14" s="33"/>
      <c r="IS14" s="38"/>
      <c r="IT14" s="143"/>
      <c r="IU14" s="38"/>
      <c r="IV14" s="144"/>
      <c r="IW14" s="143" t="str">
        <f t="shared" si="24"/>
        <v>#REF!</v>
      </c>
      <c r="IX14" s="38"/>
      <c r="IY14" s="144" t="e">
        <v>#REF!</v>
      </c>
    </row>
    <row r="15" outlineLevel="1">
      <c r="A15" s="33"/>
      <c r="B15" s="143"/>
      <c r="C15" s="38" t="str">
        <f>IFERROR(__xludf.DUMMYFUNCTION("""COMPUTED_VALUE"""),"bn")</f>
        <v>bn</v>
      </c>
      <c r="D15" s="144">
        <v>46111.0</v>
      </c>
      <c r="E15" s="167" t="s">
        <v>309</v>
      </c>
      <c r="F15" s="168"/>
      <c r="G15" s="169"/>
      <c r="H15" s="170"/>
      <c r="I15" s="171" t="str">
        <f t="array" ref="I15">IFERROR(IF(C15="ac"+ISNUMBER(SEARCH("'",H15))+G15="","", MROUND(SWITCH(C15,"sq",'Personal Info'!$O$15,"bn",'Personal Info'!$S$15,"dl",'Personal Info'!$W$15,"")*IF(H15&gt;10, H15/100, VLOOKUP(H15, _rpe,SUBSTITUTE(G15,"+","")+1,0)), IF( SWITCH(C15:C210,"sq",'Personal Info'!$O$15,"bn",'Personal Info'!$S$15,"dl", 'Personal Info'!$W$15,"")&lt; IF(_uom="lbs", 175, 80), 1.25, IF(_uom="lbs",5,2.5)))),"")</f>
        <v/>
      </c>
      <c r="J15" s="148"/>
      <c r="K15" s="38"/>
      <c r="L15" s="171"/>
      <c r="M15" s="124" t="str">
        <f>IFERROR(__xludf.DUMMYFUNCTION("IF(I15=MAX(FILTER(I$10:I$199,LOOKUP(ROW(C$10:C$199),FILTER(ROW(C$10:C$199),C$10:C$199&lt;&gt;C$9:C$198))=LOOKUP(ROW(C15),FILTER(ROW(C$10:C$199),C$10:C$199&lt;&gt;C$9:C$198)))),J15,)"),"")</f>
        <v/>
      </c>
      <c r="N15" s="122"/>
      <c r="O15" s="38"/>
      <c r="P15" s="143" t="str">
        <f t="shared" si="12"/>
        <v/>
      </c>
      <c r="Q15" s="38" t="str">
        <f>IFERROR(__xludf.DUMMYFUNCTION("""COMPUTED_VALUE"""),"bn")</f>
        <v>bn</v>
      </c>
      <c r="R15" s="144">
        <v>46118.0</v>
      </c>
      <c r="S15" s="167" t="str">
        <f t="shared" si="13"/>
        <v>-</v>
      </c>
      <c r="T15" s="168"/>
      <c r="U15" s="169" t="str">
        <f t="shared" si="31"/>
        <v/>
      </c>
      <c r="V15" s="172"/>
      <c r="W15" s="171" t="str">
        <f t="array" ref="W15">IFERROR(IF(Q15="ac"+ISNUMBER(SEARCH("'",V15))+U15="","", IF(ISNUMBER(SEARCH("lw",V15)), I15 + SUBSTITUTE(V15,"lw+",""), MROUND(SWITCH(Q15,"sq",U$7,"bn",V$7,"dl",W$7,"")*IF(V15&gt;10, V15/100, VLOOKUP(V15, _rpe,SUBSTITUTE(U15,"+","")+1,0)), IF( SWITCH(Q15,"sq",U$7,"bn",V$7,"dl", W$7,"")&lt; IF(_uom="lbs", 175, 80), 1.25, IF(_uom="lbs",5,2.5))))), "")</f>
        <v/>
      </c>
      <c r="X15" s="148"/>
      <c r="Y15" s="38"/>
      <c r="Z15" s="171"/>
      <c r="AA15" s="124" t="str">
        <f>IFERROR(__xludf.DUMMYFUNCTION("IF(W15=MAX(FILTER(W$10:W$199,LOOKUP(ROW(Q$10:Q$199),FILTER(ROW(Q$10:Q$199),Q$10:Q$199&lt;&gt;Q$9:Q$198))=LOOKUP(ROW(Q15),FILTER(ROW(Q$10:Q$199),Q$10:Q$199&lt;&gt;Q$9:Q$198)))),X15,)"),"")</f>
        <v/>
      </c>
      <c r="AB15" s="122"/>
      <c r="AC15" s="38"/>
      <c r="AD15" s="143" t="str">
        <f t="shared" si="14"/>
        <v/>
      </c>
      <c r="AE15" s="38" t="str">
        <f>IFERROR(__xludf.DUMMYFUNCTION("""COMPUTED_VALUE"""),"bn")</f>
        <v>bn</v>
      </c>
      <c r="AF15" s="144">
        <v>46125.0</v>
      </c>
      <c r="AG15" s="167" t="str">
        <f t="shared" si="54"/>
        <v>-</v>
      </c>
      <c r="AH15" s="168" t="str">
        <f t="shared" ref="AH15:AH17" si="55">IF(ISBLANK(T15),"",T15)</f>
        <v/>
      </c>
      <c r="AI15" s="169" t="str">
        <f t="shared" ref="AI15:AI17" si="56">IF( OR(ISBLANK(U15),U15=""),"", U15)</f>
        <v/>
      </c>
      <c r="AJ15" s="172"/>
      <c r="AK15" s="171" t="str">
        <f t="array" ref="AK15">IFERROR(IF(AE15="ac"+ISNUMBER(SEARCH("'",AJ15))+AI15="","", IF(ISNUMBER(SEARCH("lw",AJ15)), W15 + SUBSTITUTE(AJ15,"lw+",""), MROUND(SWITCH(AE15,"sq",AI$7,"bn",AJ$7,"dl",AK$7,"")*IF(AJ15&gt;10, AJ15/100, VLOOKUP(AJ15, _rpe,SUBSTITUTE(AI15,"+","")+1,0)), IF( SWITCH(AE15,"sq",AI$7,"bn",AJ$7,"dl", AK$7,"")&lt; IF(_uom="lbs", 175, 80), 1.25, IF(_uom="lbs",5,2.5))))), "")</f>
        <v/>
      </c>
      <c r="AL15" s="148"/>
      <c r="AM15" s="38"/>
      <c r="AN15" s="171"/>
      <c r="AO15" s="124" t="str">
        <f>IFERROR(__xludf.DUMMYFUNCTION("IF(AK15=MAX(FILTER(AK$10:AK$199,LOOKUP(ROW(AE$10:AE$199),FILTER(ROW(AE$10:AE$199),AE$10:AE$199&lt;&gt;AE$9:AE$198))=LOOKUP(ROW(AE15),FILTER(ROW(AE$10:AE$199),AE$10:AE$199&lt;&gt;AE$9:AE$198)))),AL15,)"),"")</f>
        <v/>
      </c>
      <c r="AP15" s="122"/>
      <c r="AQ15" s="38"/>
      <c r="AR15" s="143" t="str">
        <f t="shared" si="16"/>
        <v/>
      </c>
      <c r="AS15" s="38" t="str">
        <f>IFERROR(__xludf.DUMMYFUNCTION("""COMPUTED_VALUE"""),"bn")</f>
        <v>bn</v>
      </c>
      <c r="AT15" s="144">
        <v>46132.0</v>
      </c>
      <c r="AU15" s="167" t="str">
        <f t="shared" si="26"/>
        <v>-</v>
      </c>
      <c r="AV15" s="168" t="str">
        <f t="shared" ref="AV15:AV23" si="57">IF(ISBLANK(AH15),"",AH15)</f>
        <v/>
      </c>
      <c r="AW15" s="178"/>
      <c r="AX15" s="172"/>
      <c r="AY15" s="171" t="str">
        <f t="array" ref="AY15">IFERROR(IF(AS15="ac"+ISNUMBER(SEARCH("'",AX15))+AW15="","", IF(ISNUMBER(SEARCH("lw",AX15)), AK15 + SUBSTITUTE(AX15,"lw+",""), MROUND(SWITCH(AS15,"sq",AW$7,"bn",AX$7,"dl",AY$7,"")*IF(AX15&gt;10, AX15/100, VLOOKUP(AX15, _rpe,SUBSTITUTE(AW15,"+","")+1,0)), IF( SWITCH(AS15,"sq",AW$7,"bn",AX$7,"dl", AY$7,"")&lt; IF(_uom="lbs", 175, 80), 1.25, IF(_uom="lbs",5,2.5))))), "")</f>
        <v/>
      </c>
      <c r="AZ15" s="148"/>
      <c r="BA15" s="38"/>
      <c r="BB15" s="171"/>
      <c r="BC15" s="124" t="str">
        <f>IFERROR(__xludf.DUMMYFUNCTION("IF(AY15=MAX(FILTER(AY$10:AY$199,LOOKUP(ROW(AS$10:AS$199),FILTER(ROW(AS$10:AS$199),AS$10:AS$199&lt;&gt;AS$9:AS$198))=LOOKUP(ROW(AS15),FILTER(ROW(AS$10:AS$199),AS$10:AS$199&lt;&gt;AS$9:AS$198)))),AZ15,)"),"")</f>
        <v/>
      </c>
      <c r="BD15" s="122"/>
      <c r="BE15" s="38"/>
      <c r="BF15" s="143" t="str">
        <f t="shared" si="17"/>
        <v/>
      </c>
      <c r="BG15" s="38" t="str">
        <f>IFERROR(__xludf.DUMMYFUNCTION("""COMPUTED_VALUE"""),"bn")</f>
        <v>bn</v>
      </c>
      <c r="BH15" s="144">
        <v>46139.0</v>
      </c>
      <c r="BI15" s="167" t="str">
        <f t="shared" si="18"/>
        <v>-</v>
      </c>
      <c r="BJ15" s="168"/>
      <c r="BK15" s="169"/>
      <c r="BL15" s="172"/>
      <c r="BM15" s="171" t="str">
        <f t="array" ref="BM15">IFERROR(IF(BG15="ac"+ISNUMBER(SEARCH("'",BL15))+BK15="","", IF(ISNUMBER(SEARCH("lw",BL15)), AY15 + SUBSTITUTE(BL15,"lw+",""), MROUND(SWITCH(BG15,"sq",BK$7,"bn",BL$7,"dl",BM$7,"")*IF(BL15&gt;10, BL15/100, VLOOKUP(BL15, _rpe,SUBSTITUTE(BK15,"+","")+1,0)), IF( SWITCH(BG15,"sq",BK$7,"bn",BL$7,"dl", BM$7,"")&lt; IF(_uom="lbs", 175, 80), 1.25, IF(_uom="lbs",5,2.5))))), "")</f>
        <v/>
      </c>
      <c r="BN15" s="148"/>
      <c r="BO15" s="38"/>
      <c r="BP15" s="171"/>
      <c r="BQ15" s="124" t="str">
        <f>IFERROR(__xludf.DUMMYFUNCTION("IF(BM15=MAX(FILTER(BM$10:BM$199,LOOKUP(ROW(BG$10:BG$199),FILTER(ROW(BG$10:BG$199),BG$10:BG$199&lt;&gt;BG$9:BG$198))=LOOKUP(ROW(BG15),FILTER(ROW(BG$10:BG$199),BG$10:BG$199&lt;&gt;BG$9:BG$198)))),BN15,)"),"")</f>
        <v/>
      </c>
      <c r="BR15" s="122"/>
      <c r="BS15" s="38"/>
      <c r="BT15" s="143" t="str">
        <f t="shared" si="19"/>
        <v/>
      </c>
      <c r="BU15" s="38" t="str">
        <f>IFERROR(__xludf.DUMMYFUNCTION("""COMPUTED_VALUE"""),"bn")</f>
        <v>bn</v>
      </c>
      <c r="BV15" s="144">
        <v>46146.0</v>
      </c>
      <c r="BW15" s="167" t="str">
        <f t="shared" si="20"/>
        <v>-</v>
      </c>
      <c r="BX15" s="168"/>
      <c r="BY15" s="169"/>
      <c r="BZ15" s="172"/>
      <c r="CA15" s="171" t="str">
        <f t="array" ref="CA15">IFERROR(IF(BU15="ac"+ISNUMBER(SEARCH("'",BZ15))+BY15="","", IF(ISNUMBER(SEARCH("lw",BZ15)), BM15 + SUBSTITUTE(BZ15,"lw+",""), MROUND(SWITCH(BU15,"sq",BY$7,"bn",BZ$7,"dl",CA$7,"")*IF(BZ15&gt;10, BZ15/100, VLOOKUP(BZ15, _rpe,SUBSTITUTE(BY15,"+","")+1,0)), IF( SWITCH(BU15,"sq",BY$7,"bn",BZ$7,"dl", CA$7,"")&lt; IF(_uom="lbs", 175, 80), 1.25, IF(_uom="lbs",5,2.5))))), "")</f>
        <v/>
      </c>
      <c r="CB15" s="148"/>
      <c r="CC15" s="38"/>
      <c r="CD15" s="171"/>
      <c r="CE15" s="124" t="str">
        <f>IFERROR(__xludf.DUMMYFUNCTION("IF(CA15=MAX(FILTER(CA$10:CA$199,LOOKUP(ROW(BU$10:BU$199),FILTER(ROW(BU$10:BU$199),BU$10:BU$199&lt;&gt;BU$9:BU$198))=LOOKUP(ROW(BU15),FILTER(ROW(BU$10:BU$199),BU$10:BU$199&lt;&gt;BU$9:BU$198)))),CB15,)"),"")</f>
        <v/>
      </c>
      <c r="CF15" s="122"/>
      <c r="CG15" s="38"/>
      <c r="CH15" s="143" t="str">
        <f t="shared" si="21"/>
        <v/>
      </c>
      <c r="CI15" s="38" t="str">
        <f>IFERROR(__xludf.DUMMYFUNCTION("""COMPUTED_VALUE"""),"bn")</f>
        <v>bn</v>
      </c>
      <c r="CJ15" s="144">
        <v>46153.0</v>
      </c>
      <c r="CK15" s="167" t="str">
        <f t="shared" si="27"/>
        <v>-</v>
      </c>
      <c r="CL15" s="168"/>
      <c r="CM15" s="169" t="str">
        <f t="shared" ref="CM15:CM17" si="58">IF( OR(ISBLANK(BY15),BY15=""),"", BY15)</f>
        <v/>
      </c>
      <c r="CN15" s="172"/>
      <c r="CO15" s="171" t="str">
        <f t="array" ref="CO15">IFERROR(IF(CI15="ac"+ISNUMBER(SEARCH("'",CN15))+CM15="","", IF(ISNUMBER(SEARCH("lw",CN15)), CA15 + SUBSTITUTE(CN15,"lw+",""), MROUND(SWITCH(CI15,"sq",CM$7,"bn",CN$7,"dl",CO$7,"")*IF(CN15&gt;10, CN15/100, VLOOKUP(CN15, _rpe,SUBSTITUTE(CM15,"+","")+1,0)), IF( SWITCH(CI15,"sq",CM$7,"bn",CN$7,"dl", CO$7,"")&lt; IF(_uom="lbs", 175, 80), 1.25, IF(_uom="lbs",5,2.5))))), "")</f>
        <v/>
      </c>
      <c r="CP15" s="148"/>
      <c r="CQ15" s="38"/>
      <c r="CR15" s="171"/>
      <c r="CS15" s="124" t="str">
        <f>IFERROR(__xludf.DUMMYFUNCTION("IF(CO15=MAX(FILTER(CO$10:CO$199,LOOKUP(ROW(CI$10:CI$199),FILTER(ROW(CI$10:CI$199),CI$10:CI$199&lt;&gt;CI$9:CI$198))=LOOKUP(ROW(CI15),FILTER(ROW(CI$10:CI$199),CI$10:CI$199&lt;&gt;CI$9:CI$198)))),CP15,)"),"")</f>
        <v/>
      </c>
      <c r="CT15" s="122"/>
      <c r="CU15" s="38"/>
      <c r="CV15" s="143" t="str">
        <f t="shared" si="22"/>
        <v/>
      </c>
      <c r="CW15" s="38" t="str">
        <f>IFERROR(__xludf.DUMMYFUNCTION("""COMPUTED_VALUE"""),"bn")</f>
        <v>bn</v>
      </c>
      <c r="CX15" s="144">
        <v>46160.0</v>
      </c>
      <c r="CY15" s="167" t="str">
        <f t="shared" si="28"/>
        <v>-</v>
      </c>
      <c r="CZ15" s="168" t="str">
        <f t="shared" ref="CZ15:CZ17" si="59">IF(ISBLANK(CL15),"",CL15)</f>
        <v/>
      </c>
      <c r="DA15" s="169" t="str">
        <f t="shared" ref="DA15:DA17" si="60">IF( OR(ISBLANK(CM15),CM15=""),"", CM15)</f>
        <v/>
      </c>
      <c r="DB15" s="172"/>
      <c r="DC15" s="171" t="str">
        <f t="array" ref="DC15">IFERROR(IF(CW15="ac"+ISNUMBER(SEARCH("'",DB15))+DA15="","", IF(ISNUMBER(SEARCH("lw",DB15)), CO15 + SUBSTITUTE(DB15,"lw+",""), MROUND(SWITCH(CW15,"sq",DA$7,"bn",DB$7,"dl",DC$7,"")*IF(DB15&gt;10, DB15/100, VLOOKUP(DB15, _rpe,SUBSTITUTE(DA15,"+","")+1,0)), IF( SWITCH(CW15,"sq",DA$7,"bn",DB$7,"dl", DC$7,"")&lt; IF(_uom="lbs", 175, 80), 1.25, IF(_uom="lbs",5,2.5))))), "")</f>
        <v/>
      </c>
      <c r="DD15" s="148"/>
      <c r="DE15" s="38"/>
      <c r="DF15" s="171"/>
      <c r="DG15" s="124" t="str">
        <f>IFERROR(__xludf.DUMMYFUNCTION("IF(DC15=MAX(FILTER(DC$10:DC$199,LOOKUP(ROW(CW$10:CW$199),FILTER(ROW(CW$10:CW$199),CW$10:CW$199&lt;&gt;CW$9:CW$198))=LOOKUP(ROW(CW15),FILTER(ROW(CW$10:CW$199),CW$10:CW$199&lt;&gt;CW$9:CW$198)))),DD15,)"),"")</f>
        <v/>
      </c>
      <c r="DH15" s="122"/>
      <c r="DI15" s="38"/>
      <c r="DJ15" s="143" t="str">
        <f t="shared" si="23"/>
        <v/>
      </c>
      <c r="DK15" s="38" t="str">
        <f>IFERROR(__xludf.DUMMYFUNCTION("""COMPUTED_VALUE"""),"bn")</f>
        <v>bn</v>
      </c>
      <c r="DL15" s="144">
        <v>46167.0</v>
      </c>
      <c r="DM15" s="167" t="str">
        <f t="shared" si="29"/>
        <v>-</v>
      </c>
      <c r="DN15" s="168"/>
      <c r="DO15" s="169"/>
      <c r="DP15" s="172"/>
      <c r="DQ15" s="171" t="str">
        <f t="array" ref="DQ15">IFERROR(IF(DK15="ac"+ISNUMBER(SEARCH("'",DP15))+DO15="","", IF(ISNUMBER(SEARCH("lw",DP15)), DC15 + SUBSTITUTE(DP15,"lw+",""), MROUND(SWITCH(DK15,"sq",DO$7,"bn",DP$7,"dl",DQ$7,"")*IF(DP15&gt;10, DP15/100, VLOOKUP(DP15, _rpe,SUBSTITUTE(DO15,"+","")+1,0)), IF( SWITCH(DK15,"sq",DO$7,"bn",DP$7,"dl", DQ$7,"")&lt; IF(_uom="lbs", 175, 80), 1.25, IF(_uom="lbs",5,2.5))))), "")</f>
        <v/>
      </c>
      <c r="DR15" s="148"/>
      <c r="DS15" s="38"/>
      <c r="DT15" s="171"/>
      <c r="DU15" s="124" t="str">
        <f>IFERROR(__xludf.DUMMYFUNCTION("IF(DQ15=MAX(FILTER(DQ$10:DQ$199,LOOKUP(ROW(DK$10:DK$199),FILTER(ROW(DK$10:DK$199),DK$10:DK$199&lt;&gt;DK$9:DK$198))=LOOKUP(ROW(DK15),FILTER(ROW(DK$10:DK$199),DK$10:DK$199&lt;&gt;DK$9:DK$198)))),DR15,)"),"")</f>
        <v/>
      </c>
      <c r="DV15" s="122"/>
      <c r="DW15" s="38"/>
      <c r="DX15" s="143"/>
      <c r="DY15" s="38"/>
      <c r="DZ15" s="144"/>
      <c r="EA15" s="150"/>
      <c r="EB15" s="174"/>
      <c r="EC15" s="175"/>
      <c r="ED15" s="176"/>
      <c r="EE15" s="155"/>
      <c r="EF15" s="148"/>
      <c r="EG15" s="38"/>
      <c r="EH15" s="155"/>
      <c r="EI15" s="148"/>
      <c r="EJ15" s="33"/>
      <c r="EK15" s="38"/>
      <c r="EL15" s="143"/>
      <c r="EM15" s="38"/>
      <c r="EN15" s="144"/>
      <c r="EO15" s="150"/>
      <c r="EP15" s="174"/>
      <c r="EQ15" s="175"/>
      <c r="ER15" s="176"/>
      <c r="ES15" s="155"/>
      <c r="ET15" s="148"/>
      <c r="EU15" s="38"/>
      <c r="EV15" s="155"/>
      <c r="EW15" s="148"/>
      <c r="EX15" s="33"/>
      <c r="EY15" s="38"/>
      <c r="EZ15" s="143"/>
      <c r="FA15" s="38"/>
      <c r="FB15" s="144"/>
      <c r="FC15" s="150"/>
      <c r="FD15" s="174"/>
      <c r="FE15" s="175"/>
      <c r="FF15" s="176"/>
      <c r="FG15" s="155"/>
      <c r="FH15" s="148"/>
      <c r="FI15" s="38"/>
      <c r="FJ15" s="155"/>
      <c r="FK15" s="148"/>
      <c r="FL15" s="33"/>
      <c r="FM15" s="38"/>
      <c r="FN15" s="143"/>
      <c r="FO15" s="38"/>
      <c r="FP15" s="144"/>
      <c r="FQ15" s="150"/>
      <c r="FR15" s="174"/>
      <c r="FS15" s="175"/>
      <c r="FT15" s="176"/>
      <c r="FU15" s="155"/>
      <c r="FV15" s="148"/>
      <c r="FW15" s="38"/>
      <c r="FX15" s="155"/>
      <c r="FY15" s="148"/>
      <c r="FZ15" s="33"/>
      <c r="GA15" s="38"/>
      <c r="GB15" s="143"/>
      <c r="GC15" s="38"/>
      <c r="GD15" s="144"/>
      <c r="GE15" s="150"/>
      <c r="GF15" s="174"/>
      <c r="GG15" s="175"/>
      <c r="GH15" s="176"/>
      <c r="GI15" s="155"/>
      <c r="GJ15" s="148"/>
      <c r="GK15" s="38"/>
      <c r="GL15" s="155"/>
      <c r="GM15" s="148"/>
      <c r="GN15" s="33"/>
      <c r="GO15" s="38"/>
      <c r="GP15" s="143"/>
      <c r="GQ15" s="38"/>
      <c r="GR15" s="144"/>
      <c r="GS15" s="150"/>
      <c r="GT15" s="174"/>
      <c r="GU15" s="175"/>
      <c r="GV15" s="176"/>
      <c r="GW15" s="155"/>
      <c r="GX15" s="148"/>
      <c r="GY15" s="38"/>
      <c r="GZ15" s="155"/>
      <c r="HA15" s="148"/>
      <c r="HB15" s="33"/>
      <c r="HC15" s="38"/>
      <c r="HD15" s="143"/>
      <c r="HE15" s="38"/>
      <c r="HF15" s="144"/>
      <c r="HG15" s="150"/>
      <c r="HH15" s="174"/>
      <c r="HI15" s="175"/>
      <c r="HJ15" s="176"/>
      <c r="HK15" s="155"/>
      <c r="HL15" s="148"/>
      <c r="HM15" s="38"/>
      <c r="HN15" s="155"/>
      <c r="HO15" s="148"/>
      <c r="HP15" s="33"/>
      <c r="HQ15" s="38"/>
      <c r="HR15" s="143"/>
      <c r="HS15" s="38"/>
      <c r="HT15" s="144"/>
      <c r="HU15" s="150"/>
      <c r="HV15" s="174"/>
      <c r="HW15" s="175"/>
      <c r="HX15" s="176"/>
      <c r="HY15" s="155"/>
      <c r="HZ15" s="148"/>
      <c r="IA15" s="38"/>
      <c r="IB15" s="155"/>
      <c r="IC15" s="148"/>
      <c r="ID15" s="33"/>
      <c r="IE15" s="38"/>
      <c r="IF15" s="143"/>
      <c r="IG15" s="38"/>
      <c r="IH15" s="144"/>
      <c r="II15" s="150"/>
      <c r="IJ15" s="174"/>
      <c r="IK15" s="175"/>
      <c r="IL15" s="176"/>
      <c r="IM15" s="155"/>
      <c r="IN15" s="148"/>
      <c r="IO15" s="38"/>
      <c r="IP15" s="155"/>
      <c r="IQ15" s="148"/>
      <c r="IR15" s="33"/>
      <c r="IS15" s="38"/>
      <c r="IT15" s="143"/>
      <c r="IU15" s="38"/>
      <c r="IV15" s="144"/>
      <c r="IW15" s="143" t="str">
        <f t="shared" si="24"/>
        <v>#REF!</v>
      </c>
      <c r="IX15" s="38"/>
      <c r="IY15" s="144" t="e">
        <v>#REF!</v>
      </c>
    </row>
    <row r="16" hidden="1" outlineLevel="1">
      <c r="A16" s="33"/>
      <c r="B16" s="143"/>
      <c r="C16" s="38" t="str">
        <f>IFERROR(__xludf.DUMMYFUNCTION("""COMPUTED_VALUE"""),"")</f>
        <v/>
      </c>
      <c r="D16" s="144">
        <v>46111.0</v>
      </c>
      <c r="E16" s="167"/>
      <c r="F16" s="168"/>
      <c r="G16" s="169"/>
      <c r="H16" s="170"/>
      <c r="I16" s="171" t="str">
        <f t="array" ref="I16">IFERROR(IF(C16="ac"+ISNUMBER(SEARCH("'",H16))+G16="","", MROUND(SWITCH(C16,"sq",'Personal Info'!$O$15,"bn",'Personal Info'!$S$15,"dl",'Personal Info'!$W$15,"")*IF(H16&gt;10, H16/100, VLOOKUP(H16, _rpe,SUBSTITUTE(G16,"+","")+1,0)), IF( SWITCH(C16:C210,"sq",'Personal Info'!$O$15,"bn",'Personal Info'!$S$15,"dl", 'Personal Info'!$W$15,"")&lt; IF(_uom="lbs", 175, 80), 1.25, IF(_uom="lbs",5,2.5)))),"")</f>
        <v/>
      </c>
      <c r="J16" s="148"/>
      <c r="K16" s="38"/>
      <c r="L16" s="171"/>
      <c r="M16" s="124" t="str">
        <f>IFERROR(__xludf.DUMMYFUNCTION("IF(I16=MAX(FILTER(I$10:I$199,LOOKUP(ROW(C$10:C$199),FILTER(ROW(C$10:C$199),C$10:C$199&lt;&gt;C$9:C$198))=LOOKUP(ROW(C16),FILTER(ROW(C$10:C$199),C$10:C$199&lt;&gt;C$9:C$198)))),J16,)"),"")</f>
        <v/>
      </c>
      <c r="N16" s="122"/>
      <c r="O16" s="38"/>
      <c r="P16" s="143" t="str">
        <f t="shared" si="12"/>
        <v/>
      </c>
      <c r="Q16" s="38" t="str">
        <f>IFERROR(__xludf.DUMMYFUNCTION("""COMPUTED_VALUE"""),"")</f>
        <v/>
      </c>
      <c r="R16" s="144">
        <v>46118.0</v>
      </c>
      <c r="S16" s="167" t="str">
        <f t="shared" si="13"/>
        <v/>
      </c>
      <c r="T16" s="168" t="str">
        <f t="shared" ref="T16:T17" si="61">IF(ISBLANK(F16),"",F16)</f>
        <v/>
      </c>
      <c r="U16" s="169" t="str">
        <f t="shared" si="31"/>
        <v/>
      </c>
      <c r="V16" s="172" t="str">
        <f t="shared" ref="V16:V17" si="62">IF(ISBLANK(H16),"",H16)</f>
        <v/>
      </c>
      <c r="W16" s="171" t="str">
        <f t="array" ref="W16">IFERROR(IF(Q16="ac"+ISNUMBER(SEARCH("'",V16))+U16="","", IF(ISNUMBER(SEARCH("lw",V16)), I16 + SUBSTITUTE(V16,"lw+",""), MROUND(SWITCH(Q16,"sq",U$7,"bn",V$7,"dl",W$7,"")*IF(V16&gt;10, V16/100, VLOOKUP(V16, _rpe,SUBSTITUTE(U16,"+","")+1,0)), IF( SWITCH(Q16,"sq",U$7,"bn",V$7,"dl", W$7,"")&lt; IF(_uom="lbs", 175, 80), 1.25, IF(_uom="lbs",5,2.5))))), "")</f>
        <v/>
      </c>
      <c r="X16" s="148"/>
      <c r="Y16" s="38"/>
      <c r="Z16" s="171"/>
      <c r="AA16" s="124" t="str">
        <f>IFERROR(__xludf.DUMMYFUNCTION("IF(W16=MAX(FILTER(W$10:W$199,LOOKUP(ROW(Q$10:Q$199),FILTER(ROW(Q$10:Q$199),Q$10:Q$199&lt;&gt;Q$9:Q$198))=LOOKUP(ROW(Q16),FILTER(ROW(Q$10:Q$199),Q$10:Q$199&lt;&gt;Q$9:Q$198)))),X16,)"),"")</f>
        <v/>
      </c>
      <c r="AB16" s="122"/>
      <c r="AC16" s="38"/>
      <c r="AD16" s="143" t="str">
        <f t="shared" si="14"/>
        <v/>
      </c>
      <c r="AE16" s="38" t="str">
        <f>IFERROR(__xludf.DUMMYFUNCTION("""COMPUTED_VALUE"""),"")</f>
        <v/>
      </c>
      <c r="AF16" s="144">
        <v>46125.0</v>
      </c>
      <c r="AG16" s="167" t="str">
        <f t="shared" si="54"/>
        <v/>
      </c>
      <c r="AH16" s="168" t="str">
        <f t="shared" si="55"/>
        <v/>
      </c>
      <c r="AI16" s="169" t="str">
        <f t="shared" si="56"/>
        <v/>
      </c>
      <c r="AJ16" s="172" t="str">
        <f t="shared" ref="AJ16:AJ17" si="63">IF(ISBLANK(V16),"",V16)</f>
        <v/>
      </c>
      <c r="AK16" s="171" t="str">
        <f t="array" ref="AK16">IFERROR(IF(AE16="ac"+ISNUMBER(SEARCH("'",AJ16))+AI16="","", IF(ISNUMBER(SEARCH("lw",AJ16)), W16 + SUBSTITUTE(AJ16,"lw+",""), MROUND(SWITCH(AE16,"sq",AI$7,"bn",AJ$7,"dl",AK$7,"")*IF(AJ16&gt;10, AJ16/100, VLOOKUP(AJ16, _rpe,SUBSTITUTE(AI16,"+","")+1,0)), IF( SWITCH(AE16,"sq",AI$7,"bn",AJ$7,"dl", AK$7,"")&lt; IF(_uom="lbs", 175, 80), 1.25, IF(_uom="lbs",5,2.5))))), "")</f>
        <v/>
      </c>
      <c r="AL16" s="148"/>
      <c r="AM16" s="38"/>
      <c r="AN16" s="171"/>
      <c r="AO16" s="124" t="str">
        <f>IFERROR(__xludf.DUMMYFUNCTION("IF(AK16=MAX(FILTER(AK$10:AK$199,LOOKUP(ROW(AE$10:AE$199),FILTER(ROW(AE$10:AE$199),AE$10:AE$199&lt;&gt;AE$9:AE$198))=LOOKUP(ROW(AE16),FILTER(ROW(AE$10:AE$199),AE$10:AE$199&lt;&gt;AE$9:AE$198)))),AL16,)"),"")</f>
        <v/>
      </c>
      <c r="AP16" s="122"/>
      <c r="AQ16" s="38"/>
      <c r="AR16" s="143" t="str">
        <f t="shared" si="16"/>
        <v/>
      </c>
      <c r="AS16" s="38" t="str">
        <f>IFERROR(__xludf.DUMMYFUNCTION("""COMPUTED_VALUE"""),"")</f>
        <v/>
      </c>
      <c r="AT16" s="144">
        <v>46132.0</v>
      </c>
      <c r="AU16" s="167" t="str">
        <f t="shared" si="26"/>
        <v/>
      </c>
      <c r="AV16" s="168" t="str">
        <f t="shared" si="57"/>
        <v/>
      </c>
      <c r="AW16" s="169" t="str">
        <f t="shared" ref="AW16:AW17" si="64">IF( OR(ISBLANK(AI16),AI16=""),"", AI16)</f>
        <v/>
      </c>
      <c r="AX16" s="172" t="str">
        <f t="shared" ref="AX16:AX17" si="65">IF(ISBLANK(AJ16),"",AJ16)</f>
        <v/>
      </c>
      <c r="AY16" s="171" t="str">
        <f t="array" ref="AY16">IFERROR(IF(AS16="ac"+ISNUMBER(SEARCH("'",AX16))+AW16="","", IF(ISNUMBER(SEARCH("lw",AX16)), AK16 + SUBSTITUTE(AX16,"lw+",""), MROUND(SWITCH(AS16,"sq",AW$7,"bn",AX$7,"dl",AY$7,"")*IF(AX16&gt;10, AX16/100, VLOOKUP(AX16, _rpe,SUBSTITUTE(AW16,"+","")+1,0)), IF( SWITCH(AS16,"sq",AW$7,"bn",AX$7,"dl", AY$7,"")&lt; IF(_uom="lbs", 175, 80), 1.25, IF(_uom="lbs",5,2.5))))), "")</f>
        <v/>
      </c>
      <c r="AZ16" s="148"/>
      <c r="BA16" s="38"/>
      <c r="BB16" s="171"/>
      <c r="BC16" s="124" t="str">
        <f>IFERROR(__xludf.DUMMYFUNCTION("IF(AY16=MAX(FILTER(AY$10:AY$199,LOOKUP(ROW(AS$10:AS$199),FILTER(ROW(AS$10:AS$199),AS$10:AS$199&lt;&gt;AS$9:AS$198))=LOOKUP(ROW(AS16),FILTER(ROW(AS$10:AS$199),AS$10:AS$199&lt;&gt;AS$9:AS$198)))),AZ16,)"),"")</f>
        <v/>
      </c>
      <c r="BD16" s="122"/>
      <c r="BE16" s="38"/>
      <c r="BF16" s="143" t="str">
        <f t="shared" si="17"/>
        <v/>
      </c>
      <c r="BG16" s="38" t="str">
        <f>IFERROR(__xludf.DUMMYFUNCTION("""COMPUTED_VALUE"""),"")</f>
        <v/>
      </c>
      <c r="BH16" s="144">
        <v>46139.0</v>
      </c>
      <c r="BI16" s="167" t="str">
        <f t="shared" si="18"/>
        <v/>
      </c>
      <c r="BJ16" s="168" t="str">
        <f t="shared" ref="BJ16:BJ17" si="66">IF(ISBLANK(AV16),"",AV16)</f>
        <v/>
      </c>
      <c r="BK16" s="169" t="str">
        <f t="shared" ref="BK16:BK17" si="67">IF( OR(ISBLANK(AW16),AW16=""),"", AW16)</f>
        <v/>
      </c>
      <c r="BL16" s="172"/>
      <c r="BM16" s="171" t="str">
        <f t="array" ref="BM16">IFERROR(IF(BG16="ac"+ISNUMBER(SEARCH("'",BL16))+BK16="","", IF(ISNUMBER(SEARCH("lw",BL16)), AY16 + SUBSTITUTE(BL16,"lw+",""), MROUND(SWITCH(BG16,"sq",BK$7,"bn",BL$7,"dl",BM$7,"")*IF(BL16&gt;10, BL16/100, VLOOKUP(BL16, _rpe,SUBSTITUTE(BK16,"+","")+1,0)), IF( SWITCH(BG16,"sq",BK$7,"bn",BL$7,"dl", BM$7,"")&lt; IF(_uom="lbs", 175, 80), 1.25, IF(_uom="lbs",5,2.5))))), "")</f>
        <v/>
      </c>
      <c r="BN16" s="148"/>
      <c r="BO16" s="38"/>
      <c r="BP16" s="171"/>
      <c r="BQ16" s="124" t="str">
        <f>IFERROR(__xludf.DUMMYFUNCTION("IF(BM16=MAX(FILTER(BM$10:BM$199,LOOKUP(ROW(BG$10:BG$199),FILTER(ROW(BG$10:BG$199),BG$10:BG$199&lt;&gt;BG$9:BG$198))=LOOKUP(ROW(BG16),FILTER(ROW(BG$10:BG$199),BG$10:BG$199&lt;&gt;BG$9:BG$198)))),BN16,)"),"")</f>
        <v/>
      </c>
      <c r="BR16" s="122"/>
      <c r="BS16" s="38"/>
      <c r="BT16" s="143" t="str">
        <f t="shared" si="19"/>
        <v/>
      </c>
      <c r="BU16" s="38" t="str">
        <f>IFERROR(__xludf.DUMMYFUNCTION("""COMPUTED_VALUE"""),"")</f>
        <v/>
      </c>
      <c r="BV16" s="144">
        <v>46146.0</v>
      </c>
      <c r="BW16" s="167" t="str">
        <f t="shared" si="20"/>
        <v/>
      </c>
      <c r="BX16" s="168" t="str">
        <f t="shared" ref="BX16:BX17" si="68">IF(ISBLANK(BJ16),"",BJ16)</f>
        <v/>
      </c>
      <c r="BY16" s="169" t="str">
        <f t="shared" ref="BY16:BY17" si="69">IF( OR(ISBLANK(BK16),BK16=""),"", BK16)</f>
        <v/>
      </c>
      <c r="BZ16" s="172" t="str">
        <f t="shared" ref="BZ16:BZ17" si="70">IF(ISBLANK(BL16),"",BL16)</f>
        <v/>
      </c>
      <c r="CA16" s="171" t="str">
        <f t="array" ref="CA16">IFERROR(IF(BU16="ac"+ISNUMBER(SEARCH("'",BZ16))+BY16="","", IF(ISNUMBER(SEARCH("lw",BZ16)), BM16 + SUBSTITUTE(BZ16,"lw+",""), MROUND(SWITCH(BU16,"sq",BY$7,"bn",BZ$7,"dl",CA$7,"")*IF(BZ16&gt;10, BZ16/100, VLOOKUP(BZ16, _rpe,SUBSTITUTE(BY16,"+","")+1,0)), IF( SWITCH(BU16,"sq",BY$7,"bn",BZ$7,"dl", CA$7,"")&lt; IF(_uom="lbs", 175, 80), 1.25, IF(_uom="lbs",5,2.5))))), "")</f>
        <v/>
      </c>
      <c r="CB16" s="148"/>
      <c r="CC16" s="38"/>
      <c r="CD16" s="171"/>
      <c r="CE16" s="124" t="str">
        <f>IFERROR(__xludf.DUMMYFUNCTION("IF(CA16=MAX(FILTER(CA$10:CA$199,LOOKUP(ROW(BU$10:BU$199),FILTER(ROW(BU$10:BU$199),BU$10:BU$199&lt;&gt;BU$9:BU$198))=LOOKUP(ROW(BU16),FILTER(ROW(BU$10:BU$199),BU$10:BU$199&lt;&gt;BU$9:BU$198)))),CB16,)"),"")</f>
        <v/>
      </c>
      <c r="CF16" s="122"/>
      <c r="CG16" s="38"/>
      <c r="CH16" s="143" t="str">
        <f t="shared" si="21"/>
        <v/>
      </c>
      <c r="CI16" s="38" t="str">
        <f>IFERROR(__xludf.DUMMYFUNCTION("""COMPUTED_VALUE"""),"")</f>
        <v/>
      </c>
      <c r="CJ16" s="144">
        <v>46153.0</v>
      </c>
      <c r="CK16" s="167" t="str">
        <f t="shared" si="27"/>
        <v/>
      </c>
      <c r="CL16" s="168" t="str">
        <f t="shared" ref="CL16:CL17" si="71">IF(ISBLANK(BX16),"",BX16)</f>
        <v/>
      </c>
      <c r="CM16" s="169" t="str">
        <f t="shared" si="58"/>
        <v/>
      </c>
      <c r="CN16" s="172" t="str">
        <f t="shared" ref="CN16:CN17" si="72">IF(ISBLANK(BZ16),"",BZ16)</f>
        <v/>
      </c>
      <c r="CO16" s="171" t="str">
        <f t="array" ref="CO16">IFERROR(IF(CI16="ac"+ISNUMBER(SEARCH("'",CN16))+CM16="","", IF(ISNUMBER(SEARCH("lw",CN16)), CA16 + SUBSTITUTE(CN16,"lw+",""), MROUND(SWITCH(CI16,"sq",CM$7,"bn",CN$7,"dl",CO$7,"")*IF(CN16&gt;10, CN16/100, VLOOKUP(CN16, _rpe,SUBSTITUTE(CM16,"+","")+1,0)), IF( SWITCH(CI16,"sq",CM$7,"bn",CN$7,"dl", CO$7,"")&lt; IF(_uom="lbs", 175, 80), 1.25, IF(_uom="lbs",5,2.5))))), "")</f>
        <v/>
      </c>
      <c r="CP16" s="148"/>
      <c r="CQ16" s="38"/>
      <c r="CR16" s="171"/>
      <c r="CS16" s="124" t="str">
        <f>IFERROR(__xludf.DUMMYFUNCTION("IF(CO16=MAX(FILTER(CO$10:CO$199,LOOKUP(ROW(CI$10:CI$199),FILTER(ROW(CI$10:CI$199),CI$10:CI$199&lt;&gt;CI$9:CI$198))=LOOKUP(ROW(CI16),FILTER(ROW(CI$10:CI$199),CI$10:CI$199&lt;&gt;CI$9:CI$198)))),CP16,)"),"")</f>
        <v/>
      </c>
      <c r="CT16" s="122"/>
      <c r="CU16" s="38"/>
      <c r="CV16" s="143" t="str">
        <f t="shared" si="22"/>
        <v/>
      </c>
      <c r="CW16" s="38" t="str">
        <f>IFERROR(__xludf.DUMMYFUNCTION("""COMPUTED_VALUE"""),"")</f>
        <v/>
      </c>
      <c r="CX16" s="144">
        <v>46160.0</v>
      </c>
      <c r="CY16" s="167" t="str">
        <f t="shared" si="28"/>
        <v/>
      </c>
      <c r="CZ16" s="168" t="str">
        <f t="shared" si="59"/>
        <v/>
      </c>
      <c r="DA16" s="169" t="str">
        <f t="shared" si="60"/>
        <v/>
      </c>
      <c r="DB16" s="172" t="str">
        <f t="shared" ref="DB16:DB17" si="73">IF(ISBLANK(CN16),"",CN16)</f>
        <v/>
      </c>
      <c r="DC16" s="171" t="str">
        <f t="array" ref="DC16">IFERROR(IF(CW16="ac"+ISNUMBER(SEARCH("'",DB16))+DA16="","", IF(ISNUMBER(SEARCH("lw",DB16)), CO16 + SUBSTITUTE(DB16,"lw+",""), MROUND(SWITCH(CW16,"sq",DA$7,"bn",DB$7,"dl",DC$7,"")*IF(DB16&gt;10, DB16/100, VLOOKUP(DB16, _rpe,SUBSTITUTE(DA16,"+","")+1,0)), IF( SWITCH(CW16,"sq",DA$7,"bn",DB$7,"dl", DC$7,"")&lt; IF(_uom="lbs", 175, 80), 1.25, IF(_uom="lbs",5,2.5))))), "")</f>
        <v/>
      </c>
      <c r="DD16" s="148"/>
      <c r="DE16" s="38"/>
      <c r="DF16" s="171"/>
      <c r="DG16" s="124" t="str">
        <f>IFERROR(__xludf.DUMMYFUNCTION("IF(DC16=MAX(FILTER(DC$10:DC$199,LOOKUP(ROW(CW$10:CW$199),FILTER(ROW(CW$10:CW$199),CW$10:CW$199&lt;&gt;CW$9:CW$198))=LOOKUP(ROW(CW16),FILTER(ROW(CW$10:CW$199),CW$10:CW$199&lt;&gt;CW$9:CW$198)))),DD16,)"),"")</f>
        <v/>
      </c>
      <c r="DH16" s="122"/>
      <c r="DI16" s="38"/>
      <c r="DJ16" s="143" t="str">
        <f t="shared" si="23"/>
        <v/>
      </c>
      <c r="DK16" s="38" t="str">
        <f>IFERROR(__xludf.DUMMYFUNCTION("""COMPUTED_VALUE"""),"")</f>
        <v/>
      </c>
      <c r="DL16" s="144">
        <v>46167.0</v>
      </c>
      <c r="DM16" s="167" t="str">
        <f t="shared" si="29"/>
        <v/>
      </c>
      <c r="DN16" s="168" t="str">
        <f t="shared" ref="DN16:DN21" si="74">IF(ISBLANK(CZ16),"",CZ16)</f>
        <v/>
      </c>
      <c r="DO16" s="169" t="str">
        <f t="shared" ref="DO16:DO17" si="75">IF( OR(ISBLANK(DA16),DA16=""),"", DA16)</f>
        <v/>
      </c>
      <c r="DP16" s="172" t="str">
        <f t="shared" ref="DP16:DP17" si="76">IF(ISBLANK(DB16),"",DB16)</f>
        <v/>
      </c>
      <c r="DQ16" s="171" t="str">
        <f t="array" ref="DQ16">IFERROR(IF(DK16="ac"+ISNUMBER(SEARCH("'",DP16))+DO16="","", IF(ISNUMBER(SEARCH("lw",DP16)), DC16 + SUBSTITUTE(DP16,"lw+",""), MROUND(SWITCH(DK16,"sq",DO$7,"bn",DP$7,"dl",DQ$7,"")*IF(DP16&gt;10, DP16/100, VLOOKUP(DP16, _rpe,SUBSTITUTE(DO16,"+","")+1,0)), IF( SWITCH(DK16,"sq",DO$7,"bn",DP$7,"dl", DQ$7,"")&lt; IF(_uom="lbs", 175, 80), 1.25, IF(_uom="lbs",5,2.5))))), "")</f>
        <v/>
      </c>
      <c r="DR16" s="148"/>
      <c r="DS16" s="38"/>
      <c r="DT16" s="171"/>
      <c r="DU16" s="124" t="str">
        <f>IFERROR(__xludf.DUMMYFUNCTION("IF(DQ16=MAX(FILTER(DQ$10:DQ$199,LOOKUP(ROW(DK$10:DK$199),FILTER(ROW(DK$10:DK$199),DK$10:DK$199&lt;&gt;DK$9:DK$198))=LOOKUP(ROW(DK16),FILTER(ROW(DK$10:DK$199),DK$10:DK$199&lt;&gt;DK$9:DK$198)))),DR16,)"),"")</f>
        <v/>
      </c>
      <c r="DV16" s="122"/>
      <c r="DW16" s="38"/>
      <c r="DX16" s="143"/>
      <c r="DY16" s="38"/>
      <c r="DZ16" s="144"/>
      <c r="EA16" s="150"/>
      <c r="EB16" s="174"/>
      <c r="EC16" s="175"/>
      <c r="ED16" s="176"/>
      <c r="EE16" s="155"/>
      <c r="EF16" s="148"/>
      <c r="EG16" s="38"/>
      <c r="EH16" s="155"/>
      <c r="EI16" s="148"/>
      <c r="EJ16" s="33"/>
      <c r="EK16" s="38"/>
      <c r="EL16" s="143"/>
      <c r="EM16" s="38"/>
      <c r="EN16" s="144"/>
      <c r="EO16" s="150"/>
      <c r="EP16" s="174"/>
      <c r="EQ16" s="175"/>
      <c r="ER16" s="176"/>
      <c r="ES16" s="155"/>
      <c r="ET16" s="148"/>
      <c r="EU16" s="38"/>
      <c r="EV16" s="155"/>
      <c r="EW16" s="148"/>
      <c r="EX16" s="33"/>
      <c r="EY16" s="38"/>
      <c r="EZ16" s="143"/>
      <c r="FA16" s="38"/>
      <c r="FB16" s="144"/>
      <c r="FC16" s="150"/>
      <c r="FD16" s="174"/>
      <c r="FE16" s="175"/>
      <c r="FF16" s="176"/>
      <c r="FG16" s="155"/>
      <c r="FH16" s="148"/>
      <c r="FI16" s="38"/>
      <c r="FJ16" s="155"/>
      <c r="FK16" s="148"/>
      <c r="FL16" s="33"/>
      <c r="FM16" s="38"/>
      <c r="FN16" s="143"/>
      <c r="FO16" s="38"/>
      <c r="FP16" s="144"/>
      <c r="FQ16" s="150"/>
      <c r="FR16" s="174"/>
      <c r="FS16" s="175"/>
      <c r="FT16" s="176"/>
      <c r="FU16" s="155"/>
      <c r="FV16" s="148"/>
      <c r="FW16" s="38"/>
      <c r="FX16" s="155"/>
      <c r="FY16" s="148"/>
      <c r="FZ16" s="33"/>
      <c r="GA16" s="38"/>
      <c r="GB16" s="143"/>
      <c r="GC16" s="38"/>
      <c r="GD16" s="144"/>
      <c r="GE16" s="150"/>
      <c r="GF16" s="174"/>
      <c r="GG16" s="175"/>
      <c r="GH16" s="176"/>
      <c r="GI16" s="155"/>
      <c r="GJ16" s="148"/>
      <c r="GK16" s="38"/>
      <c r="GL16" s="155"/>
      <c r="GM16" s="148"/>
      <c r="GN16" s="33"/>
      <c r="GO16" s="38"/>
      <c r="GP16" s="143"/>
      <c r="GQ16" s="38"/>
      <c r="GR16" s="144"/>
      <c r="GS16" s="150"/>
      <c r="GT16" s="174"/>
      <c r="GU16" s="175"/>
      <c r="GV16" s="176"/>
      <c r="GW16" s="155"/>
      <c r="GX16" s="148"/>
      <c r="GY16" s="38"/>
      <c r="GZ16" s="155"/>
      <c r="HA16" s="148"/>
      <c r="HB16" s="33"/>
      <c r="HC16" s="38"/>
      <c r="HD16" s="143"/>
      <c r="HE16" s="38"/>
      <c r="HF16" s="144"/>
      <c r="HG16" s="150"/>
      <c r="HH16" s="174"/>
      <c r="HI16" s="175"/>
      <c r="HJ16" s="176"/>
      <c r="HK16" s="155"/>
      <c r="HL16" s="148"/>
      <c r="HM16" s="38"/>
      <c r="HN16" s="155"/>
      <c r="HO16" s="148"/>
      <c r="HP16" s="33"/>
      <c r="HQ16" s="38"/>
      <c r="HR16" s="143"/>
      <c r="HS16" s="38"/>
      <c r="HT16" s="144"/>
      <c r="HU16" s="150"/>
      <c r="HV16" s="174"/>
      <c r="HW16" s="175"/>
      <c r="HX16" s="176"/>
      <c r="HY16" s="155"/>
      <c r="HZ16" s="148"/>
      <c r="IA16" s="38"/>
      <c r="IB16" s="155"/>
      <c r="IC16" s="148"/>
      <c r="ID16" s="33"/>
      <c r="IE16" s="38"/>
      <c r="IF16" s="143"/>
      <c r="IG16" s="38"/>
      <c r="IH16" s="144"/>
      <c r="II16" s="150"/>
      <c r="IJ16" s="174"/>
      <c r="IK16" s="175"/>
      <c r="IL16" s="176"/>
      <c r="IM16" s="155"/>
      <c r="IN16" s="148"/>
      <c r="IO16" s="38"/>
      <c r="IP16" s="155"/>
      <c r="IQ16" s="148"/>
      <c r="IR16" s="33"/>
      <c r="IS16" s="38"/>
      <c r="IT16" s="143"/>
      <c r="IU16" s="38"/>
      <c r="IV16" s="144"/>
      <c r="IW16" s="143" t="str">
        <f t="shared" si="24"/>
        <v>#REF!</v>
      </c>
      <c r="IX16" s="38"/>
      <c r="IY16" s="144" t="e">
        <v>#REF!</v>
      </c>
    </row>
    <row r="17" hidden="1" outlineLevel="1">
      <c r="A17" s="33"/>
      <c r="B17" s="143"/>
      <c r="C17" s="38" t="str">
        <f>IFERROR(__xludf.DUMMYFUNCTION("""COMPUTED_VALUE"""),"")</f>
        <v/>
      </c>
      <c r="D17" s="144">
        <v>46111.0</v>
      </c>
      <c r="E17" s="167"/>
      <c r="F17" s="168"/>
      <c r="G17" s="169"/>
      <c r="H17" s="170"/>
      <c r="I17" s="171" t="str">
        <f t="array" ref="I17">IFERROR(IF(C17="ac"+ISNUMBER(SEARCH("'",H17))+G17="","", MROUND(SWITCH(C17,"sq",'Personal Info'!$O$15,"bn",'Personal Info'!$S$15,"dl",'Personal Info'!$W$15,"")*IF(H17&gt;10, H17/100, VLOOKUP(H17, _rpe,SUBSTITUTE(G17,"+","")+1,0)), IF( SWITCH(C17:C210,"sq",'Personal Info'!$O$15,"bn",'Personal Info'!$S$15,"dl", 'Personal Info'!$W$15,"")&lt; IF(_uom="lbs", 175, 80), 1.25, IF(_uom="lbs",5,2.5)))),"")</f>
        <v/>
      </c>
      <c r="J17" s="148"/>
      <c r="K17" s="33"/>
      <c r="L17" s="171"/>
      <c r="M17" s="124" t="str">
        <f>IFERROR(__xludf.DUMMYFUNCTION("IF(I17=MAX(FILTER(I$10:I$199,LOOKUP(ROW(C$10:C$199),FILTER(ROW(C$10:C$199),C$10:C$199&lt;&gt;C$9:C$198))=LOOKUP(ROW(C17),FILTER(ROW(C$10:C$199),C$10:C$199&lt;&gt;C$9:C$198)))),J17,)"),"")</f>
        <v/>
      </c>
      <c r="N17" s="122"/>
      <c r="O17" s="38"/>
      <c r="P17" s="143" t="str">
        <f t="shared" si="12"/>
        <v/>
      </c>
      <c r="Q17" s="38" t="str">
        <f>IFERROR(__xludf.DUMMYFUNCTION("""COMPUTED_VALUE"""),"")</f>
        <v/>
      </c>
      <c r="R17" s="144">
        <v>46118.0</v>
      </c>
      <c r="S17" s="167" t="str">
        <f t="shared" si="13"/>
        <v/>
      </c>
      <c r="T17" s="168" t="str">
        <f t="shared" si="61"/>
        <v/>
      </c>
      <c r="U17" s="169" t="str">
        <f t="shared" si="31"/>
        <v/>
      </c>
      <c r="V17" s="172" t="str">
        <f t="shared" si="62"/>
        <v/>
      </c>
      <c r="W17" s="171" t="str">
        <f t="array" ref="W17">IFERROR(IF(Q17="ac"+ISNUMBER(SEARCH("'",V17))+U17="","", IF(ISNUMBER(SEARCH("lw",V17)), I17 + SUBSTITUTE(V17,"lw+",""), MROUND(SWITCH(Q17,"sq",U$7,"bn",V$7,"dl",W$7,"")*IF(V17&gt;10, V17/100, VLOOKUP(V17, _rpe,SUBSTITUTE(U17,"+","")+1,0)), IF( SWITCH(Q17,"sq",U$7,"bn",V$7,"dl", W$7,"")&lt; IF(_uom="lbs", 175, 80), 1.25, IF(_uom="lbs",5,2.5))))), "")</f>
        <v/>
      </c>
      <c r="X17" s="148"/>
      <c r="Y17" s="33"/>
      <c r="Z17" s="171"/>
      <c r="AA17" s="124" t="str">
        <f>IFERROR(__xludf.DUMMYFUNCTION("IF(W17=MAX(FILTER(W$10:W$199,LOOKUP(ROW(Q$10:Q$199),FILTER(ROW(Q$10:Q$199),Q$10:Q$199&lt;&gt;Q$9:Q$198))=LOOKUP(ROW(Q17),FILTER(ROW(Q$10:Q$199),Q$10:Q$199&lt;&gt;Q$9:Q$198)))),X17,)"),"")</f>
        <v/>
      </c>
      <c r="AB17" s="122"/>
      <c r="AC17" s="38"/>
      <c r="AD17" s="143" t="str">
        <f t="shared" si="14"/>
        <v/>
      </c>
      <c r="AE17" s="38" t="str">
        <f>IFERROR(__xludf.DUMMYFUNCTION("""COMPUTED_VALUE"""),"")</f>
        <v/>
      </c>
      <c r="AF17" s="144">
        <v>46125.0</v>
      </c>
      <c r="AG17" s="167" t="str">
        <f t="shared" si="54"/>
        <v/>
      </c>
      <c r="AH17" s="168" t="str">
        <f t="shared" si="55"/>
        <v/>
      </c>
      <c r="AI17" s="169" t="str">
        <f t="shared" si="56"/>
        <v/>
      </c>
      <c r="AJ17" s="172" t="str">
        <f t="shared" si="63"/>
        <v/>
      </c>
      <c r="AK17" s="171" t="str">
        <f t="array" ref="AK17">IFERROR(IF(AE17="ac"+ISNUMBER(SEARCH("'",AJ17))+AI17="","", IF(ISNUMBER(SEARCH("lw",AJ17)), W17 + SUBSTITUTE(AJ17,"lw+",""), MROUND(SWITCH(AE17,"sq",AI$7,"bn",AJ$7,"dl",AK$7,"")*IF(AJ17&gt;10, AJ17/100, VLOOKUP(AJ17, _rpe,SUBSTITUTE(AI17,"+","")+1,0)), IF( SWITCH(AE17,"sq",AI$7,"bn",AJ$7,"dl", AK$7,"")&lt; IF(_uom="lbs", 175, 80), 1.25, IF(_uom="lbs",5,2.5))))), "")</f>
        <v/>
      </c>
      <c r="AL17" s="148"/>
      <c r="AM17" s="33"/>
      <c r="AN17" s="171"/>
      <c r="AO17" s="124" t="str">
        <f>IFERROR(__xludf.DUMMYFUNCTION("IF(AK17=MAX(FILTER(AK$10:AK$199,LOOKUP(ROW(AE$10:AE$199),FILTER(ROW(AE$10:AE$199),AE$10:AE$199&lt;&gt;AE$9:AE$198))=LOOKUP(ROW(AE17),FILTER(ROW(AE$10:AE$199),AE$10:AE$199&lt;&gt;AE$9:AE$198)))),AL17,)"),"")</f>
        <v/>
      </c>
      <c r="AP17" s="122"/>
      <c r="AQ17" s="38"/>
      <c r="AR17" s="143" t="str">
        <f t="shared" si="16"/>
        <v/>
      </c>
      <c r="AS17" s="38" t="str">
        <f>IFERROR(__xludf.DUMMYFUNCTION("""COMPUTED_VALUE"""),"")</f>
        <v/>
      </c>
      <c r="AT17" s="144">
        <v>46132.0</v>
      </c>
      <c r="AU17" s="167" t="str">
        <f t="shared" si="26"/>
        <v/>
      </c>
      <c r="AV17" s="168" t="str">
        <f t="shared" si="57"/>
        <v/>
      </c>
      <c r="AW17" s="169" t="str">
        <f t="shared" si="64"/>
        <v/>
      </c>
      <c r="AX17" s="172" t="str">
        <f t="shared" si="65"/>
        <v/>
      </c>
      <c r="AY17" s="171" t="str">
        <f t="array" ref="AY17">IFERROR(IF(AS17="ac"+ISNUMBER(SEARCH("'",AX17))+AW17="","", IF(ISNUMBER(SEARCH("lw",AX17)), AK17 + SUBSTITUTE(AX17,"lw+",""), MROUND(SWITCH(AS17,"sq",AW$7,"bn",AX$7,"dl",AY$7,"")*IF(AX17&gt;10, AX17/100, VLOOKUP(AX17, _rpe,SUBSTITUTE(AW17,"+","")+1,0)), IF( SWITCH(AS17,"sq",AW$7,"bn",AX$7,"dl", AY$7,"")&lt; IF(_uom="lbs", 175, 80), 1.25, IF(_uom="lbs",5,2.5))))), "")</f>
        <v/>
      </c>
      <c r="AZ17" s="148"/>
      <c r="BA17" s="33"/>
      <c r="BB17" s="171"/>
      <c r="BC17" s="124" t="str">
        <f>IFERROR(__xludf.DUMMYFUNCTION("IF(AY17=MAX(FILTER(AY$10:AY$199,LOOKUP(ROW(AS$10:AS$199),FILTER(ROW(AS$10:AS$199),AS$10:AS$199&lt;&gt;AS$9:AS$198))=LOOKUP(ROW(AS17),FILTER(ROW(AS$10:AS$199),AS$10:AS$199&lt;&gt;AS$9:AS$198)))),AZ17,)"),"")</f>
        <v/>
      </c>
      <c r="BD17" s="122"/>
      <c r="BE17" s="38"/>
      <c r="BF17" s="143" t="str">
        <f t="shared" si="17"/>
        <v/>
      </c>
      <c r="BG17" s="38" t="str">
        <f>IFERROR(__xludf.DUMMYFUNCTION("""COMPUTED_VALUE"""),"")</f>
        <v/>
      </c>
      <c r="BH17" s="144">
        <v>46139.0</v>
      </c>
      <c r="BI17" s="167" t="str">
        <f t="shared" si="18"/>
        <v/>
      </c>
      <c r="BJ17" s="168" t="str">
        <f t="shared" si="66"/>
        <v/>
      </c>
      <c r="BK17" s="169" t="str">
        <f t="shared" si="67"/>
        <v/>
      </c>
      <c r="BL17" s="172"/>
      <c r="BM17" s="171" t="str">
        <f t="array" ref="BM17">IFERROR(IF(BG17="ac"+ISNUMBER(SEARCH("'",BL17))+BK17="","", IF(ISNUMBER(SEARCH("lw",BL17)), AY17 + SUBSTITUTE(BL17,"lw+",""), MROUND(SWITCH(BG17,"sq",BK$7,"bn",BL$7,"dl",BM$7,"")*IF(BL17&gt;10, BL17/100, VLOOKUP(BL17, _rpe,SUBSTITUTE(BK17,"+","")+1,0)), IF( SWITCH(BG17,"sq",BK$7,"bn",BL$7,"dl", BM$7,"")&lt; IF(_uom="lbs", 175, 80), 1.25, IF(_uom="lbs",5,2.5))))), "")</f>
        <v/>
      </c>
      <c r="BN17" s="148"/>
      <c r="BO17" s="33"/>
      <c r="BP17" s="171"/>
      <c r="BQ17" s="124" t="str">
        <f>IFERROR(__xludf.DUMMYFUNCTION("IF(BM17=MAX(FILTER(BM$10:BM$199,LOOKUP(ROW(BG$10:BG$199),FILTER(ROW(BG$10:BG$199),BG$10:BG$199&lt;&gt;BG$9:BG$198))=LOOKUP(ROW(BG17),FILTER(ROW(BG$10:BG$199),BG$10:BG$199&lt;&gt;BG$9:BG$198)))),BN17,)"),"")</f>
        <v/>
      </c>
      <c r="BR17" s="122"/>
      <c r="BS17" s="38"/>
      <c r="BT17" s="143" t="str">
        <f t="shared" si="19"/>
        <v/>
      </c>
      <c r="BU17" s="38" t="str">
        <f>IFERROR(__xludf.DUMMYFUNCTION("""COMPUTED_VALUE"""),"")</f>
        <v/>
      </c>
      <c r="BV17" s="144">
        <v>46146.0</v>
      </c>
      <c r="BW17" s="167" t="str">
        <f t="shared" si="20"/>
        <v/>
      </c>
      <c r="BX17" s="168" t="str">
        <f t="shared" si="68"/>
        <v/>
      </c>
      <c r="BY17" s="169" t="str">
        <f t="shared" si="69"/>
        <v/>
      </c>
      <c r="BZ17" s="172" t="str">
        <f t="shared" si="70"/>
        <v/>
      </c>
      <c r="CA17" s="171" t="str">
        <f t="array" ref="CA17">IFERROR(IF(BU17="ac"+ISNUMBER(SEARCH("'",BZ17))+BY17="","", IF(ISNUMBER(SEARCH("lw",BZ17)), BM17 + SUBSTITUTE(BZ17,"lw+",""), MROUND(SWITCH(BU17,"sq",BY$7,"bn",BZ$7,"dl",CA$7,"")*IF(BZ17&gt;10, BZ17/100, VLOOKUP(BZ17, _rpe,SUBSTITUTE(BY17,"+","")+1,0)), IF( SWITCH(BU17,"sq",BY$7,"bn",BZ$7,"dl", CA$7,"")&lt; IF(_uom="lbs", 175, 80), 1.25, IF(_uom="lbs",5,2.5))))), "")</f>
        <v/>
      </c>
      <c r="CB17" s="148"/>
      <c r="CC17" s="33"/>
      <c r="CD17" s="171"/>
      <c r="CE17" s="124" t="str">
        <f>IFERROR(__xludf.DUMMYFUNCTION("IF(CA17=MAX(FILTER(CA$10:CA$199,LOOKUP(ROW(BU$10:BU$199),FILTER(ROW(BU$10:BU$199),BU$10:BU$199&lt;&gt;BU$9:BU$198))=LOOKUP(ROW(BU17),FILTER(ROW(BU$10:BU$199),BU$10:BU$199&lt;&gt;BU$9:BU$198)))),CB17,)"),"")</f>
        <v/>
      </c>
      <c r="CF17" s="122"/>
      <c r="CG17" s="38"/>
      <c r="CH17" s="143" t="str">
        <f t="shared" si="21"/>
        <v/>
      </c>
      <c r="CI17" s="38" t="str">
        <f>IFERROR(__xludf.DUMMYFUNCTION("""COMPUTED_VALUE"""),"")</f>
        <v/>
      </c>
      <c r="CJ17" s="144">
        <v>46153.0</v>
      </c>
      <c r="CK17" s="167" t="str">
        <f t="shared" si="27"/>
        <v/>
      </c>
      <c r="CL17" s="168" t="str">
        <f t="shared" si="71"/>
        <v/>
      </c>
      <c r="CM17" s="169" t="str">
        <f t="shared" si="58"/>
        <v/>
      </c>
      <c r="CN17" s="172" t="str">
        <f t="shared" si="72"/>
        <v/>
      </c>
      <c r="CO17" s="171" t="str">
        <f t="array" ref="CO17">IFERROR(IF(CI17="ac"+ISNUMBER(SEARCH("'",CN17))+CM17="","", IF(ISNUMBER(SEARCH("lw",CN17)), CA17 + SUBSTITUTE(CN17,"lw+",""), MROUND(SWITCH(CI17,"sq",CM$7,"bn",CN$7,"dl",CO$7,"")*IF(CN17&gt;10, CN17/100, VLOOKUP(CN17, _rpe,SUBSTITUTE(CM17,"+","")+1,0)), IF( SWITCH(CI17,"sq",CM$7,"bn",CN$7,"dl", CO$7,"")&lt; IF(_uom="lbs", 175, 80), 1.25, IF(_uom="lbs",5,2.5))))), "")</f>
        <v/>
      </c>
      <c r="CP17" s="148"/>
      <c r="CQ17" s="33"/>
      <c r="CR17" s="171"/>
      <c r="CS17" s="124" t="str">
        <f>IFERROR(__xludf.DUMMYFUNCTION("IF(CO17=MAX(FILTER(CO$10:CO$199,LOOKUP(ROW(CI$10:CI$199),FILTER(ROW(CI$10:CI$199),CI$10:CI$199&lt;&gt;CI$9:CI$198))=LOOKUP(ROW(CI17),FILTER(ROW(CI$10:CI$199),CI$10:CI$199&lt;&gt;CI$9:CI$198)))),CP17,)"),"")</f>
        <v/>
      </c>
      <c r="CT17" s="122"/>
      <c r="CU17" s="38"/>
      <c r="CV17" s="143" t="str">
        <f t="shared" si="22"/>
        <v/>
      </c>
      <c r="CW17" s="38" t="str">
        <f>IFERROR(__xludf.DUMMYFUNCTION("""COMPUTED_VALUE"""),"")</f>
        <v/>
      </c>
      <c r="CX17" s="144">
        <v>46160.0</v>
      </c>
      <c r="CY17" s="167" t="str">
        <f t="shared" si="28"/>
        <v/>
      </c>
      <c r="CZ17" s="168" t="str">
        <f t="shared" si="59"/>
        <v/>
      </c>
      <c r="DA17" s="169" t="str">
        <f t="shared" si="60"/>
        <v/>
      </c>
      <c r="DB17" s="172" t="str">
        <f t="shared" si="73"/>
        <v/>
      </c>
      <c r="DC17" s="171" t="str">
        <f t="array" ref="DC17">IFERROR(IF(CW17="ac"+ISNUMBER(SEARCH("'",DB17))+DA17="","", IF(ISNUMBER(SEARCH("lw",DB17)), CO17 + SUBSTITUTE(DB17,"lw+",""), MROUND(SWITCH(CW17,"sq",DA$7,"bn",DB$7,"dl",DC$7,"")*IF(DB17&gt;10, DB17/100, VLOOKUP(DB17, _rpe,SUBSTITUTE(DA17,"+","")+1,0)), IF( SWITCH(CW17,"sq",DA$7,"bn",DB$7,"dl", DC$7,"")&lt; IF(_uom="lbs", 175, 80), 1.25, IF(_uom="lbs",5,2.5))))), "")</f>
        <v/>
      </c>
      <c r="DD17" s="148"/>
      <c r="DE17" s="33"/>
      <c r="DF17" s="171"/>
      <c r="DG17" s="124" t="str">
        <f>IFERROR(__xludf.DUMMYFUNCTION("IF(DC17=MAX(FILTER(DC$10:DC$199,LOOKUP(ROW(CW$10:CW$199),FILTER(ROW(CW$10:CW$199),CW$10:CW$199&lt;&gt;CW$9:CW$198))=LOOKUP(ROW(CW17),FILTER(ROW(CW$10:CW$199),CW$10:CW$199&lt;&gt;CW$9:CW$198)))),DD17,)"),"")</f>
        <v/>
      </c>
      <c r="DH17" s="122"/>
      <c r="DI17" s="38"/>
      <c r="DJ17" s="143" t="str">
        <f t="shared" si="23"/>
        <v/>
      </c>
      <c r="DK17" s="38" t="str">
        <f>IFERROR(__xludf.DUMMYFUNCTION("""COMPUTED_VALUE"""),"")</f>
        <v/>
      </c>
      <c r="DL17" s="144">
        <v>46167.0</v>
      </c>
      <c r="DM17" s="167" t="str">
        <f t="shared" si="29"/>
        <v/>
      </c>
      <c r="DN17" s="168" t="str">
        <f t="shared" si="74"/>
        <v/>
      </c>
      <c r="DO17" s="169" t="str">
        <f t="shared" si="75"/>
        <v/>
      </c>
      <c r="DP17" s="172" t="str">
        <f t="shared" si="76"/>
        <v/>
      </c>
      <c r="DQ17" s="171" t="str">
        <f t="array" ref="DQ17">IFERROR(IF(DK17="ac"+ISNUMBER(SEARCH("'",DP17))+DO17="","", IF(ISNUMBER(SEARCH("lw",DP17)), DC17 + SUBSTITUTE(DP17,"lw+",""), MROUND(SWITCH(DK17,"sq",DO$7,"bn",DP$7,"dl",DQ$7,"")*IF(DP17&gt;10, DP17/100, VLOOKUP(DP17, _rpe,SUBSTITUTE(DO17,"+","")+1,0)), IF( SWITCH(DK17,"sq",DO$7,"bn",DP$7,"dl", DQ$7,"")&lt; IF(_uom="lbs", 175, 80), 1.25, IF(_uom="lbs",5,2.5))))), "")</f>
        <v/>
      </c>
      <c r="DR17" s="148"/>
      <c r="DS17" s="33"/>
      <c r="DT17" s="171"/>
      <c r="DU17" s="124" t="str">
        <f>IFERROR(__xludf.DUMMYFUNCTION("IF(DQ17=MAX(FILTER(DQ$10:DQ$199,LOOKUP(ROW(DK$10:DK$199),FILTER(ROW(DK$10:DK$199),DK$10:DK$199&lt;&gt;DK$9:DK$198))=LOOKUP(ROW(DK17),FILTER(ROW(DK$10:DK$199),DK$10:DK$199&lt;&gt;DK$9:DK$198)))),DR17,)"),"")</f>
        <v/>
      </c>
      <c r="DV17" s="122"/>
      <c r="DW17" s="38"/>
      <c r="DX17" s="143"/>
      <c r="DY17" s="38"/>
      <c r="DZ17" s="144"/>
      <c r="EA17" s="150"/>
      <c r="EB17" s="174"/>
      <c r="EC17" s="175"/>
      <c r="ED17" s="176"/>
      <c r="EE17" s="155"/>
      <c r="EF17" s="148"/>
      <c r="EG17" s="33"/>
      <c r="EH17" s="155"/>
      <c r="EI17" s="148"/>
      <c r="EJ17" s="33"/>
      <c r="EK17" s="38"/>
      <c r="EL17" s="143"/>
      <c r="EM17" s="38"/>
      <c r="EN17" s="144"/>
      <c r="EO17" s="150"/>
      <c r="EP17" s="174"/>
      <c r="EQ17" s="175"/>
      <c r="ER17" s="176"/>
      <c r="ES17" s="155"/>
      <c r="ET17" s="148"/>
      <c r="EU17" s="33"/>
      <c r="EV17" s="155"/>
      <c r="EW17" s="148"/>
      <c r="EX17" s="33"/>
      <c r="EY17" s="38"/>
      <c r="EZ17" s="143"/>
      <c r="FA17" s="38"/>
      <c r="FB17" s="144"/>
      <c r="FC17" s="150"/>
      <c r="FD17" s="174"/>
      <c r="FE17" s="175"/>
      <c r="FF17" s="176"/>
      <c r="FG17" s="155"/>
      <c r="FH17" s="148"/>
      <c r="FI17" s="33"/>
      <c r="FJ17" s="155"/>
      <c r="FK17" s="148"/>
      <c r="FL17" s="33"/>
      <c r="FM17" s="38"/>
      <c r="FN17" s="143"/>
      <c r="FO17" s="38"/>
      <c r="FP17" s="144"/>
      <c r="FQ17" s="150"/>
      <c r="FR17" s="174"/>
      <c r="FS17" s="175"/>
      <c r="FT17" s="176"/>
      <c r="FU17" s="155"/>
      <c r="FV17" s="148"/>
      <c r="FW17" s="33"/>
      <c r="FX17" s="155"/>
      <c r="FY17" s="148"/>
      <c r="FZ17" s="33"/>
      <c r="GA17" s="38"/>
      <c r="GB17" s="143"/>
      <c r="GC17" s="38"/>
      <c r="GD17" s="144"/>
      <c r="GE17" s="150"/>
      <c r="GF17" s="174"/>
      <c r="GG17" s="175"/>
      <c r="GH17" s="176"/>
      <c r="GI17" s="155"/>
      <c r="GJ17" s="148"/>
      <c r="GK17" s="33"/>
      <c r="GL17" s="155"/>
      <c r="GM17" s="148"/>
      <c r="GN17" s="33"/>
      <c r="GO17" s="38"/>
      <c r="GP17" s="143"/>
      <c r="GQ17" s="38"/>
      <c r="GR17" s="144"/>
      <c r="GS17" s="150"/>
      <c r="GT17" s="174"/>
      <c r="GU17" s="175"/>
      <c r="GV17" s="176"/>
      <c r="GW17" s="155"/>
      <c r="GX17" s="148"/>
      <c r="GY17" s="33"/>
      <c r="GZ17" s="155"/>
      <c r="HA17" s="148"/>
      <c r="HB17" s="33"/>
      <c r="HC17" s="38"/>
      <c r="HD17" s="143"/>
      <c r="HE17" s="38"/>
      <c r="HF17" s="144"/>
      <c r="HG17" s="150"/>
      <c r="HH17" s="174"/>
      <c r="HI17" s="175"/>
      <c r="HJ17" s="176"/>
      <c r="HK17" s="155"/>
      <c r="HL17" s="148"/>
      <c r="HM17" s="33"/>
      <c r="HN17" s="155"/>
      <c r="HO17" s="148"/>
      <c r="HP17" s="33"/>
      <c r="HQ17" s="38"/>
      <c r="HR17" s="143"/>
      <c r="HS17" s="38"/>
      <c r="HT17" s="144"/>
      <c r="HU17" s="150"/>
      <c r="HV17" s="174"/>
      <c r="HW17" s="175"/>
      <c r="HX17" s="176"/>
      <c r="HY17" s="155"/>
      <c r="HZ17" s="148"/>
      <c r="IA17" s="33"/>
      <c r="IB17" s="155"/>
      <c r="IC17" s="148"/>
      <c r="ID17" s="33"/>
      <c r="IE17" s="38"/>
      <c r="IF17" s="143"/>
      <c r="IG17" s="38"/>
      <c r="IH17" s="144"/>
      <c r="II17" s="150"/>
      <c r="IJ17" s="174"/>
      <c r="IK17" s="175"/>
      <c r="IL17" s="176"/>
      <c r="IM17" s="155"/>
      <c r="IN17" s="148"/>
      <c r="IO17" s="33"/>
      <c r="IP17" s="155"/>
      <c r="IQ17" s="148"/>
      <c r="IR17" s="33"/>
      <c r="IS17" s="38"/>
      <c r="IT17" s="143"/>
      <c r="IU17" s="38"/>
      <c r="IV17" s="144"/>
      <c r="IW17" s="143" t="str">
        <f t="shared" si="24"/>
        <v>#REF!</v>
      </c>
      <c r="IX17" s="38"/>
      <c r="IY17" s="144" t="e">
        <v>#REF!</v>
      </c>
    </row>
    <row r="18" collapsed="1">
      <c r="A18" s="33"/>
      <c r="B18" s="143" t="s">
        <v>311</v>
      </c>
      <c r="C18" s="38" t="str">
        <f>IFERROR(__xludf.DUMMYFUNCTION("""COMPUTED_VALUE"""),"bn")</f>
        <v>bn</v>
      </c>
      <c r="D18" s="144">
        <v>46111.0</v>
      </c>
      <c r="E18" s="167" t="s">
        <v>128</v>
      </c>
      <c r="F18" s="168">
        <v>3.0</v>
      </c>
      <c r="G18" s="169">
        <v>6.0</v>
      </c>
      <c r="H18" s="173" t="s">
        <v>312</v>
      </c>
      <c r="I18" s="171" t="str">
        <f t="array" ref="I18">IFERROR(IF(C18="ac"+ISNUMBER(SEARCH("'",H18))+G18="","", MROUND(SWITCH(C18,"sq",'Personal Info'!$O$15,"bn",'Personal Info'!$S$15,"dl",'Personal Info'!$W$15,"")*IF(H18&gt;10, H18/100, VLOOKUP(H18, _rpe,SUBSTITUTE(G18,"+","")+1,0)), IF( SWITCH(C18:C210,"sq",'Personal Info'!$O$15,"bn",'Personal Info'!$S$15,"dl", 'Personal Info'!$W$15,"")&lt; IF(_uom="lbs", 175, 80), 1.25, IF(_uom="lbs",5,2.5)))),"")</f>
        <v/>
      </c>
      <c r="J18" s="148"/>
      <c r="K18" s="33"/>
      <c r="L18" s="171"/>
      <c r="M18" s="124" t="str">
        <f>IFERROR(__xludf.DUMMYFUNCTION("IF(I18=MAX(FILTER(I$10:I$199,LOOKUP(ROW(C$10:C$199),FILTER(ROW(C$10:C$199),C$10:C$199&lt;&gt;C$9:C$198))=LOOKUP(ROW(C18),FILTER(ROW(C$10:C$199),C$10:C$199&lt;&gt;C$9:C$198)))),J18,)"),"")</f>
        <v/>
      </c>
      <c r="N18" s="122"/>
      <c r="O18" s="38"/>
      <c r="P18" s="143" t="str">
        <f t="shared" si="12"/>
        <v>chest/tricep acc</v>
      </c>
      <c r="Q18" s="38" t="str">
        <f>IFERROR(__xludf.DUMMYFUNCTION("""COMPUTED_VALUE"""),"bn")</f>
        <v>bn</v>
      </c>
      <c r="R18" s="144">
        <v>46118.0</v>
      </c>
      <c r="S18" s="167" t="str">
        <f t="shared" si="13"/>
        <v>Close Grip Bench Press</v>
      </c>
      <c r="T18" s="168">
        <v>3.0</v>
      </c>
      <c r="U18" s="169">
        <v>6.0</v>
      </c>
      <c r="V18" s="173" t="s">
        <v>307</v>
      </c>
      <c r="W18" s="171" t="str">
        <f t="array" ref="W18">IFERROR(IF(Q18="ac"+ISNUMBER(SEARCH("'",V18))+U18="","", IF(ISNUMBER(SEARCH("lw",V18)), I18 + SUBSTITUTE(V18,"lw+",""), MROUND(SWITCH(Q18,"sq",U$7,"bn",V$7,"dl",W$7,"")*IF(V18&gt;10, V18/100, VLOOKUP(V18, _rpe,SUBSTITUTE(U18,"+","")+1,0)), IF( SWITCH(Q18,"sq",U$7,"bn",V$7,"dl", W$7,"")&lt; IF(_uom="lbs", 175, 80), 1.25, IF(_uom="lbs",5,2.5))))), "")</f>
        <v/>
      </c>
      <c r="X18" s="148"/>
      <c r="Y18" s="33"/>
      <c r="Z18" s="171"/>
      <c r="AA18" s="124" t="str">
        <f>IFERROR(__xludf.DUMMYFUNCTION("IF(W18=MAX(FILTER(W$10:W$199,LOOKUP(ROW(Q$10:Q$199),FILTER(ROW(Q$10:Q$199),Q$10:Q$199&lt;&gt;Q$9:Q$198))=LOOKUP(ROW(Q18),FILTER(ROW(Q$10:Q$199),Q$10:Q$199&lt;&gt;Q$9:Q$198)))),X18,)"),"")</f>
        <v/>
      </c>
      <c r="AB18" s="122"/>
      <c r="AC18" s="38"/>
      <c r="AD18" s="143" t="str">
        <f t="shared" si="14"/>
        <v>chest/tricep acc</v>
      </c>
      <c r="AE18" s="38" t="str">
        <f>IFERROR(__xludf.DUMMYFUNCTION("""COMPUTED_VALUE"""),"bn")</f>
        <v>bn</v>
      </c>
      <c r="AF18" s="144">
        <v>46125.0</v>
      </c>
      <c r="AG18" s="167" t="str">
        <f t="shared" si="54"/>
        <v>Close Grip Bench Press</v>
      </c>
      <c r="AH18" s="168">
        <v>3.0</v>
      </c>
      <c r="AI18" s="169">
        <v>6.0</v>
      </c>
      <c r="AJ18" s="173" t="s">
        <v>313</v>
      </c>
      <c r="AK18" s="171" t="str">
        <f t="array" ref="AK18">IFERROR(IF(AE18="ac"+ISNUMBER(SEARCH("'",AJ18))+AI18="","", IF(ISNUMBER(SEARCH("lw",AJ18)), W18 + SUBSTITUTE(AJ18,"lw+",""), MROUND(SWITCH(AE18,"sq",AI$7,"bn",AJ$7,"dl",AK$7,"")*IF(AJ18&gt;10, AJ18/100, VLOOKUP(AJ18, _rpe,SUBSTITUTE(AI18,"+","")+1,0)), IF( SWITCH(AE18,"sq",AI$7,"bn",AJ$7,"dl", AK$7,"")&lt; IF(_uom="lbs", 175, 80), 1.25, IF(_uom="lbs",5,2.5))))), "")</f>
        <v/>
      </c>
      <c r="AL18" s="148"/>
      <c r="AM18" s="33"/>
      <c r="AN18" s="171"/>
      <c r="AO18" s="124" t="str">
        <f>IFERROR(__xludf.DUMMYFUNCTION("IF(AK18=MAX(FILTER(AK$10:AK$199,LOOKUP(ROW(AE$10:AE$199),FILTER(ROW(AE$10:AE$199),AE$10:AE$199&lt;&gt;AE$9:AE$198))=LOOKUP(ROW(AE18),FILTER(ROW(AE$10:AE$199),AE$10:AE$199&lt;&gt;AE$9:AE$198)))),AL18,)"),"")</f>
        <v/>
      </c>
      <c r="AP18" s="122"/>
      <c r="AQ18" s="38"/>
      <c r="AR18" s="143" t="str">
        <f t="shared" si="16"/>
        <v>chest/tricep acc</v>
      </c>
      <c r="AS18" s="38" t="str">
        <f>IFERROR(__xludf.DUMMYFUNCTION("""COMPUTED_VALUE"""),"bn")</f>
        <v>bn</v>
      </c>
      <c r="AT18" s="144">
        <v>46132.0</v>
      </c>
      <c r="AU18" s="167" t="str">
        <f t="shared" si="26"/>
        <v>Close Grip Bench Press</v>
      </c>
      <c r="AV18" s="168">
        <f t="shared" si="57"/>
        <v>3</v>
      </c>
      <c r="AW18" s="169">
        <v>6.0</v>
      </c>
      <c r="AX18" s="173" t="s">
        <v>308</v>
      </c>
      <c r="AY18" s="171" t="str">
        <f t="array" ref="AY18">IFERROR(IF(AS18="ac"+ISNUMBER(SEARCH("'",AX18))+AW18="","", IF(ISNUMBER(SEARCH("lw",AX18)), AK18 + SUBSTITUTE(AX18,"lw+",""), MROUND(SWITCH(AS18,"sq",AW$7,"bn",AX$7,"dl",AY$7,"")*IF(AX18&gt;10, AX18/100, VLOOKUP(AX18, _rpe,SUBSTITUTE(AW18,"+","")+1,0)), IF( SWITCH(AS18,"sq",AW$7,"bn",AX$7,"dl", AY$7,"")&lt; IF(_uom="lbs", 175, 80), 1.25, IF(_uom="lbs",5,2.5))))), "")</f>
        <v/>
      </c>
      <c r="AZ18" s="148"/>
      <c r="BA18" s="33"/>
      <c r="BB18" s="171"/>
      <c r="BC18" s="124" t="str">
        <f>IFERROR(__xludf.DUMMYFUNCTION("IF(AY18=MAX(FILTER(AY$10:AY$199,LOOKUP(ROW(AS$10:AS$199),FILTER(ROW(AS$10:AS$199),AS$10:AS$199&lt;&gt;AS$9:AS$198))=LOOKUP(ROW(AS18),FILTER(ROW(AS$10:AS$199),AS$10:AS$199&lt;&gt;AS$9:AS$198)))),AZ18,)"),"")</f>
        <v/>
      </c>
      <c r="BD18" s="122"/>
      <c r="BE18" s="38"/>
      <c r="BF18" s="143" t="str">
        <f t="shared" si="17"/>
        <v>chest/tricep acc</v>
      </c>
      <c r="BG18" s="38" t="str">
        <f>IFERROR(__xludf.DUMMYFUNCTION("""COMPUTED_VALUE"""),"bn")</f>
        <v>bn</v>
      </c>
      <c r="BH18" s="144">
        <v>46139.0</v>
      </c>
      <c r="BI18" s="167" t="str">
        <f t="shared" si="18"/>
        <v>Close Grip Bench Press</v>
      </c>
      <c r="BJ18" s="168">
        <v>2.0</v>
      </c>
      <c r="BK18" s="169">
        <v>5.0</v>
      </c>
      <c r="BL18" s="173" t="s">
        <v>312</v>
      </c>
      <c r="BM18" s="171" t="str">
        <f t="array" ref="BM18">IFERROR(IF(BG18="ac"+ISNUMBER(SEARCH("'",BL18))+BK18="","", IF(ISNUMBER(SEARCH("lw",BL18)), AY18 + SUBSTITUTE(BL18,"lw+",""), MROUND(SWITCH(BG18,"sq",BK$7,"bn",BL$7,"dl",BM$7,"")*IF(BL18&gt;10, BL18/100, VLOOKUP(BL18, _rpe,SUBSTITUTE(BK18,"+","")+1,0)), IF( SWITCH(BG18,"sq",BK$7,"bn",BL$7,"dl", BM$7,"")&lt; IF(_uom="lbs", 175, 80), 1.25, IF(_uom="lbs",5,2.5))))), "")</f>
        <v/>
      </c>
      <c r="BN18" s="148"/>
      <c r="BO18" s="33"/>
      <c r="BP18" s="171"/>
      <c r="BQ18" s="124" t="str">
        <f>IFERROR(__xludf.DUMMYFUNCTION("IF(BM18=MAX(FILTER(BM$10:BM$199,LOOKUP(ROW(BG$10:BG$199),FILTER(ROW(BG$10:BG$199),BG$10:BG$199&lt;&gt;BG$9:BG$198))=LOOKUP(ROW(BG18),FILTER(ROW(BG$10:BG$199),BG$10:BG$199&lt;&gt;BG$9:BG$198)))),BN18,)"),"")</f>
        <v/>
      </c>
      <c r="BR18" s="122"/>
      <c r="BS18" s="38"/>
      <c r="BT18" s="143" t="str">
        <f t="shared" si="19"/>
        <v>chest/tricep acc</v>
      </c>
      <c r="BU18" s="38" t="str">
        <f>IFERROR(__xludf.DUMMYFUNCTION("""COMPUTED_VALUE"""),"bn")</f>
        <v>bn</v>
      </c>
      <c r="BV18" s="144">
        <v>46146.0</v>
      </c>
      <c r="BW18" s="167" t="str">
        <f t="shared" si="20"/>
        <v>Close Grip Bench Press</v>
      </c>
      <c r="BX18" s="168">
        <v>3.0</v>
      </c>
      <c r="BY18" s="169">
        <v>5.0</v>
      </c>
      <c r="BZ18" s="173" t="s">
        <v>312</v>
      </c>
      <c r="CA18" s="171" t="str">
        <f t="array" ref="CA18">IFERROR(IF(BU18="ac"+ISNUMBER(SEARCH("'",BZ18))+BY18="","", IF(ISNUMBER(SEARCH("lw",BZ18)), BM18 + SUBSTITUTE(BZ18,"lw+",""), MROUND(SWITCH(BU18,"sq",BY$7,"bn",BZ$7,"dl",CA$7,"")*IF(BZ18&gt;10, BZ18/100, VLOOKUP(BZ18, _rpe,SUBSTITUTE(BY18,"+","")+1,0)), IF( SWITCH(BU18,"sq",BY$7,"bn",BZ$7,"dl", CA$7,"")&lt; IF(_uom="lbs", 175, 80), 1.25, IF(_uom="lbs",5,2.5))))), "")</f>
        <v/>
      </c>
      <c r="CB18" s="148"/>
      <c r="CC18" s="33"/>
      <c r="CD18" s="171"/>
      <c r="CE18" s="124" t="str">
        <f>IFERROR(__xludf.DUMMYFUNCTION("IF(CA18=MAX(FILTER(CA$10:CA$199,LOOKUP(ROW(BU$10:BU$199),FILTER(ROW(BU$10:BU$199),BU$10:BU$199&lt;&gt;BU$9:BU$198))=LOOKUP(ROW(BU18),FILTER(ROW(BU$10:BU$199),BU$10:BU$199&lt;&gt;BU$9:BU$198)))),CB18,)"),"")</f>
        <v/>
      </c>
      <c r="CF18" s="122"/>
      <c r="CG18" s="38"/>
      <c r="CH18" s="143" t="str">
        <f t="shared" si="21"/>
        <v>chest/tricep acc</v>
      </c>
      <c r="CI18" s="38" t="str">
        <f>IFERROR(__xludf.DUMMYFUNCTION("""COMPUTED_VALUE"""),"bn")</f>
        <v>bn</v>
      </c>
      <c r="CJ18" s="144">
        <v>46153.0</v>
      </c>
      <c r="CK18" s="167" t="str">
        <f t="shared" si="27"/>
        <v>Close Grip Bench Press</v>
      </c>
      <c r="CL18" s="168">
        <v>3.0</v>
      </c>
      <c r="CM18" s="169">
        <v>5.0</v>
      </c>
      <c r="CN18" s="173" t="s">
        <v>312</v>
      </c>
      <c r="CO18" s="171" t="str">
        <f t="array" ref="CO18">IFERROR(IF(CI18="ac"+ISNUMBER(SEARCH("'",CN18))+CM18="","", IF(ISNUMBER(SEARCH("lw",CN18)), CA18 + SUBSTITUTE(CN18,"lw+",""), MROUND(SWITCH(CI18,"sq",CM$7,"bn",CN$7,"dl",CO$7,"")*IF(CN18&gt;10, CN18/100, VLOOKUP(CN18, _rpe,SUBSTITUTE(CM18,"+","")+1,0)), IF( SWITCH(CI18,"sq",CM$7,"bn",CN$7,"dl", CO$7,"")&lt; IF(_uom="lbs", 175, 80), 1.25, IF(_uom="lbs",5,2.5))))), "")</f>
        <v/>
      </c>
      <c r="CP18" s="148"/>
      <c r="CQ18" s="33"/>
      <c r="CR18" s="171"/>
      <c r="CS18" s="124" t="str">
        <f>IFERROR(__xludf.DUMMYFUNCTION("IF(CO18=MAX(FILTER(CO$10:CO$199,LOOKUP(ROW(CI$10:CI$199),FILTER(ROW(CI$10:CI$199),CI$10:CI$199&lt;&gt;CI$9:CI$198))=LOOKUP(ROW(CI18),FILTER(ROW(CI$10:CI$199),CI$10:CI$199&lt;&gt;CI$9:CI$198)))),CP18,)"),"")</f>
        <v/>
      </c>
      <c r="CT18" s="122"/>
      <c r="CU18" s="38"/>
      <c r="CV18" s="143" t="str">
        <f t="shared" si="22"/>
        <v>chest/tricep acc</v>
      </c>
      <c r="CW18" s="38" t="str">
        <f>IFERROR(__xludf.DUMMYFUNCTION("""COMPUTED_VALUE"""),"bn")</f>
        <v>bn</v>
      </c>
      <c r="CX18" s="144">
        <v>46160.0</v>
      </c>
      <c r="CY18" s="167" t="str">
        <f t="shared" si="28"/>
        <v>Close Grip Bench Press</v>
      </c>
      <c r="CZ18" s="168">
        <v>3.0</v>
      </c>
      <c r="DA18" s="169">
        <v>5.0</v>
      </c>
      <c r="DB18" s="173" t="s">
        <v>312</v>
      </c>
      <c r="DC18" s="171" t="str">
        <f t="array" ref="DC18">IFERROR(IF(CW18="ac"+ISNUMBER(SEARCH("'",DB18))+DA18="","", IF(ISNUMBER(SEARCH("lw",DB18)), CO18 + SUBSTITUTE(DB18,"lw+",""), MROUND(SWITCH(CW18,"sq",DA$7,"bn",DB$7,"dl",DC$7,"")*IF(DB18&gt;10, DB18/100, VLOOKUP(DB18, _rpe,SUBSTITUTE(DA18,"+","")+1,0)), IF( SWITCH(CW18,"sq",DA$7,"bn",DB$7,"dl", DC$7,"")&lt; IF(_uom="lbs", 175, 80), 1.25, IF(_uom="lbs",5,2.5))))), "")</f>
        <v/>
      </c>
      <c r="DD18" s="148"/>
      <c r="DE18" s="33"/>
      <c r="DF18" s="171"/>
      <c r="DG18" s="124" t="str">
        <f>IFERROR(__xludf.DUMMYFUNCTION("IF(DC18=MAX(FILTER(DC$10:DC$199,LOOKUP(ROW(CW$10:CW$199),FILTER(ROW(CW$10:CW$199),CW$10:CW$199&lt;&gt;CW$9:CW$198))=LOOKUP(ROW(CW18),FILTER(ROW(CW$10:CW$199),CW$10:CW$199&lt;&gt;CW$9:CW$198)))),DD18,)"),"")</f>
        <v/>
      </c>
      <c r="DH18" s="122"/>
      <c r="DI18" s="38"/>
      <c r="DJ18" s="143" t="str">
        <f t="shared" si="23"/>
        <v>chest/tricep acc</v>
      </c>
      <c r="DK18" s="38" t="str">
        <f>IFERROR(__xludf.DUMMYFUNCTION("""COMPUTED_VALUE"""),"bn")</f>
        <v>bn</v>
      </c>
      <c r="DL18" s="144">
        <v>46167.0</v>
      </c>
      <c r="DM18" s="167" t="str">
        <f t="shared" si="29"/>
        <v>Close Grip Bench Press</v>
      </c>
      <c r="DN18" s="168">
        <f t="shared" si="74"/>
        <v>3</v>
      </c>
      <c r="DO18" s="169">
        <v>5.0</v>
      </c>
      <c r="DP18" s="173" t="s">
        <v>312</v>
      </c>
      <c r="DQ18" s="171" t="str">
        <f t="array" ref="DQ18">IFERROR(IF(DK18="ac"+ISNUMBER(SEARCH("'",DP18))+DO18="","", IF(ISNUMBER(SEARCH("lw",DP18)), DC18 + SUBSTITUTE(DP18,"lw+",""), MROUND(SWITCH(DK18,"sq",DO$7,"bn",DP$7,"dl",DQ$7,"")*IF(DP18&gt;10, DP18/100, VLOOKUP(DP18, _rpe,SUBSTITUTE(DO18,"+","")+1,0)), IF( SWITCH(DK18,"sq",DO$7,"bn",DP$7,"dl", DQ$7,"")&lt; IF(_uom="lbs", 175, 80), 1.25, IF(_uom="lbs",5,2.5))))), "")</f>
        <v/>
      </c>
      <c r="DR18" s="148"/>
      <c r="DS18" s="33"/>
      <c r="DT18" s="171"/>
      <c r="DU18" s="124" t="str">
        <f>IFERROR(__xludf.DUMMYFUNCTION("IF(DQ18=MAX(FILTER(DQ$10:DQ$199,LOOKUP(ROW(DK$10:DK$199),FILTER(ROW(DK$10:DK$199),DK$10:DK$199&lt;&gt;DK$9:DK$198))=LOOKUP(ROW(DK18),FILTER(ROW(DK$10:DK$199),DK$10:DK$199&lt;&gt;DK$9:DK$198)))),DR18,)"),"")</f>
        <v/>
      </c>
      <c r="DV18" s="122"/>
      <c r="DW18" s="38"/>
      <c r="DX18" s="143"/>
      <c r="DY18" s="38"/>
      <c r="DZ18" s="144"/>
      <c r="EA18" s="150"/>
      <c r="EB18" s="174"/>
      <c r="EC18" s="175"/>
      <c r="ED18" s="155"/>
      <c r="EE18" s="155"/>
      <c r="EF18" s="148"/>
      <c r="EG18" s="33"/>
      <c r="EH18" s="155"/>
      <c r="EI18" s="148"/>
      <c r="EJ18" s="33"/>
      <c r="EK18" s="38"/>
      <c r="EL18" s="143"/>
      <c r="EM18" s="38"/>
      <c r="EN18" s="144"/>
      <c r="EO18" s="150"/>
      <c r="EP18" s="174"/>
      <c r="EQ18" s="175"/>
      <c r="ER18" s="176"/>
      <c r="ES18" s="155"/>
      <c r="ET18" s="148"/>
      <c r="EU18" s="33"/>
      <c r="EV18" s="155"/>
      <c r="EW18" s="148"/>
      <c r="EX18" s="33"/>
      <c r="EY18" s="38"/>
      <c r="EZ18" s="143"/>
      <c r="FA18" s="38"/>
      <c r="FB18" s="144"/>
      <c r="FC18" s="150"/>
      <c r="FD18" s="174"/>
      <c r="FE18" s="175"/>
      <c r="FF18" s="176"/>
      <c r="FG18" s="155"/>
      <c r="FH18" s="148"/>
      <c r="FI18" s="33"/>
      <c r="FJ18" s="155"/>
      <c r="FK18" s="148"/>
      <c r="FL18" s="33"/>
      <c r="FM18" s="38"/>
      <c r="FN18" s="143"/>
      <c r="FO18" s="38"/>
      <c r="FP18" s="144"/>
      <c r="FQ18" s="150"/>
      <c r="FR18" s="174"/>
      <c r="FS18" s="175"/>
      <c r="FT18" s="176"/>
      <c r="FU18" s="155"/>
      <c r="FV18" s="148"/>
      <c r="FW18" s="33"/>
      <c r="FX18" s="155"/>
      <c r="FY18" s="148"/>
      <c r="FZ18" s="33"/>
      <c r="GA18" s="38"/>
      <c r="GB18" s="143"/>
      <c r="GC18" s="38"/>
      <c r="GD18" s="144"/>
      <c r="GE18" s="150"/>
      <c r="GF18" s="174"/>
      <c r="GG18" s="175"/>
      <c r="GH18" s="176"/>
      <c r="GI18" s="155"/>
      <c r="GJ18" s="148"/>
      <c r="GK18" s="33"/>
      <c r="GL18" s="155"/>
      <c r="GM18" s="148"/>
      <c r="GN18" s="33"/>
      <c r="GO18" s="38"/>
      <c r="GP18" s="143"/>
      <c r="GQ18" s="38"/>
      <c r="GR18" s="144"/>
      <c r="GS18" s="150"/>
      <c r="GT18" s="174"/>
      <c r="GU18" s="175"/>
      <c r="GV18" s="176"/>
      <c r="GW18" s="155"/>
      <c r="GX18" s="148"/>
      <c r="GY18" s="33"/>
      <c r="GZ18" s="155"/>
      <c r="HA18" s="148"/>
      <c r="HB18" s="33"/>
      <c r="HC18" s="38"/>
      <c r="HD18" s="143"/>
      <c r="HE18" s="38"/>
      <c r="HF18" s="144"/>
      <c r="HG18" s="150"/>
      <c r="HH18" s="174"/>
      <c r="HI18" s="175"/>
      <c r="HJ18" s="176"/>
      <c r="HK18" s="155"/>
      <c r="HL18" s="148"/>
      <c r="HM18" s="33"/>
      <c r="HN18" s="155"/>
      <c r="HO18" s="148"/>
      <c r="HP18" s="33"/>
      <c r="HQ18" s="38"/>
      <c r="HR18" s="143"/>
      <c r="HS18" s="38"/>
      <c r="HT18" s="144"/>
      <c r="HU18" s="150"/>
      <c r="HV18" s="174"/>
      <c r="HW18" s="175"/>
      <c r="HX18" s="176"/>
      <c r="HY18" s="155"/>
      <c r="HZ18" s="148"/>
      <c r="IA18" s="33"/>
      <c r="IB18" s="155"/>
      <c r="IC18" s="148"/>
      <c r="ID18" s="33"/>
      <c r="IE18" s="38"/>
      <c r="IF18" s="143"/>
      <c r="IG18" s="38"/>
      <c r="IH18" s="144"/>
      <c r="II18" s="150"/>
      <c r="IJ18" s="174"/>
      <c r="IK18" s="175"/>
      <c r="IL18" s="176"/>
      <c r="IM18" s="155"/>
      <c r="IN18" s="148"/>
      <c r="IO18" s="33"/>
      <c r="IP18" s="155"/>
      <c r="IQ18" s="148"/>
      <c r="IR18" s="33"/>
      <c r="IS18" s="38"/>
      <c r="IT18" s="143"/>
      <c r="IU18" s="38"/>
      <c r="IV18" s="144"/>
      <c r="IW18" s="143" t="str">
        <f t="shared" si="24"/>
        <v>#REF!</v>
      </c>
      <c r="IX18" s="38"/>
      <c r="IY18" s="144" t="e">
        <v>#REF!</v>
      </c>
    </row>
    <row r="19" hidden="1" outlineLevel="1">
      <c r="A19" s="33"/>
      <c r="B19" s="143"/>
      <c r="C19" s="38" t="str">
        <f>IFERROR(__xludf.DUMMYFUNCTION("""COMPUTED_VALUE"""),"")</f>
        <v/>
      </c>
      <c r="D19" s="144">
        <v>46111.0</v>
      </c>
      <c r="E19" s="167"/>
      <c r="F19" s="168"/>
      <c r="G19" s="169"/>
      <c r="H19" s="170"/>
      <c r="I19" s="171" t="str">
        <f t="array" ref="I19">IFERROR(IF(C19="ac"+ISNUMBER(SEARCH("'",H19))+G19="","", MROUND(SWITCH(C19,"sq",'Personal Info'!$O$15,"bn",'Personal Info'!$S$15,"dl",'Personal Info'!$W$15,"")*IF(H19&gt;10, H19/100, VLOOKUP(H19, _rpe,SUBSTITUTE(G19,"+","")+1,0)), IF( SWITCH(C19:C210,"sq",'Personal Info'!$O$15,"bn",'Personal Info'!$S$15,"dl", 'Personal Info'!$W$15,"")&lt; IF(_uom="lbs", 175, 80), 1.25, IF(_uom="lbs",5,2.5)))),"")</f>
        <v/>
      </c>
      <c r="J19" s="148"/>
      <c r="K19" s="33"/>
      <c r="L19" s="171"/>
      <c r="M19" s="124" t="str">
        <f>IFERROR(__xludf.DUMMYFUNCTION("IF(I19=MAX(FILTER(I$10:I$199,LOOKUP(ROW(C$10:C$199),FILTER(ROW(C$10:C$199),C$10:C$199&lt;&gt;C$9:C$198))=LOOKUP(ROW(C19),FILTER(ROW(C$10:C$199),C$10:C$199&lt;&gt;C$9:C$198)))),J19,)"),"")</f>
        <v/>
      </c>
      <c r="N19" s="122"/>
      <c r="O19" s="39"/>
      <c r="P19" s="143" t="str">
        <f t="shared" si="12"/>
        <v/>
      </c>
      <c r="Q19" s="38" t="str">
        <f>IFERROR(__xludf.DUMMYFUNCTION("""COMPUTED_VALUE"""),"")</f>
        <v/>
      </c>
      <c r="R19" s="144">
        <v>46118.0</v>
      </c>
      <c r="S19" s="167" t="str">
        <f t="shared" si="13"/>
        <v/>
      </c>
      <c r="T19" s="168" t="str">
        <f t="shared" ref="T19:T21" si="77">IF(ISBLANK(F19),"",F19)</f>
        <v/>
      </c>
      <c r="U19" s="169" t="str">
        <f t="shared" ref="U19:U21" si="78">IF( OR(ISBLANK(G19),G19=""),"", G19)</f>
        <v/>
      </c>
      <c r="V19" s="172" t="str">
        <f t="shared" ref="V19:V21" si="79">IF(ISBLANK(H19),"",H19)</f>
        <v/>
      </c>
      <c r="W19" s="171" t="str">
        <f t="array" ref="W19">IFERROR(IF(Q19="ac"+ISNUMBER(SEARCH("'",V19))+U19="","", IF(ISNUMBER(SEARCH("lw",V19)), I19 + SUBSTITUTE(V19,"lw+",""), MROUND(SWITCH(Q19,"sq",U$7,"bn",V$7,"dl",W$7,"")*IF(V19&gt;10, V19/100, VLOOKUP(V19, _rpe,SUBSTITUTE(U19,"+","")+1,0)), IF( SWITCH(Q19,"sq",U$7,"bn",V$7,"dl", W$7,"")&lt; IF(_uom="lbs", 175, 80), 1.25, IF(_uom="lbs",5,2.5))))), "")</f>
        <v/>
      </c>
      <c r="X19" s="148"/>
      <c r="Y19" s="33"/>
      <c r="Z19" s="171"/>
      <c r="AA19" s="124" t="str">
        <f>IFERROR(__xludf.DUMMYFUNCTION("IF(W19=MAX(FILTER(W$10:W$199,LOOKUP(ROW(Q$10:Q$199),FILTER(ROW(Q$10:Q$199),Q$10:Q$199&lt;&gt;Q$9:Q$198))=LOOKUP(ROW(Q19),FILTER(ROW(Q$10:Q$199),Q$10:Q$199&lt;&gt;Q$9:Q$198)))),X19,)"),"")</f>
        <v/>
      </c>
      <c r="AB19" s="122"/>
      <c r="AC19" s="39"/>
      <c r="AD19" s="143" t="str">
        <f t="shared" si="14"/>
        <v/>
      </c>
      <c r="AE19" s="38" t="str">
        <f>IFERROR(__xludf.DUMMYFUNCTION("""COMPUTED_VALUE"""),"")</f>
        <v/>
      </c>
      <c r="AF19" s="144">
        <v>46125.0</v>
      </c>
      <c r="AG19" s="167" t="str">
        <f t="shared" si="54"/>
        <v/>
      </c>
      <c r="AH19" s="168" t="str">
        <f t="shared" ref="AH19:AH21" si="80">IF(ISBLANK(T19),"",T19)</f>
        <v/>
      </c>
      <c r="AI19" s="169" t="str">
        <f t="shared" ref="AI19:AI21" si="81">IF( OR(ISBLANK(U19),U19=""),"", U19)</f>
        <v/>
      </c>
      <c r="AJ19" s="172" t="str">
        <f t="shared" ref="AJ19:AJ23" si="82">IF(ISBLANK(V19),"",V19)</f>
        <v/>
      </c>
      <c r="AK19" s="171" t="str">
        <f t="array" ref="AK19">IFERROR(IF(AE19="ac"+ISNUMBER(SEARCH("'",AJ19))+AI19="","", IF(ISNUMBER(SEARCH("lw",AJ19)), W19 + SUBSTITUTE(AJ19,"lw+",""), MROUND(SWITCH(AE19,"sq",AI$7,"bn",AJ$7,"dl",AK$7,"")*IF(AJ19&gt;10, AJ19/100, VLOOKUP(AJ19, _rpe,SUBSTITUTE(AI19,"+","")+1,0)), IF( SWITCH(AE19,"sq",AI$7,"bn",AJ$7,"dl", AK$7,"")&lt; IF(_uom="lbs", 175, 80), 1.25, IF(_uom="lbs",5,2.5))))), "")</f>
        <v/>
      </c>
      <c r="AL19" s="148"/>
      <c r="AM19" s="33"/>
      <c r="AN19" s="171"/>
      <c r="AO19" s="124" t="str">
        <f>IFERROR(__xludf.DUMMYFUNCTION("IF(AK19=MAX(FILTER(AK$10:AK$199,LOOKUP(ROW(AE$10:AE$199),FILTER(ROW(AE$10:AE$199),AE$10:AE$199&lt;&gt;AE$9:AE$198))=LOOKUP(ROW(AE19),FILTER(ROW(AE$10:AE$199),AE$10:AE$199&lt;&gt;AE$9:AE$198)))),AL19,)"),"")</f>
        <v/>
      </c>
      <c r="AP19" s="122"/>
      <c r="AQ19" s="39"/>
      <c r="AR19" s="143" t="str">
        <f t="shared" si="16"/>
        <v/>
      </c>
      <c r="AS19" s="38" t="str">
        <f>IFERROR(__xludf.DUMMYFUNCTION("""COMPUTED_VALUE"""),"")</f>
        <v/>
      </c>
      <c r="AT19" s="144">
        <v>46132.0</v>
      </c>
      <c r="AU19" s="167" t="str">
        <f t="shared" si="26"/>
        <v/>
      </c>
      <c r="AV19" s="168" t="str">
        <f t="shared" si="57"/>
        <v/>
      </c>
      <c r="AW19" s="169" t="str">
        <f t="shared" ref="AW19:AW21" si="83">IF( OR(ISBLANK(AI19),AI19=""),"", AI19)</f>
        <v/>
      </c>
      <c r="AX19" s="172" t="str">
        <f t="shared" ref="AX19:AX23" si="84">IF(ISBLANK(AJ19),"",AJ19)</f>
        <v/>
      </c>
      <c r="AY19" s="171" t="str">
        <f t="array" ref="AY19">IFERROR(IF(AS19="ac"+ISNUMBER(SEARCH("'",AX19))+AW19="","", IF(ISNUMBER(SEARCH("lw",AX19)), AK19 + SUBSTITUTE(AX19,"lw+",""), MROUND(SWITCH(AS19,"sq",AW$7,"bn",AX$7,"dl",AY$7,"")*IF(AX19&gt;10, AX19/100, VLOOKUP(AX19, _rpe,SUBSTITUTE(AW19,"+","")+1,0)), IF( SWITCH(AS19,"sq",AW$7,"bn",AX$7,"dl", AY$7,"")&lt; IF(_uom="lbs", 175, 80), 1.25, IF(_uom="lbs",5,2.5))))), "")</f>
        <v/>
      </c>
      <c r="AZ19" s="148"/>
      <c r="BA19" s="33"/>
      <c r="BB19" s="171"/>
      <c r="BC19" s="124" t="str">
        <f>IFERROR(__xludf.DUMMYFUNCTION("IF(AY19=MAX(FILTER(AY$10:AY$199,LOOKUP(ROW(AS$10:AS$199),FILTER(ROW(AS$10:AS$199),AS$10:AS$199&lt;&gt;AS$9:AS$198))=LOOKUP(ROW(AS19),FILTER(ROW(AS$10:AS$199),AS$10:AS$199&lt;&gt;AS$9:AS$198)))),AZ19,)"),"")</f>
        <v/>
      </c>
      <c r="BD19" s="122"/>
      <c r="BE19" s="39"/>
      <c r="BF19" s="143" t="str">
        <f t="shared" si="17"/>
        <v/>
      </c>
      <c r="BG19" s="38" t="str">
        <f>IFERROR(__xludf.DUMMYFUNCTION("""COMPUTED_VALUE"""),"")</f>
        <v/>
      </c>
      <c r="BH19" s="144">
        <v>46139.0</v>
      </c>
      <c r="BI19" s="167" t="str">
        <f t="shared" si="18"/>
        <v/>
      </c>
      <c r="BJ19" s="168" t="str">
        <f t="shared" ref="BJ19:BJ21" si="85">IF(ISBLANK(AV19),"",AV19)</f>
        <v/>
      </c>
      <c r="BK19" s="169" t="str">
        <f t="shared" ref="BK19:BK21" si="86">IF( OR(ISBLANK(AW19),AW19=""),"", AW19)</f>
        <v/>
      </c>
      <c r="BL19" s="172" t="str">
        <f t="shared" ref="BL19:BL21" si="87">IF(ISBLANK(AX19),"",AX19)</f>
        <v/>
      </c>
      <c r="BM19" s="171" t="str">
        <f t="array" ref="BM19">IFERROR(IF(BG19="ac"+ISNUMBER(SEARCH("'",BL19))+BK19="","", IF(ISNUMBER(SEARCH("lw",BL19)), AY19 + SUBSTITUTE(BL19,"lw+",""), MROUND(SWITCH(BG19,"sq",BK$7,"bn",BL$7,"dl",BM$7,"")*IF(BL19&gt;10, BL19/100, VLOOKUP(BL19, _rpe,SUBSTITUTE(BK19,"+","")+1,0)), IF( SWITCH(BG19,"sq",BK$7,"bn",BL$7,"dl", BM$7,"")&lt; IF(_uom="lbs", 175, 80), 1.25, IF(_uom="lbs",5,2.5))))), "")</f>
        <v/>
      </c>
      <c r="BN19" s="148"/>
      <c r="BO19" s="33"/>
      <c r="BP19" s="171"/>
      <c r="BQ19" s="124" t="str">
        <f>IFERROR(__xludf.DUMMYFUNCTION("IF(BM19=MAX(FILTER(BM$10:BM$199,LOOKUP(ROW(BG$10:BG$199),FILTER(ROW(BG$10:BG$199),BG$10:BG$199&lt;&gt;BG$9:BG$198))=LOOKUP(ROW(BG19),FILTER(ROW(BG$10:BG$199),BG$10:BG$199&lt;&gt;BG$9:BG$198)))),BN19,)"),"")</f>
        <v/>
      </c>
      <c r="BR19" s="122"/>
      <c r="BS19" s="39"/>
      <c r="BT19" s="143" t="str">
        <f t="shared" si="19"/>
        <v/>
      </c>
      <c r="BU19" s="38" t="str">
        <f>IFERROR(__xludf.DUMMYFUNCTION("""COMPUTED_VALUE"""),"")</f>
        <v/>
      </c>
      <c r="BV19" s="144">
        <v>46146.0</v>
      </c>
      <c r="BW19" s="167" t="str">
        <f t="shared" si="20"/>
        <v/>
      </c>
      <c r="BX19" s="168" t="str">
        <f t="shared" ref="BX19:BX21" si="88">IF(ISBLANK(BJ19),"",BJ19)</f>
        <v/>
      </c>
      <c r="BY19" s="169" t="str">
        <f t="shared" ref="BY19:BY21" si="89">IF( OR(ISBLANK(BK19),BK19=""),"", BK19)</f>
        <v/>
      </c>
      <c r="BZ19" s="172" t="str">
        <f t="shared" ref="BZ19:BZ21" si="90">IF(ISBLANK(BL19),"",BL19)</f>
        <v/>
      </c>
      <c r="CA19" s="171" t="str">
        <f t="array" ref="CA19">IFERROR(IF(BU19="ac"+ISNUMBER(SEARCH("'",BZ19))+BY19="","", IF(ISNUMBER(SEARCH("lw",BZ19)), BM19 + SUBSTITUTE(BZ19,"lw+",""), MROUND(SWITCH(BU19,"sq",BY$7,"bn",BZ$7,"dl",CA$7,"")*IF(BZ19&gt;10, BZ19/100, VLOOKUP(BZ19, _rpe,SUBSTITUTE(BY19,"+","")+1,0)), IF( SWITCH(BU19,"sq",BY$7,"bn",BZ$7,"dl", CA$7,"")&lt; IF(_uom="lbs", 175, 80), 1.25, IF(_uom="lbs",5,2.5))))), "")</f>
        <v/>
      </c>
      <c r="CB19" s="148"/>
      <c r="CC19" s="33"/>
      <c r="CD19" s="171"/>
      <c r="CE19" s="124" t="str">
        <f>IFERROR(__xludf.DUMMYFUNCTION("IF(CA19=MAX(FILTER(CA$10:CA$199,LOOKUP(ROW(BU$10:BU$199),FILTER(ROW(BU$10:BU$199),BU$10:BU$199&lt;&gt;BU$9:BU$198))=LOOKUP(ROW(BU19),FILTER(ROW(BU$10:BU$199),BU$10:BU$199&lt;&gt;BU$9:BU$198)))),CB19,)"),"")</f>
        <v/>
      </c>
      <c r="CF19" s="122"/>
      <c r="CG19" s="39"/>
      <c r="CH19" s="143" t="str">
        <f t="shared" si="21"/>
        <v/>
      </c>
      <c r="CI19" s="38" t="str">
        <f>IFERROR(__xludf.DUMMYFUNCTION("""COMPUTED_VALUE"""),"")</f>
        <v/>
      </c>
      <c r="CJ19" s="144">
        <v>46153.0</v>
      </c>
      <c r="CK19" s="167" t="str">
        <f t="shared" si="27"/>
        <v/>
      </c>
      <c r="CL19" s="168" t="str">
        <f t="shared" ref="CL19:CL31" si="91">IF(ISBLANK(BX19),"",BX19)</f>
        <v/>
      </c>
      <c r="CM19" s="169" t="str">
        <f t="shared" ref="CM19:CM21" si="92">IF( OR(ISBLANK(BY19),BY19=""),"", BY19)</f>
        <v/>
      </c>
      <c r="CN19" s="172" t="str">
        <f t="shared" ref="CN19:CN21" si="93">IF(ISBLANK(BZ19),"",BZ19)</f>
        <v/>
      </c>
      <c r="CO19" s="171" t="str">
        <f t="array" ref="CO19">IFERROR(IF(CI19="ac"+ISNUMBER(SEARCH("'",CN19))+CM19="","", IF(ISNUMBER(SEARCH("lw",CN19)), CA19 + SUBSTITUTE(CN19,"lw+",""), MROUND(SWITCH(CI19,"sq",CM$7,"bn",CN$7,"dl",CO$7,"")*IF(CN19&gt;10, CN19/100, VLOOKUP(CN19, _rpe,SUBSTITUTE(CM19,"+","")+1,0)), IF( SWITCH(CI19,"sq",CM$7,"bn",CN$7,"dl", CO$7,"")&lt; IF(_uom="lbs", 175, 80), 1.25, IF(_uom="lbs",5,2.5))))), "")</f>
        <v/>
      </c>
      <c r="CP19" s="148"/>
      <c r="CQ19" s="33"/>
      <c r="CR19" s="171"/>
      <c r="CS19" s="124" t="str">
        <f>IFERROR(__xludf.DUMMYFUNCTION("IF(CO19=MAX(FILTER(CO$10:CO$199,LOOKUP(ROW(CI$10:CI$199),FILTER(ROW(CI$10:CI$199),CI$10:CI$199&lt;&gt;CI$9:CI$198))=LOOKUP(ROW(CI19),FILTER(ROW(CI$10:CI$199),CI$10:CI$199&lt;&gt;CI$9:CI$198)))),CP19,)"),"")</f>
        <v/>
      </c>
      <c r="CT19" s="122"/>
      <c r="CU19" s="39"/>
      <c r="CV19" s="143" t="str">
        <f t="shared" si="22"/>
        <v/>
      </c>
      <c r="CW19" s="38" t="str">
        <f>IFERROR(__xludf.DUMMYFUNCTION("""COMPUTED_VALUE"""),"")</f>
        <v/>
      </c>
      <c r="CX19" s="144">
        <v>46160.0</v>
      </c>
      <c r="CY19" s="167" t="str">
        <f t="shared" si="28"/>
        <v/>
      </c>
      <c r="CZ19" s="168" t="str">
        <f t="shared" ref="CZ19:CZ31" si="94">IF(ISBLANK(CL19),"",CL19)</f>
        <v/>
      </c>
      <c r="DA19" s="169" t="str">
        <f t="shared" ref="DA19:DA21" si="95">IF( OR(ISBLANK(CM19),CM19=""),"", CM19)</f>
        <v/>
      </c>
      <c r="DB19" s="172" t="str">
        <f t="shared" ref="DB19:DB31" si="96">IF(ISBLANK(CN19),"",CN19)</f>
        <v/>
      </c>
      <c r="DC19" s="171" t="str">
        <f t="array" ref="DC19">IFERROR(IF(CW19="ac"+ISNUMBER(SEARCH("'",DB19))+DA19="","", IF(ISNUMBER(SEARCH("lw",DB19)), CO19 + SUBSTITUTE(DB19,"lw+",""), MROUND(SWITCH(CW19,"sq",DA$7,"bn",DB$7,"dl",DC$7,"")*IF(DB19&gt;10, DB19/100, VLOOKUP(DB19, _rpe,SUBSTITUTE(DA19,"+","")+1,0)), IF( SWITCH(CW19,"sq",DA$7,"bn",DB$7,"dl", DC$7,"")&lt; IF(_uom="lbs", 175, 80), 1.25, IF(_uom="lbs",5,2.5))))), "")</f>
        <v/>
      </c>
      <c r="DD19" s="148"/>
      <c r="DE19" s="33"/>
      <c r="DF19" s="171"/>
      <c r="DG19" s="124" t="str">
        <f>IFERROR(__xludf.DUMMYFUNCTION("IF(DC19=MAX(FILTER(DC$10:DC$199,LOOKUP(ROW(CW$10:CW$199),FILTER(ROW(CW$10:CW$199),CW$10:CW$199&lt;&gt;CW$9:CW$198))=LOOKUP(ROW(CW19),FILTER(ROW(CW$10:CW$199),CW$10:CW$199&lt;&gt;CW$9:CW$198)))),DD19,)"),"")</f>
        <v/>
      </c>
      <c r="DH19" s="122"/>
      <c r="DI19" s="39"/>
      <c r="DJ19" s="143" t="str">
        <f t="shared" si="23"/>
        <v/>
      </c>
      <c r="DK19" s="38" t="str">
        <f>IFERROR(__xludf.DUMMYFUNCTION("""COMPUTED_VALUE"""),"")</f>
        <v/>
      </c>
      <c r="DL19" s="144">
        <v>46167.0</v>
      </c>
      <c r="DM19" s="167" t="str">
        <f t="shared" si="29"/>
        <v/>
      </c>
      <c r="DN19" s="168" t="str">
        <f t="shared" si="74"/>
        <v/>
      </c>
      <c r="DO19" s="169" t="str">
        <f t="shared" ref="DO19:DO21" si="97">IF( OR(ISBLANK(DA19),DA19=""),"", DA19)</f>
        <v/>
      </c>
      <c r="DP19" s="172" t="str">
        <f t="shared" ref="DP19:DP21" si="98">IF(ISBLANK(DB19),"",DB19)</f>
        <v/>
      </c>
      <c r="DQ19" s="171" t="str">
        <f t="array" ref="DQ19">IFERROR(IF(DK19="ac"+ISNUMBER(SEARCH("'",DP19))+DO19="","", IF(ISNUMBER(SEARCH("lw",DP19)), DC19 + SUBSTITUTE(DP19,"lw+",""), MROUND(SWITCH(DK19,"sq",DO$7,"bn",DP$7,"dl",DQ$7,"")*IF(DP19&gt;10, DP19/100, VLOOKUP(DP19, _rpe,SUBSTITUTE(DO19,"+","")+1,0)), IF( SWITCH(DK19,"sq",DO$7,"bn",DP$7,"dl", DQ$7,"")&lt; IF(_uom="lbs", 175, 80), 1.25, IF(_uom="lbs",5,2.5))))), "")</f>
        <v/>
      </c>
      <c r="DR19" s="148"/>
      <c r="DS19" s="33"/>
      <c r="DT19" s="171"/>
      <c r="DU19" s="124" t="str">
        <f>IFERROR(__xludf.DUMMYFUNCTION("IF(DQ19=MAX(FILTER(DQ$10:DQ$199,LOOKUP(ROW(DK$10:DK$199),FILTER(ROW(DK$10:DK$199),DK$10:DK$199&lt;&gt;DK$9:DK$198))=LOOKUP(ROW(DK19),FILTER(ROW(DK$10:DK$199),DK$10:DK$199&lt;&gt;DK$9:DK$198)))),DR19,)"),"")</f>
        <v/>
      </c>
      <c r="DV19" s="122"/>
      <c r="DW19" s="39"/>
      <c r="DX19" s="143"/>
      <c r="DY19" s="38"/>
      <c r="DZ19" s="144"/>
      <c r="EA19" s="150"/>
      <c r="EB19" s="174"/>
      <c r="EC19" s="175"/>
      <c r="ED19" s="176"/>
      <c r="EE19" s="155"/>
      <c r="EF19" s="148"/>
      <c r="EG19" s="33"/>
      <c r="EH19" s="155"/>
      <c r="EI19" s="148"/>
      <c r="EJ19" s="33"/>
      <c r="EK19" s="39"/>
      <c r="EL19" s="143"/>
      <c r="EM19" s="38"/>
      <c r="EN19" s="144"/>
      <c r="EO19" s="150"/>
      <c r="EP19" s="174"/>
      <c r="EQ19" s="175"/>
      <c r="ER19" s="176"/>
      <c r="ES19" s="155"/>
      <c r="ET19" s="148"/>
      <c r="EU19" s="33"/>
      <c r="EV19" s="155"/>
      <c r="EW19" s="148"/>
      <c r="EX19" s="33"/>
      <c r="EY19" s="39"/>
      <c r="EZ19" s="143"/>
      <c r="FA19" s="38"/>
      <c r="FB19" s="144"/>
      <c r="FC19" s="150"/>
      <c r="FD19" s="174"/>
      <c r="FE19" s="175"/>
      <c r="FF19" s="176"/>
      <c r="FG19" s="155"/>
      <c r="FH19" s="148"/>
      <c r="FI19" s="33"/>
      <c r="FJ19" s="155"/>
      <c r="FK19" s="148"/>
      <c r="FL19" s="33"/>
      <c r="FM19" s="39"/>
      <c r="FN19" s="143"/>
      <c r="FO19" s="38"/>
      <c r="FP19" s="144"/>
      <c r="FQ19" s="150"/>
      <c r="FR19" s="174"/>
      <c r="FS19" s="175"/>
      <c r="FT19" s="176"/>
      <c r="FU19" s="155"/>
      <c r="FV19" s="148"/>
      <c r="FW19" s="33"/>
      <c r="FX19" s="155"/>
      <c r="FY19" s="148"/>
      <c r="FZ19" s="33"/>
      <c r="GA19" s="39"/>
      <c r="GB19" s="143"/>
      <c r="GC19" s="38"/>
      <c r="GD19" s="144"/>
      <c r="GE19" s="150"/>
      <c r="GF19" s="174"/>
      <c r="GG19" s="175"/>
      <c r="GH19" s="176"/>
      <c r="GI19" s="155"/>
      <c r="GJ19" s="148"/>
      <c r="GK19" s="33"/>
      <c r="GL19" s="155"/>
      <c r="GM19" s="148"/>
      <c r="GN19" s="33"/>
      <c r="GO19" s="39"/>
      <c r="GP19" s="143"/>
      <c r="GQ19" s="38"/>
      <c r="GR19" s="144"/>
      <c r="GS19" s="150"/>
      <c r="GT19" s="174"/>
      <c r="GU19" s="175"/>
      <c r="GV19" s="176"/>
      <c r="GW19" s="155"/>
      <c r="GX19" s="148"/>
      <c r="GY19" s="33"/>
      <c r="GZ19" s="155"/>
      <c r="HA19" s="148"/>
      <c r="HB19" s="33"/>
      <c r="HC19" s="39"/>
      <c r="HD19" s="143"/>
      <c r="HE19" s="38"/>
      <c r="HF19" s="144"/>
      <c r="HG19" s="150"/>
      <c r="HH19" s="174"/>
      <c r="HI19" s="175"/>
      <c r="HJ19" s="176"/>
      <c r="HK19" s="155"/>
      <c r="HL19" s="148"/>
      <c r="HM19" s="33"/>
      <c r="HN19" s="155"/>
      <c r="HO19" s="148"/>
      <c r="HP19" s="33"/>
      <c r="HQ19" s="39"/>
      <c r="HR19" s="143"/>
      <c r="HS19" s="38"/>
      <c r="HT19" s="144"/>
      <c r="HU19" s="150"/>
      <c r="HV19" s="174"/>
      <c r="HW19" s="175"/>
      <c r="HX19" s="176"/>
      <c r="HY19" s="155"/>
      <c r="HZ19" s="148"/>
      <c r="IA19" s="33"/>
      <c r="IB19" s="155"/>
      <c r="IC19" s="148"/>
      <c r="ID19" s="33"/>
      <c r="IE19" s="39"/>
      <c r="IF19" s="143"/>
      <c r="IG19" s="38"/>
      <c r="IH19" s="144"/>
      <c r="II19" s="150"/>
      <c r="IJ19" s="174"/>
      <c r="IK19" s="175"/>
      <c r="IL19" s="176"/>
      <c r="IM19" s="155"/>
      <c r="IN19" s="148"/>
      <c r="IO19" s="33"/>
      <c r="IP19" s="155"/>
      <c r="IQ19" s="148"/>
      <c r="IR19" s="33"/>
      <c r="IS19" s="39"/>
      <c r="IT19" s="143"/>
      <c r="IU19" s="38"/>
      <c r="IV19" s="144"/>
      <c r="IW19" s="143" t="str">
        <f t="shared" si="24"/>
        <v>#REF!</v>
      </c>
      <c r="IX19" s="38"/>
      <c r="IY19" s="144" t="e">
        <v>#REF!</v>
      </c>
    </row>
    <row r="20" hidden="1" outlineLevel="1">
      <c r="A20" s="33"/>
      <c r="B20" s="143"/>
      <c r="C20" s="38" t="str">
        <f>IFERROR(__xludf.DUMMYFUNCTION("""COMPUTED_VALUE"""),"")</f>
        <v/>
      </c>
      <c r="D20" s="144">
        <v>46111.0</v>
      </c>
      <c r="E20" s="167"/>
      <c r="F20" s="168"/>
      <c r="G20" s="169"/>
      <c r="H20" s="170"/>
      <c r="I20" s="171" t="str">
        <f t="array" ref="I20">IFERROR(IF(C20="ac"+ISNUMBER(SEARCH("'",H20))+G20="","", MROUND(SWITCH(C20,"sq",'Personal Info'!$O$15,"bn",'Personal Info'!$S$15,"dl",'Personal Info'!$W$15,"")*IF(H20&gt;10, H20/100, VLOOKUP(H20, _rpe,SUBSTITUTE(G20,"+","")+1,0)), IF( SWITCH(C20:C210,"sq",'Personal Info'!$O$15,"bn",'Personal Info'!$S$15,"dl", 'Personal Info'!$W$15,"")&lt; IF(_uom="lbs", 175, 80), 1.25, IF(_uom="lbs",5,2.5)))),"")</f>
        <v/>
      </c>
      <c r="J20" s="148"/>
      <c r="K20" s="38"/>
      <c r="L20" s="171"/>
      <c r="M20" s="124" t="str">
        <f>IFERROR(__xludf.DUMMYFUNCTION("IF(I20=MAX(FILTER(I$10:I$199,LOOKUP(ROW(C$10:C$199),FILTER(ROW(C$10:C$199),C$10:C$199&lt;&gt;C$9:C$198))=LOOKUP(ROW(C20),FILTER(ROW(C$10:C$199),C$10:C$199&lt;&gt;C$9:C$198)))),J20,)"),"")</f>
        <v/>
      </c>
      <c r="N20" s="122"/>
      <c r="O20" s="38"/>
      <c r="P20" s="143" t="str">
        <f t="shared" si="12"/>
        <v/>
      </c>
      <c r="Q20" s="38" t="str">
        <f>IFERROR(__xludf.DUMMYFUNCTION("""COMPUTED_VALUE"""),"")</f>
        <v/>
      </c>
      <c r="R20" s="144">
        <v>46118.0</v>
      </c>
      <c r="S20" s="167" t="str">
        <f t="shared" si="13"/>
        <v/>
      </c>
      <c r="T20" s="168" t="str">
        <f t="shared" si="77"/>
        <v/>
      </c>
      <c r="U20" s="169" t="str">
        <f t="shared" si="78"/>
        <v/>
      </c>
      <c r="V20" s="172" t="str">
        <f t="shared" si="79"/>
        <v/>
      </c>
      <c r="W20" s="171" t="str">
        <f t="array" ref="W20">IFERROR(IF(Q20="ac"+ISNUMBER(SEARCH("'",V20))+U20="","", IF(ISNUMBER(SEARCH("lw",V20)), I20 + SUBSTITUTE(V20,"lw+",""), MROUND(SWITCH(Q20,"sq",U$7,"bn",V$7,"dl",W$7,"")*IF(V20&gt;10, V20/100, VLOOKUP(V20, _rpe,SUBSTITUTE(U20,"+","")+1,0)), IF( SWITCH(Q20,"sq",U$7,"bn",V$7,"dl", W$7,"")&lt; IF(_uom="lbs", 175, 80), 1.25, IF(_uom="lbs",5,2.5))))), "")</f>
        <v/>
      </c>
      <c r="X20" s="148"/>
      <c r="Y20" s="38"/>
      <c r="Z20" s="171"/>
      <c r="AA20" s="124" t="str">
        <f>IFERROR(__xludf.DUMMYFUNCTION("IF(W20=MAX(FILTER(W$10:W$199,LOOKUP(ROW(Q$10:Q$199),FILTER(ROW(Q$10:Q$199),Q$10:Q$199&lt;&gt;Q$9:Q$198))=LOOKUP(ROW(Q20),FILTER(ROW(Q$10:Q$199),Q$10:Q$199&lt;&gt;Q$9:Q$198)))),X20,)"),"")</f>
        <v/>
      </c>
      <c r="AB20" s="122"/>
      <c r="AC20" s="38"/>
      <c r="AD20" s="143" t="str">
        <f t="shared" si="14"/>
        <v/>
      </c>
      <c r="AE20" s="38" t="str">
        <f>IFERROR(__xludf.DUMMYFUNCTION("""COMPUTED_VALUE"""),"")</f>
        <v/>
      </c>
      <c r="AF20" s="144">
        <v>46125.0</v>
      </c>
      <c r="AG20" s="167" t="str">
        <f t="shared" si="54"/>
        <v/>
      </c>
      <c r="AH20" s="168" t="str">
        <f t="shared" si="80"/>
        <v/>
      </c>
      <c r="AI20" s="169" t="str">
        <f t="shared" si="81"/>
        <v/>
      </c>
      <c r="AJ20" s="172" t="str">
        <f t="shared" si="82"/>
        <v/>
      </c>
      <c r="AK20" s="171" t="str">
        <f t="array" ref="AK20">IFERROR(IF(AE20="ac"+ISNUMBER(SEARCH("'",AJ20))+AI20="","", IF(ISNUMBER(SEARCH("lw",AJ20)), W20 + SUBSTITUTE(AJ20,"lw+",""), MROUND(SWITCH(AE20,"sq",AI$7,"bn",AJ$7,"dl",AK$7,"")*IF(AJ20&gt;10, AJ20/100, VLOOKUP(AJ20, _rpe,SUBSTITUTE(AI20,"+","")+1,0)), IF( SWITCH(AE20,"sq",AI$7,"bn",AJ$7,"dl", AK$7,"")&lt; IF(_uom="lbs", 175, 80), 1.25, IF(_uom="lbs",5,2.5))))), "")</f>
        <v/>
      </c>
      <c r="AL20" s="148"/>
      <c r="AM20" s="38"/>
      <c r="AN20" s="171"/>
      <c r="AO20" s="124" t="str">
        <f>IFERROR(__xludf.DUMMYFUNCTION("IF(AK20=MAX(FILTER(AK$10:AK$199,LOOKUP(ROW(AE$10:AE$199),FILTER(ROW(AE$10:AE$199),AE$10:AE$199&lt;&gt;AE$9:AE$198))=LOOKUP(ROW(AE20),FILTER(ROW(AE$10:AE$199),AE$10:AE$199&lt;&gt;AE$9:AE$198)))),AL20,)"),"")</f>
        <v/>
      </c>
      <c r="AP20" s="122"/>
      <c r="AQ20" s="38"/>
      <c r="AR20" s="143" t="str">
        <f t="shared" si="16"/>
        <v/>
      </c>
      <c r="AS20" s="38" t="str">
        <f>IFERROR(__xludf.DUMMYFUNCTION("""COMPUTED_VALUE"""),"")</f>
        <v/>
      </c>
      <c r="AT20" s="144">
        <v>46132.0</v>
      </c>
      <c r="AU20" s="167" t="str">
        <f t="shared" si="26"/>
        <v/>
      </c>
      <c r="AV20" s="168" t="str">
        <f t="shared" si="57"/>
        <v/>
      </c>
      <c r="AW20" s="169" t="str">
        <f t="shared" si="83"/>
        <v/>
      </c>
      <c r="AX20" s="172" t="str">
        <f t="shared" si="84"/>
        <v/>
      </c>
      <c r="AY20" s="171" t="str">
        <f t="array" ref="AY20">IFERROR(IF(AS20="ac"+ISNUMBER(SEARCH("'",AX20))+AW20="","", IF(ISNUMBER(SEARCH("lw",AX20)), AK20 + SUBSTITUTE(AX20,"lw+",""), MROUND(SWITCH(AS20,"sq",AW$7,"bn",AX$7,"dl",AY$7,"")*IF(AX20&gt;10, AX20/100, VLOOKUP(AX20, _rpe,SUBSTITUTE(AW20,"+","")+1,0)), IF( SWITCH(AS20,"sq",AW$7,"bn",AX$7,"dl", AY$7,"")&lt; IF(_uom="lbs", 175, 80), 1.25, IF(_uom="lbs",5,2.5))))), "")</f>
        <v/>
      </c>
      <c r="AZ20" s="148"/>
      <c r="BA20" s="38"/>
      <c r="BB20" s="171"/>
      <c r="BC20" s="124" t="str">
        <f>IFERROR(__xludf.DUMMYFUNCTION("IF(AY20=MAX(FILTER(AY$10:AY$199,LOOKUP(ROW(AS$10:AS$199),FILTER(ROW(AS$10:AS$199),AS$10:AS$199&lt;&gt;AS$9:AS$198))=LOOKUP(ROW(AS20),FILTER(ROW(AS$10:AS$199),AS$10:AS$199&lt;&gt;AS$9:AS$198)))),AZ20,)"),"")</f>
        <v/>
      </c>
      <c r="BD20" s="122"/>
      <c r="BE20" s="38"/>
      <c r="BF20" s="143" t="str">
        <f t="shared" si="17"/>
        <v/>
      </c>
      <c r="BG20" s="38" t="str">
        <f>IFERROR(__xludf.DUMMYFUNCTION("""COMPUTED_VALUE"""),"")</f>
        <v/>
      </c>
      <c r="BH20" s="144">
        <v>46139.0</v>
      </c>
      <c r="BI20" s="167" t="str">
        <f t="shared" si="18"/>
        <v/>
      </c>
      <c r="BJ20" s="168" t="str">
        <f t="shared" si="85"/>
        <v/>
      </c>
      <c r="BK20" s="169" t="str">
        <f t="shared" si="86"/>
        <v/>
      </c>
      <c r="BL20" s="172" t="str">
        <f t="shared" si="87"/>
        <v/>
      </c>
      <c r="BM20" s="171" t="str">
        <f t="array" ref="BM20">IFERROR(IF(BG20="ac"+ISNUMBER(SEARCH("'",BL20))+BK20="","", IF(ISNUMBER(SEARCH("lw",BL20)), AY20 + SUBSTITUTE(BL20,"lw+",""), MROUND(SWITCH(BG20,"sq",BK$7,"bn",BL$7,"dl",BM$7,"")*IF(BL20&gt;10, BL20/100, VLOOKUP(BL20, _rpe,SUBSTITUTE(BK20,"+","")+1,0)), IF( SWITCH(BG20,"sq",BK$7,"bn",BL$7,"dl", BM$7,"")&lt; IF(_uom="lbs", 175, 80), 1.25, IF(_uom="lbs",5,2.5))))), "")</f>
        <v/>
      </c>
      <c r="BN20" s="148"/>
      <c r="BO20" s="38"/>
      <c r="BP20" s="171"/>
      <c r="BQ20" s="124" t="str">
        <f>IFERROR(__xludf.DUMMYFUNCTION("IF(BM20=MAX(FILTER(BM$10:BM$199,LOOKUP(ROW(BG$10:BG$199),FILTER(ROW(BG$10:BG$199),BG$10:BG$199&lt;&gt;BG$9:BG$198))=LOOKUP(ROW(BG20),FILTER(ROW(BG$10:BG$199),BG$10:BG$199&lt;&gt;BG$9:BG$198)))),BN20,)"),"")</f>
        <v/>
      </c>
      <c r="BR20" s="122"/>
      <c r="BS20" s="38"/>
      <c r="BT20" s="143" t="str">
        <f t="shared" si="19"/>
        <v/>
      </c>
      <c r="BU20" s="38" t="str">
        <f>IFERROR(__xludf.DUMMYFUNCTION("""COMPUTED_VALUE"""),"")</f>
        <v/>
      </c>
      <c r="BV20" s="144">
        <v>46146.0</v>
      </c>
      <c r="BW20" s="167" t="str">
        <f t="shared" si="20"/>
        <v/>
      </c>
      <c r="BX20" s="168" t="str">
        <f t="shared" si="88"/>
        <v/>
      </c>
      <c r="BY20" s="169" t="str">
        <f t="shared" si="89"/>
        <v/>
      </c>
      <c r="BZ20" s="172" t="str">
        <f t="shared" si="90"/>
        <v/>
      </c>
      <c r="CA20" s="171" t="str">
        <f t="array" ref="CA20">IFERROR(IF(BU20="ac"+ISNUMBER(SEARCH("'",BZ20))+BY20="","", IF(ISNUMBER(SEARCH("lw",BZ20)), BM20 + SUBSTITUTE(BZ20,"lw+",""), MROUND(SWITCH(BU20,"sq",BY$7,"bn",BZ$7,"dl",CA$7,"")*IF(BZ20&gt;10, BZ20/100, VLOOKUP(BZ20, _rpe,SUBSTITUTE(BY20,"+","")+1,0)), IF( SWITCH(BU20,"sq",BY$7,"bn",BZ$7,"dl", CA$7,"")&lt; IF(_uom="lbs", 175, 80), 1.25, IF(_uom="lbs",5,2.5))))), "")</f>
        <v/>
      </c>
      <c r="CB20" s="148"/>
      <c r="CC20" s="38"/>
      <c r="CD20" s="171"/>
      <c r="CE20" s="124" t="str">
        <f>IFERROR(__xludf.DUMMYFUNCTION("IF(CA20=MAX(FILTER(CA$10:CA$199,LOOKUP(ROW(BU$10:BU$199),FILTER(ROW(BU$10:BU$199),BU$10:BU$199&lt;&gt;BU$9:BU$198))=LOOKUP(ROW(BU20),FILTER(ROW(BU$10:BU$199),BU$10:BU$199&lt;&gt;BU$9:BU$198)))),CB20,)"),"")</f>
        <v/>
      </c>
      <c r="CF20" s="122"/>
      <c r="CG20" s="38"/>
      <c r="CH20" s="143" t="str">
        <f t="shared" si="21"/>
        <v/>
      </c>
      <c r="CI20" s="38" t="str">
        <f>IFERROR(__xludf.DUMMYFUNCTION("""COMPUTED_VALUE"""),"")</f>
        <v/>
      </c>
      <c r="CJ20" s="144">
        <v>46153.0</v>
      </c>
      <c r="CK20" s="167" t="str">
        <f t="shared" si="27"/>
        <v/>
      </c>
      <c r="CL20" s="168" t="str">
        <f t="shared" si="91"/>
        <v/>
      </c>
      <c r="CM20" s="169" t="str">
        <f t="shared" si="92"/>
        <v/>
      </c>
      <c r="CN20" s="172" t="str">
        <f t="shared" si="93"/>
        <v/>
      </c>
      <c r="CO20" s="171" t="str">
        <f t="array" ref="CO20">IFERROR(IF(CI20="ac"+ISNUMBER(SEARCH("'",CN20))+CM20="","", IF(ISNUMBER(SEARCH("lw",CN20)), CA20 + SUBSTITUTE(CN20,"lw+",""), MROUND(SWITCH(CI20,"sq",CM$7,"bn",CN$7,"dl",CO$7,"")*IF(CN20&gt;10, CN20/100, VLOOKUP(CN20, _rpe,SUBSTITUTE(CM20,"+","")+1,0)), IF( SWITCH(CI20,"sq",CM$7,"bn",CN$7,"dl", CO$7,"")&lt; IF(_uom="lbs", 175, 80), 1.25, IF(_uom="lbs",5,2.5))))), "")</f>
        <v/>
      </c>
      <c r="CP20" s="148"/>
      <c r="CQ20" s="38"/>
      <c r="CR20" s="171"/>
      <c r="CS20" s="124" t="str">
        <f>IFERROR(__xludf.DUMMYFUNCTION("IF(CO20=MAX(FILTER(CO$10:CO$199,LOOKUP(ROW(CI$10:CI$199),FILTER(ROW(CI$10:CI$199),CI$10:CI$199&lt;&gt;CI$9:CI$198))=LOOKUP(ROW(CI20),FILTER(ROW(CI$10:CI$199),CI$10:CI$199&lt;&gt;CI$9:CI$198)))),CP20,)"),"")</f>
        <v/>
      </c>
      <c r="CT20" s="122"/>
      <c r="CU20" s="38"/>
      <c r="CV20" s="143" t="str">
        <f t="shared" si="22"/>
        <v/>
      </c>
      <c r="CW20" s="38" t="str">
        <f>IFERROR(__xludf.DUMMYFUNCTION("""COMPUTED_VALUE"""),"")</f>
        <v/>
      </c>
      <c r="CX20" s="144">
        <v>46160.0</v>
      </c>
      <c r="CY20" s="167" t="str">
        <f t="shared" si="28"/>
        <v/>
      </c>
      <c r="CZ20" s="168" t="str">
        <f t="shared" si="94"/>
        <v/>
      </c>
      <c r="DA20" s="169" t="str">
        <f t="shared" si="95"/>
        <v/>
      </c>
      <c r="DB20" s="172" t="str">
        <f t="shared" si="96"/>
        <v/>
      </c>
      <c r="DC20" s="171" t="str">
        <f t="array" ref="DC20">IFERROR(IF(CW20="ac"+ISNUMBER(SEARCH("'",DB20))+DA20="","", IF(ISNUMBER(SEARCH("lw",DB20)), CO20 + SUBSTITUTE(DB20,"lw+",""), MROUND(SWITCH(CW20,"sq",DA$7,"bn",DB$7,"dl",DC$7,"")*IF(DB20&gt;10, DB20/100, VLOOKUP(DB20, _rpe,SUBSTITUTE(DA20,"+","")+1,0)), IF( SWITCH(CW20,"sq",DA$7,"bn",DB$7,"dl", DC$7,"")&lt; IF(_uom="lbs", 175, 80), 1.25, IF(_uom="lbs",5,2.5))))), "")</f>
        <v/>
      </c>
      <c r="DD20" s="148"/>
      <c r="DE20" s="38"/>
      <c r="DF20" s="171"/>
      <c r="DG20" s="124" t="str">
        <f>IFERROR(__xludf.DUMMYFUNCTION("IF(DC20=MAX(FILTER(DC$10:DC$199,LOOKUP(ROW(CW$10:CW$199),FILTER(ROW(CW$10:CW$199),CW$10:CW$199&lt;&gt;CW$9:CW$198))=LOOKUP(ROW(CW20),FILTER(ROW(CW$10:CW$199),CW$10:CW$199&lt;&gt;CW$9:CW$198)))),DD20,)"),"")</f>
        <v/>
      </c>
      <c r="DH20" s="122"/>
      <c r="DI20" s="38"/>
      <c r="DJ20" s="143" t="str">
        <f t="shared" si="23"/>
        <v/>
      </c>
      <c r="DK20" s="38" t="str">
        <f>IFERROR(__xludf.DUMMYFUNCTION("""COMPUTED_VALUE"""),"")</f>
        <v/>
      </c>
      <c r="DL20" s="144">
        <v>46167.0</v>
      </c>
      <c r="DM20" s="167" t="str">
        <f t="shared" si="29"/>
        <v/>
      </c>
      <c r="DN20" s="168" t="str">
        <f t="shared" si="74"/>
        <v/>
      </c>
      <c r="DO20" s="169" t="str">
        <f t="shared" si="97"/>
        <v/>
      </c>
      <c r="DP20" s="172" t="str">
        <f t="shared" si="98"/>
        <v/>
      </c>
      <c r="DQ20" s="171" t="str">
        <f t="array" ref="DQ20">IFERROR(IF(DK20="ac"+ISNUMBER(SEARCH("'",DP20))+DO20="","", IF(ISNUMBER(SEARCH("lw",DP20)), DC20 + SUBSTITUTE(DP20,"lw+",""), MROUND(SWITCH(DK20,"sq",DO$7,"bn",DP$7,"dl",DQ$7,"")*IF(DP20&gt;10, DP20/100, VLOOKUP(DP20, _rpe,SUBSTITUTE(DO20,"+","")+1,0)), IF( SWITCH(DK20,"sq",DO$7,"bn",DP$7,"dl", DQ$7,"")&lt; IF(_uom="lbs", 175, 80), 1.25, IF(_uom="lbs",5,2.5))))), "")</f>
        <v/>
      </c>
      <c r="DR20" s="148"/>
      <c r="DS20" s="38"/>
      <c r="DT20" s="171"/>
      <c r="DU20" s="124" t="str">
        <f>IFERROR(__xludf.DUMMYFUNCTION("IF(DQ20=MAX(FILTER(DQ$10:DQ$199,LOOKUP(ROW(DK$10:DK$199),FILTER(ROW(DK$10:DK$199),DK$10:DK$199&lt;&gt;DK$9:DK$198))=LOOKUP(ROW(DK20),FILTER(ROW(DK$10:DK$199),DK$10:DK$199&lt;&gt;DK$9:DK$198)))),DR20,)"),"")</f>
        <v/>
      </c>
      <c r="DV20" s="122"/>
      <c r="DW20" s="38"/>
      <c r="DX20" s="143"/>
      <c r="DY20" s="38"/>
      <c r="DZ20" s="144"/>
      <c r="EA20" s="150"/>
      <c r="EB20" s="174"/>
      <c r="EC20" s="175"/>
      <c r="ED20" s="176"/>
      <c r="EE20" s="155"/>
      <c r="EF20" s="148"/>
      <c r="EG20" s="38"/>
      <c r="EH20" s="155"/>
      <c r="EI20" s="148"/>
      <c r="EJ20" s="33"/>
      <c r="EK20" s="38"/>
      <c r="EL20" s="143"/>
      <c r="EM20" s="38"/>
      <c r="EN20" s="144"/>
      <c r="EO20" s="150"/>
      <c r="EP20" s="174"/>
      <c r="EQ20" s="175"/>
      <c r="ER20" s="176"/>
      <c r="ES20" s="155"/>
      <c r="ET20" s="148"/>
      <c r="EU20" s="38"/>
      <c r="EV20" s="155"/>
      <c r="EW20" s="148"/>
      <c r="EX20" s="33"/>
      <c r="EY20" s="38"/>
      <c r="EZ20" s="143"/>
      <c r="FA20" s="38"/>
      <c r="FB20" s="144"/>
      <c r="FC20" s="150"/>
      <c r="FD20" s="174"/>
      <c r="FE20" s="175"/>
      <c r="FF20" s="176"/>
      <c r="FG20" s="155"/>
      <c r="FH20" s="148"/>
      <c r="FI20" s="38"/>
      <c r="FJ20" s="155"/>
      <c r="FK20" s="148"/>
      <c r="FL20" s="33"/>
      <c r="FM20" s="38"/>
      <c r="FN20" s="143"/>
      <c r="FO20" s="38"/>
      <c r="FP20" s="144"/>
      <c r="FQ20" s="150"/>
      <c r="FR20" s="174"/>
      <c r="FS20" s="175"/>
      <c r="FT20" s="176"/>
      <c r="FU20" s="155"/>
      <c r="FV20" s="148"/>
      <c r="FW20" s="38"/>
      <c r="FX20" s="155"/>
      <c r="FY20" s="148"/>
      <c r="FZ20" s="33"/>
      <c r="GA20" s="38"/>
      <c r="GB20" s="143"/>
      <c r="GC20" s="38"/>
      <c r="GD20" s="144"/>
      <c r="GE20" s="150"/>
      <c r="GF20" s="174"/>
      <c r="GG20" s="175"/>
      <c r="GH20" s="176"/>
      <c r="GI20" s="155"/>
      <c r="GJ20" s="148"/>
      <c r="GK20" s="38"/>
      <c r="GL20" s="155"/>
      <c r="GM20" s="148"/>
      <c r="GN20" s="33"/>
      <c r="GO20" s="38"/>
      <c r="GP20" s="143"/>
      <c r="GQ20" s="38"/>
      <c r="GR20" s="144"/>
      <c r="GS20" s="150"/>
      <c r="GT20" s="174"/>
      <c r="GU20" s="175"/>
      <c r="GV20" s="176"/>
      <c r="GW20" s="155"/>
      <c r="GX20" s="148"/>
      <c r="GY20" s="38"/>
      <c r="GZ20" s="155"/>
      <c r="HA20" s="148"/>
      <c r="HB20" s="33"/>
      <c r="HC20" s="38"/>
      <c r="HD20" s="143"/>
      <c r="HE20" s="38"/>
      <c r="HF20" s="144"/>
      <c r="HG20" s="150"/>
      <c r="HH20" s="174"/>
      <c r="HI20" s="175"/>
      <c r="HJ20" s="176"/>
      <c r="HK20" s="155"/>
      <c r="HL20" s="148"/>
      <c r="HM20" s="38"/>
      <c r="HN20" s="155"/>
      <c r="HO20" s="148"/>
      <c r="HP20" s="33"/>
      <c r="HQ20" s="38"/>
      <c r="HR20" s="143"/>
      <c r="HS20" s="38"/>
      <c r="HT20" s="144"/>
      <c r="HU20" s="150"/>
      <c r="HV20" s="174"/>
      <c r="HW20" s="175"/>
      <c r="HX20" s="176"/>
      <c r="HY20" s="155"/>
      <c r="HZ20" s="148"/>
      <c r="IA20" s="38"/>
      <c r="IB20" s="155"/>
      <c r="IC20" s="148"/>
      <c r="ID20" s="33"/>
      <c r="IE20" s="38"/>
      <c r="IF20" s="143"/>
      <c r="IG20" s="38"/>
      <c r="IH20" s="144"/>
      <c r="II20" s="150"/>
      <c r="IJ20" s="174"/>
      <c r="IK20" s="175"/>
      <c r="IL20" s="176"/>
      <c r="IM20" s="155"/>
      <c r="IN20" s="148"/>
      <c r="IO20" s="38"/>
      <c r="IP20" s="155"/>
      <c r="IQ20" s="148"/>
      <c r="IR20" s="33"/>
      <c r="IS20" s="38"/>
      <c r="IT20" s="143"/>
      <c r="IU20" s="38"/>
      <c r="IV20" s="144"/>
      <c r="IW20" s="143" t="str">
        <f t="shared" si="24"/>
        <v>#REF!</v>
      </c>
      <c r="IX20" s="38"/>
      <c r="IY20" s="144" t="e">
        <v>#REF!</v>
      </c>
    </row>
    <row r="21" hidden="1" outlineLevel="1">
      <c r="A21" s="33"/>
      <c r="B21" s="143"/>
      <c r="C21" s="38" t="str">
        <f>IFERROR(__xludf.DUMMYFUNCTION("""COMPUTED_VALUE"""),"")</f>
        <v/>
      </c>
      <c r="D21" s="144">
        <v>46111.0</v>
      </c>
      <c r="E21" s="167"/>
      <c r="F21" s="168"/>
      <c r="G21" s="169"/>
      <c r="H21" s="170"/>
      <c r="I21" s="171" t="str">
        <f t="array" ref="I21">IFERROR(IF(C21="ac"+ISNUMBER(SEARCH("'",H21))+G21="","", MROUND(SWITCH(C21,"sq",'Personal Info'!$O$15,"bn",'Personal Info'!$S$15,"dl",'Personal Info'!$W$15,"")*IF(H21&gt;10, H21/100, VLOOKUP(H21, _rpe,SUBSTITUTE(G21,"+","")+1,0)), IF( SWITCH(C21:C210,"sq",'Personal Info'!$O$15,"bn",'Personal Info'!$S$15,"dl", 'Personal Info'!$W$15,"")&lt; IF(_uom="lbs", 175, 80), 1.25, IF(_uom="lbs",5,2.5)))),"")</f>
        <v/>
      </c>
      <c r="J21" s="148"/>
      <c r="K21" s="33"/>
      <c r="L21" s="171"/>
      <c r="M21" s="124" t="str">
        <f>IFERROR(__xludf.DUMMYFUNCTION("IF(I21=MAX(FILTER(I$10:I$199,LOOKUP(ROW(C$10:C$199),FILTER(ROW(C$10:C$199),C$10:C$199&lt;&gt;C$9:C$198))=LOOKUP(ROW(C21),FILTER(ROW(C$10:C$199),C$10:C$199&lt;&gt;C$9:C$198)))),J21,)"),"")</f>
        <v/>
      </c>
      <c r="N21" s="122"/>
      <c r="O21" s="38"/>
      <c r="P21" s="143" t="str">
        <f t="shared" si="12"/>
        <v/>
      </c>
      <c r="Q21" s="38" t="str">
        <f>IFERROR(__xludf.DUMMYFUNCTION("""COMPUTED_VALUE"""),"")</f>
        <v/>
      </c>
      <c r="R21" s="144">
        <v>46118.0</v>
      </c>
      <c r="S21" s="167" t="str">
        <f t="shared" si="13"/>
        <v/>
      </c>
      <c r="T21" s="168" t="str">
        <f t="shared" si="77"/>
        <v/>
      </c>
      <c r="U21" s="169" t="str">
        <f t="shared" si="78"/>
        <v/>
      </c>
      <c r="V21" s="172" t="str">
        <f t="shared" si="79"/>
        <v/>
      </c>
      <c r="W21" s="171" t="str">
        <f t="array" ref="W21">IFERROR(IF(Q21="ac"+ISNUMBER(SEARCH("'",V21))+U21="","", IF(ISNUMBER(SEARCH("lw",V21)), I21 + SUBSTITUTE(V21,"lw+",""), MROUND(SWITCH(Q21,"sq",U$7,"bn",V$7,"dl",W$7,"")*IF(V21&gt;10, V21/100, VLOOKUP(V21, _rpe,SUBSTITUTE(U21,"+","")+1,0)), IF( SWITCH(Q21,"sq",U$7,"bn",V$7,"dl", W$7,"")&lt; IF(_uom="lbs", 175, 80), 1.25, IF(_uom="lbs",5,2.5))))), "")</f>
        <v/>
      </c>
      <c r="X21" s="148"/>
      <c r="Y21" s="33"/>
      <c r="Z21" s="171"/>
      <c r="AA21" s="124" t="str">
        <f>IFERROR(__xludf.DUMMYFUNCTION("IF(W21=MAX(FILTER(W$10:W$199,LOOKUP(ROW(Q$10:Q$199),FILTER(ROW(Q$10:Q$199),Q$10:Q$199&lt;&gt;Q$9:Q$198))=LOOKUP(ROW(Q21),FILTER(ROW(Q$10:Q$199),Q$10:Q$199&lt;&gt;Q$9:Q$198)))),X21,)"),"")</f>
        <v/>
      </c>
      <c r="AB21" s="122"/>
      <c r="AC21" s="38"/>
      <c r="AD21" s="143" t="str">
        <f t="shared" si="14"/>
        <v/>
      </c>
      <c r="AE21" s="38" t="str">
        <f>IFERROR(__xludf.DUMMYFUNCTION("""COMPUTED_VALUE"""),"")</f>
        <v/>
      </c>
      <c r="AF21" s="144">
        <v>46125.0</v>
      </c>
      <c r="AG21" s="167" t="str">
        <f t="shared" si="54"/>
        <v/>
      </c>
      <c r="AH21" s="168" t="str">
        <f t="shared" si="80"/>
        <v/>
      </c>
      <c r="AI21" s="169" t="str">
        <f t="shared" si="81"/>
        <v/>
      </c>
      <c r="AJ21" s="172" t="str">
        <f t="shared" si="82"/>
        <v/>
      </c>
      <c r="AK21" s="171" t="str">
        <f t="array" ref="AK21">IFERROR(IF(AE21="ac"+ISNUMBER(SEARCH("'",AJ21))+AI21="","", IF(ISNUMBER(SEARCH("lw",AJ21)), W21 + SUBSTITUTE(AJ21,"lw+",""), MROUND(SWITCH(AE21,"sq",AI$7,"bn",AJ$7,"dl",AK$7,"")*IF(AJ21&gt;10, AJ21/100, VLOOKUP(AJ21, _rpe,SUBSTITUTE(AI21,"+","")+1,0)), IF( SWITCH(AE21,"sq",AI$7,"bn",AJ$7,"dl", AK$7,"")&lt; IF(_uom="lbs", 175, 80), 1.25, IF(_uom="lbs",5,2.5))))), "")</f>
        <v/>
      </c>
      <c r="AL21" s="148"/>
      <c r="AM21" s="33"/>
      <c r="AN21" s="171"/>
      <c r="AO21" s="124" t="str">
        <f>IFERROR(__xludf.DUMMYFUNCTION("IF(AK21=MAX(FILTER(AK$10:AK$199,LOOKUP(ROW(AE$10:AE$199),FILTER(ROW(AE$10:AE$199),AE$10:AE$199&lt;&gt;AE$9:AE$198))=LOOKUP(ROW(AE21),FILTER(ROW(AE$10:AE$199),AE$10:AE$199&lt;&gt;AE$9:AE$198)))),AL21,)"),"")</f>
        <v/>
      </c>
      <c r="AP21" s="122"/>
      <c r="AQ21" s="38"/>
      <c r="AR21" s="143" t="str">
        <f t="shared" si="16"/>
        <v/>
      </c>
      <c r="AS21" s="38" t="str">
        <f>IFERROR(__xludf.DUMMYFUNCTION("""COMPUTED_VALUE"""),"")</f>
        <v/>
      </c>
      <c r="AT21" s="144">
        <v>46132.0</v>
      </c>
      <c r="AU21" s="167" t="str">
        <f t="shared" si="26"/>
        <v/>
      </c>
      <c r="AV21" s="168" t="str">
        <f t="shared" si="57"/>
        <v/>
      </c>
      <c r="AW21" s="169" t="str">
        <f t="shared" si="83"/>
        <v/>
      </c>
      <c r="AX21" s="172" t="str">
        <f t="shared" si="84"/>
        <v/>
      </c>
      <c r="AY21" s="171" t="str">
        <f t="array" ref="AY21">IFERROR(IF(AS21="ac"+ISNUMBER(SEARCH("'",AX21))+AW21="","", IF(ISNUMBER(SEARCH("lw",AX21)), AK21 + SUBSTITUTE(AX21,"lw+",""), MROUND(SWITCH(AS21,"sq",AW$7,"bn",AX$7,"dl",AY$7,"")*IF(AX21&gt;10, AX21/100, VLOOKUP(AX21, _rpe,SUBSTITUTE(AW21,"+","")+1,0)), IF( SWITCH(AS21,"sq",AW$7,"bn",AX$7,"dl", AY$7,"")&lt; IF(_uom="lbs", 175, 80), 1.25, IF(_uom="lbs",5,2.5))))), "")</f>
        <v/>
      </c>
      <c r="AZ21" s="148"/>
      <c r="BA21" s="33"/>
      <c r="BB21" s="171"/>
      <c r="BC21" s="124" t="str">
        <f>IFERROR(__xludf.DUMMYFUNCTION("IF(AY21=MAX(FILTER(AY$10:AY$199,LOOKUP(ROW(AS$10:AS$199),FILTER(ROW(AS$10:AS$199),AS$10:AS$199&lt;&gt;AS$9:AS$198))=LOOKUP(ROW(AS21),FILTER(ROW(AS$10:AS$199),AS$10:AS$199&lt;&gt;AS$9:AS$198)))),AZ21,)"),"")</f>
        <v/>
      </c>
      <c r="BD21" s="122"/>
      <c r="BE21" s="38"/>
      <c r="BF21" s="143" t="str">
        <f t="shared" si="17"/>
        <v/>
      </c>
      <c r="BG21" s="38" t="str">
        <f>IFERROR(__xludf.DUMMYFUNCTION("""COMPUTED_VALUE"""),"")</f>
        <v/>
      </c>
      <c r="BH21" s="144">
        <v>46139.0</v>
      </c>
      <c r="BI21" s="167" t="str">
        <f t="shared" si="18"/>
        <v/>
      </c>
      <c r="BJ21" s="168" t="str">
        <f t="shared" si="85"/>
        <v/>
      </c>
      <c r="BK21" s="169" t="str">
        <f t="shared" si="86"/>
        <v/>
      </c>
      <c r="BL21" s="172" t="str">
        <f t="shared" si="87"/>
        <v/>
      </c>
      <c r="BM21" s="171" t="str">
        <f t="array" ref="BM21">IFERROR(IF(BG21="ac"+ISNUMBER(SEARCH("'",BL21))+BK21="","", IF(ISNUMBER(SEARCH("lw",BL21)), AY21 + SUBSTITUTE(BL21,"lw+",""), MROUND(SWITCH(BG21,"sq",BK$7,"bn",BL$7,"dl",BM$7,"")*IF(BL21&gt;10, BL21/100, VLOOKUP(BL21, _rpe,SUBSTITUTE(BK21,"+","")+1,0)), IF( SWITCH(BG21,"sq",BK$7,"bn",BL$7,"dl", BM$7,"")&lt; IF(_uom="lbs", 175, 80), 1.25, IF(_uom="lbs",5,2.5))))), "")</f>
        <v/>
      </c>
      <c r="BN21" s="148"/>
      <c r="BO21" s="33"/>
      <c r="BP21" s="171"/>
      <c r="BQ21" s="124" t="str">
        <f>IFERROR(__xludf.DUMMYFUNCTION("IF(BM21=MAX(FILTER(BM$10:BM$199,LOOKUP(ROW(BG$10:BG$199),FILTER(ROW(BG$10:BG$199),BG$10:BG$199&lt;&gt;BG$9:BG$198))=LOOKUP(ROW(BG21),FILTER(ROW(BG$10:BG$199),BG$10:BG$199&lt;&gt;BG$9:BG$198)))),BN21,)"),"")</f>
        <v/>
      </c>
      <c r="BR21" s="122"/>
      <c r="BS21" s="38"/>
      <c r="BT21" s="143" t="str">
        <f t="shared" si="19"/>
        <v/>
      </c>
      <c r="BU21" s="38" t="str">
        <f>IFERROR(__xludf.DUMMYFUNCTION("""COMPUTED_VALUE"""),"")</f>
        <v/>
      </c>
      <c r="BV21" s="144">
        <v>46146.0</v>
      </c>
      <c r="BW21" s="167" t="str">
        <f t="shared" si="20"/>
        <v/>
      </c>
      <c r="BX21" s="168" t="str">
        <f t="shared" si="88"/>
        <v/>
      </c>
      <c r="BY21" s="169" t="str">
        <f t="shared" si="89"/>
        <v/>
      </c>
      <c r="BZ21" s="172" t="str">
        <f t="shared" si="90"/>
        <v/>
      </c>
      <c r="CA21" s="171" t="str">
        <f t="array" ref="CA21">IFERROR(IF(BU21="ac"+ISNUMBER(SEARCH("'",BZ21))+BY21="","", IF(ISNUMBER(SEARCH("lw",BZ21)), BM21 + SUBSTITUTE(BZ21,"lw+",""), MROUND(SWITCH(BU21,"sq",BY$7,"bn",BZ$7,"dl",CA$7,"")*IF(BZ21&gt;10, BZ21/100, VLOOKUP(BZ21, _rpe,SUBSTITUTE(BY21,"+","")+1,0)), IF( SWITCH(BU21,"sq",BY$7,"bn",BZ$7,"dl", CA$7,"")&lt; IF(_uom="lbs", 175, 80), 1.25, IF(_uom="lbs",5,2.5))))), "")</f>
        <v/>
      </c>
      <c r="CB21" s="148"/>
      <c r="CC21" s="33"/>
      <c r="CD21" s="171"/>
      <c r="CE21" s="124" t="str">
        <f>IFERROR(__xludf.DUMMYFUNCTION("IF(CA21=MAX(FILTER(CA$10:CA$199,LOOKUP(ROW(BU$10:BU$199),FILTER(ROW(BU$10:BU$199),BU$10:BU$199&lt;&gt;BU$9:BU$198))=LOOKUP(ROW(BU21),FILTER(ROW(BU$10:BU$199),BU$10:BU$199&lt;&gt;BU$9:BU$198)))),CB21,)"),"")</f>
        <v/>
      </c>
      <c r="CF21" s="122"/>
      <c r="CG21" s="38"/>
      <c r="CH21" s="143" t="str">
        <f t="shared" si="21"/>
        <v/>
      </c>
      <c r="CI21" s="38" t="str">
        <f>IFERROR(__xludf.DUMMYFUNCTION("""COMPUTED_VALUE"""),"")</f>
        <v/>
      </c>
      <c r="CJ21" s="144">
        <v>46153.0</v>
      </c>
      <c r="CK21" s="167" t="str">
        <f t="shared" si="27"/>
        <v/>
      </c>
      <c r="CL21" s="168" t="str">
        <f t="shared" si="91"/>
        <v/>
      </c>
      <c r="CM21" s="169" t="str">
        <f t="shared" si="92"/>
        <v/>
      </c>
      <c r="CN21" s="172" t="str">
        <f t="shared" si="93"/>
        <v/>
      </c>
      <c r="CO21" s="171" t="str">
        <f t="array" ref="CO21">IFERROR(IF(CI21="ac"+ISNUMBER(SEARCH("'",CN21))+CM21="","", IF(ISNUMBER(SEARCH("lw",CN21)), CA21 + SUBSTITUTE(CN21,"lw+",""), MROUND(SWITCH(CI21,"sq",CM$7,"bn",CN$7,"dl",CO$7,"")*IF(CN21&gt;10, CN21/100, VLOOKUP(CN21, _rpe,SUBSTITUTE(CM21,"+","")+1,0)), IF( SWITCH(CI21,"sq",CM$7,"bn",CN$7,"dl", CO$7,"")&lt; IF(_uom="lbs", 175, 80), 1.25, IF(_uom="lbs",5,2.5))))), "")</f>
        <v/>
      </c>
      <c r="CP21" s="148"/>
      <c r="CQ21" s="33"/>
      <c r="CR21" s="171"/>
      <c r="CS21" s="124" t="str">
        <f>IFERROR(__xludf.DUMMYFUNCTION("IF(CO21=MAX(FILTER(CO$10:CO$199,LOOKUP(ROW(CI$10:CI$199),FILTER(ROW(CI$10:CI$199),CI$10:CI$199&lt;&gt;CI$9:CI$198))=LOOKUP(ROW(CI21),FILTER(ROW(CI$10:CI$199),CI$10:CI$199&lt;&gt;CI$9:CI$198)))),CP21,)"),"")</f>
        <v/>
      </c>
      <c r="CT21" s="122"/>
      <c r="CU21" s="38"/>
      <c r="CV21" s="143" t="str">
        <f t="shared" si="22"/>
        <v/>
      </c>
      <c r="CW21" s="38" t="str">
        <f>IFERROR(__xludf.DUMMYFUNCTION("""COMPUTED_VALUE"""),"")</f>
        <v/>
      </c>
      <c r="CX21" s="144">
        <v>46160.0</v>
      </c>
      <c r="CY21" s="167" t="str">
        <f t="shared" si="28"/>
        <v/>
      </c>
      <c r="CZ21" s="168" t="str">
        <f t="shared" si="94"/>
        <v/>
      </c>
      <c r="DA21" s="169" t="str">
        <f t="shared" si="95"/>
        <v/>
      </c>
      <c r="DB21" s="172" t="str">
        <f t="shared" si="96"/>
        <v/>
      </c>
      <c r="DC21" s="171" t="str">
        <f t="array" ref="DC21">IFERROR(IF(CW21="ac"+ISNUMBER(SEARCH("'",DB21))+DA21="","", IF(ISNUMBER(SEARCH("lw",DB21)), CO21 + SUBSTITUTE(DB21,"lw+",""), MROUND(SWITCH(CW21,"sq",DA$7,"bn",DB$7,"dl",DC$7,"")*IF(DB21&gt;10, DB21/100, VLOOKUP(DB21, _rpe,SUBSTITUTE(DA21,"+","")+1,0)), IF( SWITCH(CW21,"sq",DA$7,"bn",DB$7,"dl", DC$7,"")&lt; IF(_uom="lbs", 175, 80), 1.25, IF(_uom="lbs",5,2.5))))), "")</f>
        <v/>
      </c>
      <c r="DD21" s="148"/>
      <c r="DE21" s="33"/>
      <c r="DF21" s="171"/>
      <c r="DG21" s="124" t="str">
        <f>IFERROR(__xludf.DUMMYFUNCTION("IF(DC21=MAX(FILTER(DC$10:DC$199,LOOKUP(ROW(CW$10:CW$199),FILTER(ROW(CW$10:CW$199),CW$10:CW$199&lt;&gt;CW$9:CW$198))=LOOKUP(ROW(CW21),FILTER(ROW(CW$10:CW$199),CW$10:CW$199&lt;&gt;CW$9:CW$198)))),DD21,)"),"")</f>
        <v/>
      </c>
      <c r="DH21" s="122"/>
      <c r="DI21" s="38"/>
      <c r="DJ21" s="143" t="str">
        <f t="shared" si="23"/>
        <v/>
      </c>
      <c r="DK21" s="38" t="str">
        <f>IFERROR(__xludf.DUMMYFUNCTION("""COMPUTED_VALUE"""),"")</f>
        <v/>
      </c>
      <c r="DL21" s="144">
        <v>46167.0</v>
      </c>
      <c r="DM21" s="167" t="str">
        <f t="shared" si="29"/>
        <v/>
      </c>
      <c r="DN21" s="168" t="str">
        <f t="shared" si="74"/>
        <v/>
      </c>
      <c r="DO21" s="169" t="str">
        <f t="shared" si="97"/>
        <v/>
      </c>
      <c r="DP21" s="172" t="str">
        <f t="shared" si="98"/>
        <v/>
      </c>
      <c r="DQ21" s="171" t="str">
        <f t="array" ref="DQ21">IFERROR(IF(DK21="ac"+ISNUMBER(SEARCH("'",DP21))+DO21="","", IF(ISNUMBER(SEARCH("lw",DP21)), DC21 + SUBSTITUTE(DP21,"lw+",""), MROUND(SWITCH(DK21,"sq",DO$7,"bn",DP$7,"dl",DQ$7,"")*IF(DP21&gt;10, DP21/100, VLOOKUP(DP21, _rpe,SUBSTITUTE(DO21,"+","")+1,0)), IF( SWITCH(DK21,"sq",DO$7,"bn",DP$7,"dl", DQ$7,"")&lt; IF(_uom="lbs", 175, 80), 1.25, IF(_uom="lbs",5,2.5))))), "")</f>
        <v/>
      </c>
      <c r="DR21" s="148"/>
      <c r="DS21" s="33"/>
      <c r="DT21" s="171"/>
      <c r="DU21" s="124" t="str">
        <f>IFERROR(__xludf.DUMMYFUNCTION("IF(DQ21=MAX(FILTER(DQ$10:DQ$199,LOOKUP(ROW(DK$10:DK$199),FILTER(ROW(DK$10:DK$199),DK$10:DK$199&lt;&gt;DK$9:DK$198))=LOOKUP(ROW(DK21),FILTER(ROW(DK$10:DK$199),DK$10:DK$199&lt;&gt;DK$9:DK$198)))),DR21,)"),"")</f>
        <v/>
      </c>
      <c r="DV21" s="122"/>
      <c r="DW21" s="38"/>
      <c r="DX21" s="143"/>
      <c r="DY21" s="38"/>
      <c r="DZ21" s="144"/>
      <c r="EA21" s="150"/>
      <c r="EB21" s="174"/>
      <c r="EC21" s="175"/>
      <c r="ED21" s="176"/>
      <c r="EE21" s="155"/>
      <c r="EF21" s="148"/>
      <c r="EG21" s="33"/>
      <c r="EH21" s="155"/>
      <c r="EI21" s="148"/>
      <c r="EJ21" s="33"/>
      <c r="EK21" s="38"/>
      <c r="EL21" s="143"/>
      <c r="EM21" s="38"/>
      <c r="EN21" s="144"/>
      <c r="EO21" s="150"/>
      <c r="EP21" s="174"/>
      <c r="EQ21" s="175"/>
      <c r="ER21" s="176"/>
      <c r="ES21" s="155"/>
      <c r="ET21" s="148"/>
      <c r="EU21" s="33"/>
      <c r="EV21" s="155"/>
      <c r="EW21" s="148"/>
      <c r="EX21" s="33"/>
      <c r="EY21" s="38"/>
      <c r="EZ21" s="143"/>
      <c r="FA21" s="38"/>
      <c r="FB21" s="144"/>
      <c r="FC21" s="150"/>
      <c r="FD21" s="174"/>
      <c r="FE21" s="175"/>
      <c r="FF21" s="176"/>
      <c r="FG21" s="155"/>
      <c r="FH21" s="148"/>
      <c r="FI21" s="33"/>
      <c r="FJ21" s="155"/>
      <c r="FK21" s="148"/>
      <c r="FL21" s="33"/>
      <c r="FM21" s="38"/>
      <c r="FN21" s="143"/>
      <c r="FO21" s="38"/>
      <c r="FP21" s="144"/>
      <c r="FQ21" s="150"/>
      <c r="FR21" s="174"/>
      <c r="FS21" s="175"/>
      <c r="FT21" s="176"/>
      <c r="FU21" s="155"/>
      <c r="FV21" s="148"/>
      <c r="FW21" s="33"/>
      <c r="FX21" s="155"/>
      <c r="FY21" s="148"/>
      <c r="FZ21" s="33"/>
      <c r="GA21" s="38"/>
      <c r="GB21" s="143"/>
      <c r="GC21" s="38"/>
      <c r="GD21" s="144"/>
      <c r="GE21" s="150"/>
      <c r="GF21" s="174"/>
      <c r="GG21" s="175"/>
      <c r="GH21" s="176"/>
      <c r="GI21" s="155"/>
      <c r="GJ21" s="148"/>
      <c r="GK21" s="33"/>
      <c r="GL21" s="155"/>
      <c r="GM21" s="148"/>
      <c r="GN21" s="33"/>
      <c r="GO21" s="38"/>
      <c r="GP21" s="143"/>
      <c r="GQ21" s="38"/>
      <c r="GR21" s="144"/>
      <c r="GS21" s="150"/>
      <c r="GT21" s="174"/>
      <c r="GU21" s="175"/>
      <c r="GV21" s="176"/>
      <c r="GW21" s="155"/>
      <c r="GX21" s="148"/>
      <c r="GY21" s="33"/>
      <c r="GZ21" s="155"/>
      <c r="HA21" s="148"/>
      <c r="HB21" s="33"/>
      <c r="HC21" s="38"/>
      <c r="HD21" s="143"/>
      <c r="HE21" s="38"/>
      <c r="HF21" s="144"/>
      <c r="HG21" s="150"/>
      <c r="HH21" s="174"/>
      <c r="HI21" s="175"/>
      <c r="HJ21" s="176"/>
      <c r="HK21" s="155"/>
      <c r="HL21" s="148"/>
      <c r="HM21" s="33"/>
      <c r="HN21" s="155"/>
      <c r="HO21" s="148"/>
      <c r="HP21" s="33"/>
      <c r="HQ21" s="38"/>
      <c r="HR21" s="143"/>
      <c r="HS21" s="38"/>
      <c r="HT21" s="144"/>
      <c r="HU21" s="150"/>
      <c r="HV21" s="174"/>
      <c r="HW21" s="175"/>
      <c r="HX21" s="176"/>
      <c r="HY21" s="155"/>
      <c r="HZ21" s="148"/>
      <c r="IA21" s="33"/>
      <c r="IB21" s="155"/>
      <c r="IC21" s="148"/>
      <c r="ID21" s="33"/>
      <c r="IE21" s="38"/>
      <c r="IF21" s="143"/>
      <c r="IG21" s="38"/>
      <c r="IH21" s="144"/>
      <c r="II21" s="150"/>
      <c r="IJ21" s="174"/>
      <c r="IK21" s="175"/>
      <c r="IL21" s="176"/>
      <c r="IM21" s="155"/>
      <c r="IN21" s="148"/>
      <c r="IO21" s="33"/>
      <c r="IP21" s="155"/>
      <c r="IQ21" s="148"/>
      <c r="IR21" s="33"/>
      <c r="IS21" s="38"/>
      <c r="IT21" s="143"/>
      <c r="IU21" s="38"/>
      <c r="IV21" s="144"/>
      <c r="IW21" s="143" t="str">
        <f t="shared" si="24"/>
        <v>#REF!</v>
      </c>
      <c r="IX21" s="38"/>
      <c r="IY21" s="144" t="e">
        <v>#REF!</v>
      </c>
    </row>
    <row r="22">
      <c r="A22" s="33"/>
      <c r="B22" s="143" t="s">
        <v>314</v>
      </c>
      <c r="C22" s="38" t="str">
        <f>IFERROR(__xludf.DUMMYFUNCTION("""COMPUTED_VALUE"""),"ac")</f>
        <v>ac</v>
      </c>
      <c r="D22" s="144">
        <v>46111.0</v>
      </c>
      <c r="E22" s="167" t="s">
        <v>315</v>
      </c>
      <c r="F22" s="168">
        <v>4.0</v>
      </c>
      <c r="G22" s="179" t="s">
        <v>316</v>
      </c>
      <c r="H22" s="173" t="s">
        <v>312</v>
      </c>
      <c r="I22" s="171" t="str">
        <f t="array" ref="I22">IFERROR(IF(C22="ac"+ISNUMBER(SEARCH("'",H22))+G22="","", MROUND(SWITCH(C22,"sq",'Personal Info'!$O$15,"bn",'Personal Info'!$S$15,"dl",'Personal Info'!$W$15,"")*IF(H22&gt;10, H22/100, VLOOKUP(H22, _rpe,SUBSTITUTE(G22,"+","")+1,0)), IF( SWITCH(C22:C210,"sq",'Personal Info'!$O$15,"bn",'Personal Info'!$S$15,"dl", 'Personal Info'!$W$15,"")&lt; IF(_uom="lbs", 175, 80), 1.25, IF(_uom="lbs",5,2.5)))),"")</f>
        <v/>
      </c>
      <c r="J22" s="148"/>
      <c r="K22" s="38"/>
      <c r="L22" s="171"/>
      <c r="M22" s="124" t="str">
        <f>IFERROR(__xludf.DUMMYFUNCTION("IF(I22=MAX(FILTER(I$10:I$199,LOOKUP(ROW(C$10:C$199),FILTER(ROW(C$10:C$199),C$10:C$199&lt;&gt;C$9:C$198))=LOOKUP(ROW(C22),FILTER(ROW(C$10:C$199),C$10:C$199&lt;&gt;C$9:C$198)))),J22,)"),"")</f>
        <v/>
      </c>
      <c r="N22" s="122"/>
      <c r="O22" s="38"/>
      <c r="P22" s="143" t="str">
        <f t="shared" si="12"/>
        <v>lats - h</v>
      </c>
      <c r="Q22" s="38" t="str">
        <f>IFERROR(__xludf.DUMMYFUNCTION("""COMPUTED_VALUE"""),"ac")</f>
        <v>ac</v>
      </c>
      <c r="R22" s="144">
        <v>46118.0</v>
      </c>
      <c r="S22" s="167" t="str">
        <f t="shared" si="13"/>
        <v>Chest Supported Row</v>
      </c>
      <c r="T22" s="168">
        <v>4.0</v>
      </c>
      <c r="U22" s="179" t="s">
        <v>316</v>
      </c>
      <c r="V22" s="173" t="s">
        <v>312</v>
      </c>
      <c r="W22" s="171" t="str">
        <f t="array" ref="W22">IFERROR(IF(Q22="ac"+ISNUMBER(SEARCH("'",V22))+U22="","", IF(ISNUMBER(SEARCH("lw",V22)), I22 + SUBSTITUTE(V22,"lw+",""), MROUND(SWITCH(Q22,"sq",U$7,"bn",V$7,"dl",W$7,"")*IF(V22&gt;10, V22/100, VLOOKUP(V22, _rpe,SUBSTITUTE(U22,"+","")+1,0)), IF( SWITCH(Q22,"sq",U$7,"bn",V$7,"dl", W$7,"")&lt; IF(_uom="lbs", 175, 80), 1.25, IF(_uom="lbs",5,2.5))))), "")</f>
        <v/>
      </c>
      <c r="X22" s="148"/>
      <c r="Y22" s="38"/>
      <c r="Z22" s="171"/>
      <c r="AA22" s="124" t="str">
        <f>IFERROR(__xludf.DUMMYFUNCTION("IF(W22=MAX(FILTER(W$10:W$199,LOOKUP(ROW(Q$10:Q$199),FILTER(ROW(Q$10:Q$199),Q$10:Q$199&lt;&gt;Q$9:Q$198))=LOOKUP(ROW(Q22),FILTER(ROW(Q$10:Q$199),Q$10:Q$199&lt;&gt;Q$9:Q$198)))),X22,)"),"")</f>
        <v/>
      </c>
      <c r="AB22" s="122"/>
      <c r="AC22" s="38"/>
      <c r="AD22" s="143" t="str">
        <f t="shared" si="14"/>
        <v>lats - h</v>
      </c>
      <c r="AE22" s="38" t="str">
        <f>IFERROR(__xludf.DUMMYFUNCTION("""COMPUTED_VALUE"""),"ac")</f>
        <v>ac</v>
      </c>
      <c r="AF22" s="144">
        <v>46125.0</v>
      </c>
      <c r="AG22" s="167" t="str">
        <f t="shared" si="54"/>
        <v>Chest Supported Row</v>
      </c>
      <c r="AH22" s="168">
        <v>4.0</v>
      </c>
      <c r="AI22" s="179" t="s">
        <v>316</v>
      </c>
      <c r="AJ22" s="172" t="str">
        <f t="shared" si="82"/>
        <v>@7</v>
      </c>
      <c r="AK22" s="171" t="str">
        <f t="array" ref="AK22">IFERROR(IF(AE22="ac"+ISNUMBER(SEARCH("'",AJ22))+AI22="","", IF(ISNUMBER(SEARCH("lw",AJ22)), W22 + SUBSTITUTE(AJ22,"lw+",""), MROUND(SWITCH(AE22,"sq",AI$7,"bn",AJ$7,"dl",AK$7,"")*IF(AJ22&gt;10, AJ22/100, VLOOKUP(AJ22, _rpe,SUBSTITUTE(AI22,"+","")+1,0)), IF( SWITCH(AE22,"sq",AI$7,"bn",AJ$7,"dl", AK$7,"")&lt; IF(_uom="lbs", 175, 80), 1.25, IF(_uom="lbs",5,2.5))))), "")</f>
        <v/>
      </c>
      <c r="AL22" s="148"/>
      <c r="AM22" s="38"/>
      <c r="AN22" s="171"/>
      <c r="AO22" s="124" t="str">
        <f>IFERROR(__xludf.DUMMYFUNCTION("IF(AK22=MAX(FILTER(AK$10:AK$199,LOOKUP(ROW(AE$10:AE$199),FILTER(ROW(AE$10:AE$199),AE$10:AE$199&lt;&gt;AE$9:AE$198))=LOOKUP(ROW(AE22),FILTER(ROW(AE$10:AE$199),AE$10:AE$199&lt;&gt;AE$9:AE$198)))),AL22,)"),"")</f>
        <v/>
      </c>
      <c r="AP22" s="122"/>
      <c r="AQ22" s="38"/>
      <c r="AR22" s="143" t="str">
        <f t="shared" si="16"/>
        <v>lats - h</v>
      </c>
      <c r="AS22" s="38" t="str">
        <f>IFERROR(__xludf.DUMMYFUNCTION("""COMPUTED_VALUE"""),"ac")</f>
        <v>ac</v>
      </c>
      <c r="AT22" s="144">
        <v>46132.0</v>
      </c>
      <c r="AU22" s="167" t="str">
        <f t="shared" si="26"/>
        <v>Chest Supported Row</v>
      </c>
      <c r="AV22" s="168">
        <f t="shared" si="57"/>
        <v>4</v>
      </c>
      <c r="AW22" s="179" t="s">
        <v>316</v>
      </c>
      <c r="AX22" s="172" t="str">
        <f t="shared" si="84"/>
        <v>@7</v>
      </c>
      <c r="AY22" s="171" t="str">
        <f t="array" ref="AY22">IFERROR(IF(AS22="ac"+ISNUMBER(SEARCH("'",AX22))+AW22="","", IF(ISNUMBER(SEARCH("lw",AX22)), AK22 + SUBSTITUTE(AX22,"lw+",""), MROUND(SWITCH(AS22,"sq",AW$7,"bn",AX$7,"dl",AY$7,"")*IF(AX22&gt;10, AX22/100, VLOOKUP(AX22, _rpe,SUBSTITUTE(AW22,"+","")+1,0)), IF( SWITCH(AS22,"sq",AW$7,"bn",AX$7,"dl", AY$7,"")&lt; IF(_uom="lbs", 175, 80), 1.25, IF(_uom="lbs",5,2.5))))), "")</f>
        <v/>
      </c>
      <c r="AZ22" s="148"/>
      <c r="BA22" s="38"/>
      <c r="BB22" s="171"/>
      <c r="BC22" s="124" t="str">
        <f>IFERROR(__xludf.DUMMYFUNCTION("IF(AY22=MAX(FILTER(AY$10:AY$199,LOOKUP(ROW(AS$10:AS$199),FILTER(ROW(AS$10:AS$199),AS$10:AS$199&lt;&gt;AS$9:AS$198))=LOOKUP(ROW(AS22),FILTER(ROW(AS$10:AS$199),AS$10:AS$199&lt;&gt;AS$9:AS$198)))),AZ22,)"),"")</f>
        <v/>
      </c>
      <c r="BD22" s="122"/>
      <c r="BE22" s="38"/>
      <c r="BF22" s="143" t="str">
        <f t="shared" si="17"/>
        <v>lats - h</v>
      </c>
      <c r="BG22" s="38" t="str">
        <f>IFERROR(__xludf.DUMMYFUNCTION("""COMPUTED_VALUE"""),"ac")</f>
        <v>ac</v>
      </c>
      <c r="BH22" s="144">
        <v>46139.0</v>
      </c>
      <c r="BI22" s="167" t="str">
        <f t="shared" si="18"/>
        <v>Chest Supported Row</v>
      </c>
      <c r="BJ22" s="168">
        <v>4.0</v>
      </c>
      <c r="BK22" s="179" t="s">
        <v>317</v>
      </c>
      <c r="BL22" s="173" t="s">
        <v>312</v>
      </c>
      <c r="BM22" s="171" t="str">
        <f t="array" ref="BM22">IFERROR(IF(BG22="ac"+ISNUMBER(SEARCH("'",BL22))+BK22="","", IF(ISNUMBER(SEARCH("lw",BL22)), AY22 + SUBSTITUTE(BL22,"lw+",""), MROUND(SWITCH(BG22,"sq",BK$7,"bn",BL$7,"dl",BM$7,"")*IF(BL22&gt;10, BL22/100, VLOOKUP(BL22, _rpe,SUBSTITUTE(BK22,"+","")+1,0)), IF( SWITCH(BG22,"sq",BK$7,"bn",BL$7,"dl", BM$7,"")&lt; IF(_uom="lbs", 175, 80), 1.25, IF(_uom="lbs",5,2.5))))), "")</f>
        <v/>
      </c>
      <c r="BN22" s="148"/>
      <c r="BO22" s="38"/>
      <c r="BP22" s="171"/>
      <c r="BQ22" s="124" t="str">
        <f>IFERROR(__xludf.DUMMYFUNCTION("IF(BM22=MAX(FILTER(BM$10:BM$199,LOOKUP(ROW(BG$10:BG$199),FILTER(ROW(BG$10:BG$199),BG$10:BG$199&lt;&gt;BG$9:BG$198))=LOOKUP(ROW(BG22),FILTER(ROW(BG$10:BG$199),BG$10:BG$199&lt;&gt;BG$9:BG$198)))),BN22,)"),"")</f>
        <v/>
      </c>
      <c r="BR22" s="122"/>
      <c r="BS22" s="38"/>
      <c r="BT22" s="143" t="str">
        <f t="shared" si="19"/>
        <v>lats - h</v>
      </c>
      <c r="BU22" s="38" t="str">
        <f>IFERROR(__xludf.DUMMYFUNCTION("""COMPUTED_VALUE"""),"ac")</f>
        <v>ac</v>
      </c>
      <c r="BV22" s="144">
        <v>46146.0</v>
      </c>
      <c r="BW22" s="167" t="str">
        <f t="shared" si="20"/>
        <v>Chest Supported Row</v>
      </c>
      <c r="BX22" s="168">
        <v>4.0</v>
      </c>
      <c r="BY22" s="179" t="s">
        <v>317</v>
      </c>
      <c r="BZ22" s="173" t="s">
        <v>312</v>
      </c>
      <c r="CA22" s="171" t="str">
        <f t="array" ref="CA22">IFERROR(IF(BU22="ac"+ISNUMBER(SEARCH("'",BZ22))+BY22="","", IF(ISNUMBER(SEARCH("lw",BZ22)), BM22 + SUBSTITUTE(BZ22,"lw+",""), MROUND(SWITCH(BU22,"sq",BY$7,"bn",BZ$7,"dl",CA$7,"")*IF(BZ22&gt;10, BZ22/100, VLOOKUP(BZ22, _rpe,SUBSTITUTE(BY22,"+","")+1,0)), IF( SWITCH(BU22,"sq",BY$7,"bn",BZ$7,"dl", CA$7,"")&lt; IF(_uom="lbs", 175, 80), 1.25, IF(_uom="lbs",5,2.5))))), "")</f>
        <v/>
      </c>
      <c r="CB22" s="148"/>
      <c r="CC22" s="38"/>
      <c r="CD22" s="171"/>
      <c r="CE22" s="124" t="str">
        <f>IFERROR(__xludf.DUMMYFUNCTION("IF(CA22=MAX(FILTER(CA$10:CA$199,LOOKUP(ROW(BU$10:BU$199),FILTER(ROW(BU$10:BU$199),BU$10:BU$199&lt;&gt;BU$9:BU$198))=LOOKUP(ROW(BU22),FILTER(ROW(BU$10:BU$199),BU$10:BU$199&lt;&gt;BU$9:BU$198)))),CB22,)"),"")</f>
        <v/>
      </c>
      <c r="CF22" s="122"/>
      <c r="CG22" s="38"/>
      <c r="CH22" s="143" t="str">
        <f t="shared" si="21"/>
        <v>lats - h</v>
      </c>
      <c r="CI22" s="38" t="str">
        <f>IFERROR(__xludf.DUMMYFUNCTION("""COMPUTED_VALUE"""),"ac")</f>
        <v>ac</v>
      </c>
      <c r="CJ22" s="144">
        <v>46153.0</v>
      </c>
      <c r="CK22" s="167" t="str">
        <f t="shared" si="27"/>
        <v>Chest Supported Row</v>
      </c>
      <c r="CL22" s="168">
        <f t="shared" si="91"/>
        <v>4</v>
      </c>
      <c r="CM22" s="179" t="s">
        <v>317</v>
      </c>
      <c r="CN22" s="173" t="s">
        <v>312</v>
      </c>
      <c r="CO22" s="171" t="str">
        <f t="array" ref="CO22">IFERROR(IF(CI22="ac"+ISNUMBER(SEARCH("'",CN22))+CM22="","", IF(ISNUMBER(SEARCH("lw",CN22)), CA22 + SUBSTITUTE(CN22,"lw+",""), MROUND(SWITCH(CI22,"sq",CM$7,"bn",CN$7,"dl",CO$7,"")*IF(CN22&gt;10, CN22/100, VLOOKUP(CN22, _rpe,SUBSTITUTE(CM22,"+","")+1,0)), IF( SWITCH(CI22,"sq",CM$7,"bn",CN$7,"dl", CO$7,"")&lt; IF(_uom="lbs", 175, 80), 1.25, IF(_uom="lbs",5,2.5))))), "")</f>
        <v/>
      </c>
      <c r="CP22" s="148"/>
      <c r="CQ22" s="38"/>
      <c r="CR22" s="171"/>
      <c r="CS22" s="124" t="str">
        <f>IFERROR(__xludf.DUMMYFUNCTION("IF(CO22=MAX(FILTER(CO$10:CO$199,LOOKUP(ROW(CI$10:CI$199),FILTER(ROW(CI$10:CI$199),CI$10:CI$199&lt;&gt;CI$9:CI$198))=LOOKUP(ROW(CI22),FILTER(ROW(CI$10:CI$199),CI$10:CI$199&lt;&gt;CI$9:CI$198)))),CP22,)"),"")</f>
        <v/>
      </c>
      <c r="CT22" s="122"/>
      <c r="CU22" s="38"/>
      <c r="CV22" s="143" t="str">
        <f t="shared" si="22"/>
        <v>lats - h</v>
      </c>
      <c r="CW22" s="38" t="str">
        <f>IFERROR(__xludf.DUMMYFUNCTION("""COMPUTED_VALUE"""),"ac")</f>
        <v>ac</v>
      </c>
      <c r="CX22" s="144">
        <v>46160.0</v>
      </c>
      <c r="CY22" s="167" t="str">
        <f t="shared" si="28"/>
        <v>Chest Supported Row</v>
      </c>
      <c r="CZ22" s="168">
        <f t="shared" si="94"/>
        <v>4</v>
      </c>
      <c r="DA22" s="179" t="s">
        <v>317</v>
      </c>
      <c r="DB22" s="172" t="str">
        <f t="shared" si="96"/>
        <v>@7</v>
      </c>
      <c r="DC22" s="171" t="str">
        <f t="array" ref="DC22">IFERROR(IF(CW22="ac"+ISNUMBER(SEARCH("'",DB22))+DA22="","", IF(ISNUMBER(SEARCH("lw",DB22)), CO22 + SUBSTITUTE(DB22,"lw+",""), MROUND(SWITCH(CW22,"sq",DA$7,"bn",DB$7,"dl",DC$7,"")*IF(DB22&gt;10, DB22/100, VLOOKUP(DB22, _rpe,SUBSTITUTE(DA22,"+","")+1,0)), IF( SWITCH(CW22,"sq",DA$7,"bn",DB$7,"dl", DC$7,"")&lt; IF(_uom="lbs", 175, 80), 1.25, IF(_uom="lbs",5,2.5))))), "")</f>
        <v/>
      </c>
      <c r="DD22" s="148"/>
      <c r="DE22" s="38"/>
      <c r="DF22" s="171"/>
      <c r="DG22" s="124" t="str">
        <f>IFERROR(__xludf.DUMMYFUNCTION("IF(DC22=MAX(FILTER(DC$10:DC$199,LOOKUP(ROW(CW$10:CW$199),FILTER(ROW(CW$10:CW$199),CW$10:CW$199&lt;&gt;CW$9:CW$198))=LOOKUP(ROW(CW22),FILTER(ROW(CW$10:CW$199),CW$10:CW$199&lt;&gt;CW$9:CW$198)))),DD22,)"),"")</f>
        <v/>
      </c>
      <c r="DH22" s="122"/>
      <c r="DI22" s="38"/>
      <c r="DJ22" s="143" t="str">
        <f t="shared" si="23"/>
        <v>lats - h</v>
      </c>
      <c r="DK22" s="38" t="str">
        <f>IFERROR(__xludf.DUMMYFUNCTION("""COMPUTED_VALUE"""),"dl")</f>
        <v>dl</v>
      </c>
      <c r="DL22" s="144">
        <v>46167.0</v>
      </c>
      <c r="DM22" s="167" t="s">
        <v>75</v>
      </c>
      <c r="DN22" s="168">
        <v>5.0</v>
      </c>
      <c r="DO22" s="169">
        <v>1.0</v>
      </c>
      <c r="DP22" s="172">
        <v>75.0</v>
      </c>
      <c r="DQ22" s="171">
        <f t="array" ref="DQ22">IFERROR(IF(DK22="ac"+ISNUMBER(SEARCH("'",DP22))+DO22="","", IF(ISNUMBER(SEARCH("lw",DP22)), DC22 + SUBSTITUTE(DP22,"lw+",""), MROUND(SWITCH(DK22,"sq",DO$7,"bn",DP$7,"dl",DQ$7,"")*IF(DP22&gt;10, DP22/100, VLOOKUP(DP22, _rpe,SUBSTITUTE(DO22,"+","")+1,0)), IF( SWITCH(DK22,"sq",DO$7,"bn",DP$7,"dl", DQ$7,"")&lt; IF(_uom="lbs", 175, 80), 1.25, IF(_uom="lbs",5,2.5))))), "")</f>
        <v>170</v>
      </c>
      <c r="DR22" s="148"/>
      <c r="DS22" s="38"/>
      <c r="DT22" s="171"/>
      <c r="DU22" s="124" t="str">
        <f>IFERROR(__xludf.DUMMYFUNCTION("IF(DQ22=MAX(FILTER(DQ$10:DQ$199,LOOKUP(ROW(DK$10:DK$199),FILTER(ROW(DK$10:DK$199),DK$10:DK$199&lt;&gt;DK$9:DK$198))=LOOKUP(ROW(DK22),FILTER(ROW(DK$10:DK$199),DK$10:DK$199&lt;&gt;DK$9:DK$198)))),DR22,)"),"")</f>
        <v/>
      </c>
      <c r="DV22" s="122"/>
      <c r="DW22" s="38"/>
      <c r="DX22" s="143"/>
      <c r="DY22" s="38"/>
      <c r="DZ22" s="144"/>
      <c r="EA22" s="150"/>
      <c r="EB22" s="174"/>
      <c r="EC22" s="175"/>
      <c r="ED22" s="155"/>
      <c r="EE22" s="155"/>
      <c r="EF22" s="148"/>
      <c r="EG22" s="38"/>
      <c r="EH22" s="155"/>
      <c r="EI22" s="148"/>
      <c r="EJ22" s="33"/>
      <c r="EK22" s="38"/>
      <c r="EL22" s="143"/>
      <c r="EM22" s="38"/>
      <c r="EN22" s="144"/>
      <c r="EO22" s="150"/>
      <c r="EP22" s="174"/>
      <c r="EQ22" s="175"/>
      <c r="ER22" s="176"/>
      <c r="ES22" s="155"/>
      <c r="ET22" s="148"/>
      <c r="EU22" s="38"/>
      <c r="EV22" s="155"/>
      <c r="EW22" s="148"/>
      <c r="EX22" s="33"/>
      <c r="EY22" s="38"/>
      <c r="EZ22" s="143"/>
      <c r="FA22" s="38"/>
      <c r="FB22" s="144"/>
      <c r="FC22" s="150"/>
      <c r="FD22" s="174"/>
      <c r="FE22" s="175"/>
      <c r="FF22" s="176"/>
      <c r="FG22" s="155"/>
      <c r="FH22" s="148"/>
      <c r="FI22" s="38"/>
      <c r="FJ22" s="155"/>
      <c r="FK22" s="148"/>
      <c r="FL22" s="33"/>
      <c r="FM22" s="38"/>
      <c r="FN22" s="143"/>
      <c r="FO22" s="38"/>
      <c r="FP22" s="144"/>
      <c r="FQ22" s="150"/>
      <c r="FR22" s="174"/>
      <c r="FS22" s="175"/>
      <c r="FT22" s="176"/>
      <c r="FU22" s="155"/>
      <c r="FV22" s="148"/>
      <c r="FW22" s="38"/>
      <c r="FX22" s="155"/>
      <c r="FY22" s="148"/>
      <c r="FZ22" s="33"/>
      <c r="GA22" s="38"/>
      <c r="GB22" s="143"/>
      <c r="GC22" s="38"/>
      <c r="GD22" s="144"/>
      <c r="GE22" s="150"/>
      <c r="GF22" s="174"/>
      <c r="GG22" s="175"/>
      <c r="GH22" s="176"/>
      <c r="GI22" s="155"/>
      <c r="GJ22" s="148"/>
      <c r="GK22" s="38"/>
      <c r="GL22" s="155"/>
      <c r="GM22" s="148"/>
      <c r="GN22" s="33"/>
      <c r="GO22" s="38"/>
      <c r="GP22" s="143"/>
      <c r="GQ22" s="38"/>
      <c r="GR22" s="144"/>
      <c r="GS22" s="150"/>
      <c r="GT22" s="174"/>
      <c r="GU22" s="175"/>
      <c r="GV22" s="176"/>
      <c r="GW22" s="155"/>
      <c r="GX22" s="148"/>
      <c r="GY22" s="38"/>
      <c r="GZ22" s="155"/>
      <c r="HA22" s="148"/>
      <c r="HB22" s="33"/>
      <c r="HC22" s="38"/>
      <c r="HD22" s="143"/>
      <c r="HE22" s="38"/>
      <c r="HF22" s="144"/>
      <c r="HG22" s="150"/>
      <c r="HH22" s="174"/>
      <c r="HI22" s="175"/>
      <c r="HJ22" s="176"/>
      <c r="HK22" s="155"/>
      <c r="HL22" s="148"/>
      <c r="HM22" s="38"/>
      <c r="HN22" s="155"/>
      <c r="HO22" s="148"/>
      <c r="HP22" s="33"/>
      <c r="HQ22" s="38"/>
      <c r="HR22" s="143"/>
      <c r="HS22" s="38"/>
      <c r="HT22" s="144"/>
      <c r="HU22" s="150"/>
      <c r="HV22" s="174"/>
      <c r="HW22" s="175"/>
      <c r="HX22" s="176"/>
      <c r="HY22" s="155"/>
      <c r="HZ22" s="148"/>
      <c r="IA22" s="38"/>
      <c r="IB22" s="155"/>
      <c r="IC22" s="148"/>
      <c r="ID22" s="33"/>
      <c r="IE22" s="38"/>
      <c r="IF22" s="143"/>
      <c r="IG22" s="38"/>
      <c r="IH22" s="144"/>
      <c r="II22" s="150"/>
      <c r="IJ22" s="174"/>
      <c r="IK22" s="175"/>
      <c r="IL22" s="176"/>
      <c r="IM22" s="155"/>
      <c r="IN22" s="148"/>
      <c r="IO22" s="38"/>
      <c r="IP22" s="155"/>
      <c r="IQ22" s="148"/>
      <c r="IR22" s="33"/>
      <c r="IS22" s="38"/>
      <c r="IT22" s="143"/>
      <c r="IU22" s="38"/>
      <c r="IV22" s="144"/>
      <c r="IW22" s="143" t="str">
        <f t="shared" si="24"/>
        <v>#REF!</v>
      </c>
      <c r="IX22" s="38"/>
      <c r="IY22" s="144" t="e">
        <v>#REF!</v>
      </c>
    </row>
    <row r="23">
      <c r="A23" s="33"/>
      <c r="B23" s="143" t="s">
        <v>318</v>
      </c>
      <c r="C23" s="38" t="str">
        <f>IFERROR(__xludf.DUMMYFUNCTION("""COMPUTED_VALUE"""),"ac")</f>
        <v>ac</v>
      </c>
      <c r="D23" s="144">
        <v>46111.0</v>
      </c>
      <c r="E23" s="167" t="s">
        <v>319</v>
      </c>
      <c r="F23" s="168">
        <v>3.0</v>
      </c>
      <c r="G23" s="169">
        <v>30.0</v>
      </c>
      <c r="H23" s="171"/>
      <c r="I23" s="171" t="str">
        <f t="array" ref="I23">IFERROR(IF(C23="ac"+ISNUMBER(SEARCH("'",H23))+G23="","", MROUND(SWITCH(C23,"sq",'Personal Info'!$O$15,"bn",'Personal Info'!$S$15,"dl",'Personal Info'!$W$15,"")*IF(H23&gt;10, H23/100, VLOOKUP(H23, _rpe,SUBSTITUTE(G23,"+","")+1,0)), IF( SWITCH(C23:C210,"sq",'Personal Info'!$O$15,"bn",'Personal Info'!$S$15,"dl", 'Personal Info'!$W$15,"")&lt; IF(_uom="lbs", 175, 80), 1.25, IF(_uom="lbs",5,2.5)))),"")</f>
        <v/>
      </c>
      <c r="J23" s="148"/>
      <c r="K23" s="38"/>
      <c r="L23" s="171"/>
      <c r="M23" s="124" t="str">
        <f>IFERROR(__xludf.DUMMYFUNCTION("IF(I23=MAX(FILTER(I$10:I$199,LOOKUP(ROW(C$10:C$199),FILTER(ROW(C$10:C$199),C$10:C$199&lt;&gt;C$9:C$198))=LOOKUP(ROW(C23),FILTER(ROW(C$10:C$199),C$10:C$199&lt;&gt;C$9:C$198)))),J23,)"),"")</f>
        <v/>
      </c>
      <c r="N23" s="122"/>
      <c r="O23" s="38"/>
      <c r="P23" s="143" t="str">
        <f t="shared" si="12"/>
        <v>upper body stability</v>
      </c>
      <c r="Q23" s="38" t="str">
        <f>IFERROR(__xludf.DUMMYFUNCTION("""COMPUTED_VALUE"""),"ac")</f>
        <v>ac</v>
      </c>
      <c r="R23" s="144">
        <v>46118.0</v>
      </c>
      <c r="S23" s="167" t="str">
        <f t="shared" si="13"/>
        <v>Band Pull-Aparts</v>
      </c>
      <c r="T23" s="168">
        <v>3.0</v>
      </c>
      <c r="U23" s="169">
        <v>30.0</v>
      </c>
      <c r="V23" s="171"/>
      <c r="W23" s="171" t="str">
        <f t="array" ref="W23">IFERROR(IF(Q23="ac"+ISNUMBER(SEARCH("'",V23))+U23="","", IF(ISNUMBER(SEARCH("lw",V23)), I23 + SUBSTITUTE(V23,"lw+",""), MROUND(SWITCH(Q23,"sq",U$7,"bn",V$7,"dl",W$7,"")*IF(V23&gt;10, V23/100, VLOOKUP(V23, _rpe,SUBSTITUTE(U23,"+","")+1,0)), IF( SWITCH(Q23,"sq",U$7,"bn",V$7,"dl", W$7,"")&lt; IF(_uom="lbs", 175, 80), 1.25, IF(_uom="lbs",5,2.5))))), "")</f>
        <v/>
      </c>
      <c r="X23" s="148"/>
      <c r="Y23" s="38"/>
      <c r="Z23" s="171"/>
      <c r="AA23" s="124" t="str">
        <f>IFERROR(__xludf.DUMMYFUNCTION("IF(W23=MAX(FILTER(W$10:W$199,LOOKUP(ROW(Q$10:Q$199),FILTER(ROW(Q$10:Q$199),Q$10:Q$199&lt;&gt;Q$9:Q$198))=LOOKUP(ROW(Q23),FILTER(ROW(Q$10:Q$199),Q$10:Q$199&lt;&gt;Q$9:Q$198)))),X23,)"),"")</f>
        <v/>
      </c>
      <c r="AB23" s="122"/>
      <c r="AC23" s="38"/>
      <c r="AD23" s="143" t="str">
        <f t="shared" si="14"/>
        <v>upper body stability</v>
      </c>
      <c r="AE23" s="38" t="str">
        <f>IFERROR(__xludf.DUMMYFUNCTION("""COMPUTED_VALUE"""),"ac")</f>
        <v>ac</v>
      </c>
      <c r="AF23" s="144">
        <v>46125.0</v>
      </c>
      <c r="AG23" s="167" t="str">
        <f t="shared" si="54"/>
        <v>Band Pull-Aparts</v>
      </c>
      <c r="AH23" s="180">
        <v>3.0</v>
      </c>
      <c r="AI23" s="169">
        <v>30.0</v>
      </c>
      <c r="AJ23" s="172" t="str">
        <f t="shared" si="82"/>
        <v/>
      </c>
      <c r="AK23" s="171" t="str">
        <f t="array" ref="AK23">IFERROR(IF(AE23="ac"+ISNUMBER(SEARCH("'",AJ23))+AI23="","", IF(ISNUMBER(SEARCH("lw",AJ23)), W23 + SUBSTITUTE(AJ23,"lw+",""), MROUND(SWITCH(AE23,"sq",AI$7,"bn",AJ$7,"dl",AK$7,"")*IF(AJ23&gt;10, AJ23/100, VLOOKUP(AJ23, _rpe,SUBSTITUTE(AI23,"+","")+1,0)), IF( SWITCH(AE23,"sq",AI$7,"bn",AJ$7,"dl", AK$7,"")&lt; IF(_uom="lbs", 175, 80), 1.25, IF(_uom="lbs",5,2.5))))), "")</f>
        <v/>
      </c>
      <c r="AL23" s="148"/>
      <c r="AM23" s="38"/>
      <c r="AN23" s="171"/>
      <c r="AO23" s="124" t="str">
        <f>IFERROR(__xludf.DUMMYFUNCTION("IF(AK23=MAX(FILTER(AK$10:AK$199,LOOKUP(ROW(AE$10:AE$199),FILTER(ROW(AE$10:AE$199),AE$10:AE$199&lt;&gt;AE$9:AE$198))=LOOKUP(ROW(AE23),FILTER(ROW(AE$10:AE$199),AE$10:AE$199&lt;&gt;AE$9:AE$198)))),AL23,)"),"")</f>
        <v/>
      </c>
      <c r="AP23" s="122"/>
      <c r="AQ23" s="38"/>
      <c r="AR23" s="143" t="str">
        <f t="shared" si="16"/>
        <v>upper body stability</v>
      </c>
      <c r="AS23" s="38" t="str">
        <f>IFERROR(__xludf.DUMMYFUNCTION("""COMPUTED_VALUE"""),"ac")</f>
        <v>ac</v>
      </c>
      <c r="AT23" s="144">
        <v>46132.0</v>
      </c>
      <c r="AU23" s="167" t="str">
        <f t="shared" si="26"/>
        <v>Band Pull-Aparts</v>
      </c>
      <c r="AV23" s="168">
        <f t="shared" si="57"/>
        <v>3</v>
      </c>
      <c r="AW23" s="169">
        <v>30.0</v>
      </c>
      <c r="AX23" s="172" t="str">
        <f t="shared" si="84"/>
        <v/>
      </c>
      <c r="AY23" s="171" t="str">
        <f t="array" ref="AY23">IFERROR(IF(AS23="ac"+ISNUMBER(SEARCH("'",AX23))+AW23="","", IF(ISNUMBER(SEARCH("lw",AX23)), AK23 + SUBSTITUTE(AX23,"lw+",""), MROUND(SWITCH(AS23,"sq",AW$7,"bn",AX$7,"dl",AY$7,"")*IF(AX23&gt;10, AX23/100, VLOOKUP(AX23, _rpe,SUBSTITUTE(AW23,"+","")+1,0)), IF( SWITCH(AS23,"sq",AW$7,"bn",AX$7,"dl", AY$7,"")&lt; IF(_uom="lbs", 175, 80), 1.25, IF(_uom="lbs",5,2.5))))), "")</f>
        <v/>
      </c>
      <c r="AZ23" s="148"/>
      <c r="BA23" s="38"/>
      <c r="BB23" s="171"/>
      <c r="BC23" s="124" t="str">
        <f>IFERROR(__xludf.DUMMYFUNCTION("IF(AY23=MAX(FILTER(AY$10:AY$199,LOOKUP(ROW(AS$10:AS$199),FILTER(ROW(AS$10:AS$199),AS$10:AS$199&lt;&gt;AS$9:AS$198))=LOOKUP(ROW(AS23),FILTER(ROW(AS$10:AS$199),AS$10:AS$199&lt;&gt;AS$9:AS$198)))),AZ23,)"),"")</f>
        <v/>
      </c>
      <c r="BD23" s="122"/>
      <c r="BE23" s="38"/>
      <c r="BF23" s="143" t="str">
        <f t="shared" si="17"/>
        <v>upper body stability</v>
      </c>
      <c r="BG23" s="38" t="str">
        <f>IFERROR(__xludf.DUMMYFUNCTION("""COMPUTED_VALUE"""),"ac")</f>
        <v>ac</v>
      </c>
      <c r="BH23" s="144">
        <v>46139.0</v>
      </c>
      <c r="BI23" s="167" t="str">
        <f t="shared" si="18"/>
        <v>Band Pull-Aparts</v>
      </c>
      <c r="BJ23" s="168">
        <v>3.0</v>
      </c>
      <c r="BK23" s="169">
        <v>30.0</v>
      </c>
      <c r="BL23" s="171"/>
      <c r="BM23" s="171" t="str">
        <f t="array" ref="BM23">IFERROR(IF(BG23="ac"+ISNUMBER(SEARCH("'",BL23))+BK23="","", IF(ISNUMBER(SEARCH("lw",BL23)), AY23 + SUBSTITUTE(BL23,"lw+",""), MROUND(SWITCH(BG23,"sq",BK$7,"bn",BL$7,"dl",BM$7,"")*IF(BL23&gt;10, BL23/100, VLOOKUP(BL23, _rpe,SUBSTITUTE(BK23,"+","")+1,0)), IF( SWITCH(BG23,"sq",BK$7,"bn",BL$7,"dl", BM$7,"")&lt; IF(_uom="lbs", 175, 80), 1.25, IF(_uom="lbs",5,2.5))))), "")</f>
        <v/>
      </c>
      <c r="BN23" s="148"/>
      <c r="BO23" s="38"/>
      <c r="BP23" s="171"/>
      <c r="BQ23" s="124" t="str">
        <f>IFERROR(__xludf.DUMMYFUNCTION("IF(BM23=MAX(FILTER(BM$10:BM$199,LOOKUP(ROW(BG$10:BG$199),FILTER(ROW(BG$10:BG$199),BG$10:BG$199&lt;&gt;BG$9:BG$198))=LOOKUP(ROW(BG23),FILTER(ROW(BG$10:BG$199),BG$10:BG$199&lt;&gt;BG$9:BG$198)))),BN23,)"),"")</f>
        <v/>
      </c>
      <c r="BR23" s="122"/>
      <c r="BS23" s="38"/>
      <c r="BT23" s="143" t="str">
        <f t="shared" si="19"/>
        <v>upper body stability</v>
      </c>
      <c r="BU23" s="38" t="str">
        <f>IFERROR(__xludf.DUMMYFUNCTION("""COMPUTED_VALUE"""),"ac")</f>
        <v>ac</v>
      </c>
      <c r="BV23" s="144">
        <v>46146.0</v>
      </c>
      <c r="BW23" s="167" t="str">
        <f t="shared" si="20"/>
        <v>Band Pull-Aparts</v>
      </c>
      <c r="BX23" s="168">
        <v>3.0</v>
      </c>
      <c r="BY23" s="169">
        <f t="shared" ref="BY23:BY31" si="100">IF( OR(ISBLANK(BK23),BK23=""),"", BK23)</f>
        <v>30</v>
      </c>
      <c r="BZ23" s="171"/>
      <c r="CA23" s="171" t="str">
        <f t="array" ref="CA23">IFERROR(IF(BU23="ac"+ISNUMBER(SEARCH("'",BZ23))+BY23="","", IF(ISNUMBER(SEARCH("lw",BZ23)), BM23 + SUBSTITUTE(BZ23,"lw+",""), MROUND(SWITCH(BU23,"sq",BY$7,"bn",BZ$7,"dl",CA$7,"")*IF(BZ23&gt;10, BZ23/100, VLOOKUP(BZ23, _rpe,SUBSTITUTE(BY23,"+","")+1,0)), IF( SWITCH(BU23,"sq",BY$7,"bn",BZ$7,"dl", CA$7,"")&lt; IF(_uom="lbs", 175, 80), 1.25, IF(_uom="lbs",5,2.5))))), "")</f>
        <v/>
      </c>
      <c r="CB23" s="148"/>
      <c r="CC23" s="38"/>
      <c r="CD23" s="171"/>
      <c r="CE23" s="124" t="str">
        <f>IFERROR(__xludf.DUMMYFUNCTION("IF(CA23=MAX(FILTER(CA$10:CA$199,LOOKUP(ROW(BU$10:BU$199),FILTER(ROW(BU$10:BU$199),BU$10:BU$199&lt;&gt;BU$9:BU$198))=LOOKUP(ROW(BU23),FILTER(ROW(BU$10:BU$199),BU$10:BU$199&lt;&gt;BU$9:BU$198)))),CB23,)"),"")</f>
        <v/>
      </c>
      <c r="CF23" s="122"/>
      <c r="CG23" s="38"/>
      <c r="CH23" s="143" t="str">
        <f t="shared" si="21"/>
        <v>upper body stability</v>
      </c>
      <c r="CI23" s="38" t="str">
        <f>IFERROR(__xludf.DUMMYFUNCTION("""COMPUTED_VALUE"""),"ac")</f>
        <v>ac</v>
      </c>
      <c r="CJ23" s="144">
        <v>46153.0</v>
      </c>
      <c r="CK23" s="167" t="str">
        <f t="shared" si="27"/>
        <v>Band Pull-Aparts</v>
      </c>
      <c r="CL23" s="168">
        <f t="shared" si="91"/>
        <v>3</v>
      </c>
      <c r="CM23" s="169">
        <f t="shared" ref="CM23:CM31" si="101">IF( OR(ISBLANK(BY23),BY23=""),"", BY23)</f>
        <v>30</v>
      </c>
      <c r="CN23" s="171"/>
      <c r="CO23" s="171" t="str">
        <f t="array" ref="CO23">IFERROR(IF(CI23="ac"+ISNUMBER(SEARCH("'",CN23))+CM23="","", IF(ISNUMBER(SEARCH("lw",CN23)), CA23 + SUBSTITUTE(CN23,"lw+",""), MROUND(SWITCH(CI23,"sq",CM$7,"bn",CN$7,"dl",CO$7,"")*IF(CN23&gt;10, CN23/100, VLOOKUP(CN23, _rpe,SUBSTITUTE(CM23,"+","")+1,0)), IF( SWITCH(CI23,"sq",CM$7,"bn",CN$7,"dl", CO$7,"")&lt; IF(_uom="lbs", 175, 80), 1.25, IF(_uom="lbs",5,2.5))))), "")</f>
        <v/>
      </c>
      <c r="CP23" s="148"/>
      <c r="CQ23" s="38"/>
      <c r="CR23" s="171"/>
      <c r="CS23" s="124" t="str">
        <f>IFERROR(__xludf.DUMMYFUNCTION("IF(CO23=MAX(FILTER(CO$10:CO$199,LOOKUP(ROW(CI$10:CI$199),FILTER(ROW(CI$10:CI$199),CI$10:CI$199&lt;&gt;CI$9:CI$198))=LOOKUP(ROW(CI23),FILTER(ROW(CI$10:CI$199),CI$10:CI$199&lt;&gt;CI$9:CI$198)))),CP23,)"),"")</f>
        <v/>
      </c>
      <c r="CT23" s="122"/>
      <c r="CU23" s="38"/>
      <c r="CV23" s="143" t="str">
        <f t="shared" si="22"/>
        <v>upper body stability</v>
      </c>
      <c r="CW23" s="38" t="str">
        <f>IFERROR(__xludf.DUMMYFUNCTION("""COMPUTED_VALUE"""),"ac")</f>
        <v>ac</v>
      </c>
      <c r="CX23" s="144">
        <v>46160.0</v>
      </c>
      <c r="CY23" s="167" t="str">
        <f t="shared" si="28"/>
        <v>Band Pull-Aparts</v>
      </c>
      <c r="CZ23" s="168">
        <f t="shared" si="94"/>
        <v>3</v>
      </c>
      <c r="DA23" s="169">
        <f t="shared" ref="DA23:DA31" si="102">IF( OR(ISBLANK(CM23),CM23=""),"", CM23)</f>
        <v>30</v>
      </c>
      <c r="DB23" s="172" t="str">
        <f t="shared" si="96"/>
        <v/>
      </c>
      <c r="DC23" s="171" t="str">
        <f t="array" ref="DC23">IFERROR(IF(CW23="ac"+ISNUMBER(SEARCH("'",DB23))+DA23="","", IF(ISNUMBER(SEARCH("lw",DB23)), CO23 + SUBSTITUTE(DB23,"lw+",""), MROUND(SWITCH(CW23,"sq",DA$7,"bn",DB$7,"dl",DC$7,"")*IF(DB23&gt;10, DB23/100, VLOOKUP(DB23, _rpe,SUBSTITUTE(DA23,"+","")+1,0)), IF( SWITCH(CW23,"sq",DA$7,"bn",DB$7,"dl", DC$7,"")&lt; IF(_uom="lbs", 175, 80), 1.25, IF(_uom="lbs",5,2.5))))), "")</f>
        <v/>
      </c>
      <c r="DD23" s="148"/>
      <c r="DE23" s="38"/>
      <c r="DF23" s="171"/>
      <c r="DG23" s="124" t="str">
        <f>IFERROR(__xludf.DUMMYFUNCTION("IF(DC23=MAX(FILTER(DC$10:DC$199,LOOKUP(ROW(CW$10:CW$199),FILTER(ROW(CW$10:CW$199),CW$10:CW$199&lt;&gt;CW$9:CW$198))=LOOKUP(ROW(CW23),FILTER(ROW(CW$10:CW$199),CW$10:CW$199&lt;&gt;CW$9:CW$198)))),DD23,)"),"")</f>
        <v/>
      </c>
      <c r="DH23" s="122"/>
      <c r="DI23" s="38"/>
      <c r="DJ23" s="143" t="str">
        <f t="shared" si="23"/>
        <v>upper body stability</v>
      </c>
      <c r="DK23" s="38" t="str">
        <f>IFERROR(__xludf.DUMMYFUNCTION("""COMPUTED_VALUE"""),"ac")</f>
        <v>ac</v>
      </c>
      <c r="DL23" s="144">
        <v>46167.0</v>
      </c>
      <c r="DM23" s="167" t="str">
        <f t="shared" ref="DM23:DN23" si="99">IF(ISBLANK(CY23),"",CY23)</f>
        <v>Band Pull-Aparts</v>
      </c>
      <c r="DN23" s="168">
        <f t="shared" si="99"/>
        <v>3</v>
      </c>
      <c r="DO23" s="169">
        <f t="shared" ref="DO23:DO31" si="104">IF( OR(ISBLANK(DA23),DA23=""),"", DA23)</f>
        <v>30</v>
      </c>
      <c r="DP23" s="171"/>
      <c r="DQ23" s="171" t="str">
        <f t="array" ref="DQ23">IFERROR(IF(DK23="ac"+ISNUMBER(SEARCH("'",DP23))+DO23="","", IF(ISNUMBER(SEARCH("lw",DP23)), DC23 + SUBSTITUTE(DP23,"lw+",""), MROUND(SWITCH(DK23,"sq",DO$7,"bn",DP$7,"dl",DQ$7,"")*IF(DP23&gt;10, DP23/100, VLOOKUP(DP23, _rpe,SUBSTITUTE(DO23,"+","")+1,0)), IF( SWITCH(DK23,"sq",DO$7,"bn",DP$7,"dl", DQ$7,"")&lt; IF(_uom="lbs", 175, 80), 1.25, IF(_uom="lbs",5,2.5))))), "")</f>
        <v/>
      </c>
      <c r="DR23" s="148"/>
      <c r="DS23" s="38"/>
      <c r="DT23" s="171"/>
      <c r="DU23" s="124" t="str">
        <f>IFERROR(__xludf.DUMMYFUNCTION("IF(DQ23=MAX(FILTER(DQ$10:DQ$199,LOOKUP(ROW(DK$10:DK$199),FILTER(ROW(DK$10:DK$199),DK$10:DK$199&lt;&gt;DK$9:DK$198))=LOOKUP(ROW(DK23),FILTER(ROW(DK$10:DK$199),DK$10:DK$199&lt;&gt;DK$9:DK$198)))),DR23,)"),"")</f>
        <v/>
      </c>
      <c r="DV23" s="122"/>
      <c r="DW23" s="38"/>
      <c r="DX23" s="143"/>
      <c r="DY23" s="38"/>
      <c r="DZ23" s="144"/>
      <c r="EA23" s="150"/>
      <c r="EB23" s="174"/>
      <c r="EC23" s="175"/>
      <c r="ED23" s="155"/>
      <c r="EE23" s="155"/>
      <c r="EF23" s="148"/>
      <c r="EG23" s="38"/>
      <c r="EH23" s="155"/>
      <c r="EI23" s="148"/>
      <c r="EJ23" s="33"/>
      <c r="EK23" s="38"/>
      <c r="EL23" s="143"/>
      <c r="EM23" s="38"/>
      <c r="EN23" s="144"/>
      <c r="EO23" s="150"/>
      <c r="EP23" s="174"/>
      <c r="EQ23" s="175"/>
      <c r="ER23" s="176"/>
      <c r="ES23" s="155"/>
      <c r="ET23" s="148"/>
      <c r="EU23" s="38"/>
      <c r="EV23" s="155"/>
      <c r="EW23" s="148"/>
      <c r="EX23" s="33"/>
      <c r="EY23" s="38"/>
      <c r="EZ23" s="143"/>
      <c r="FA23" s="38"/>
      <c r="FB23" s="144"/>
      <c r="FC23" s="150"/>
      <c r="FD23" s="174"/>
      <c r="FE23" s="175"/>
      <c r="FF23" s="176"/>
      <c r="FG23" s="155"/>
      <c r="FH23" s="148"/>
      <c r="FI23" s="38"/>
      <c r="FJ23" s="155"/>
      <c r="FK23" s="148"/>
      <c r="FL23" s="33"/>
      <c r="FM23" s="38"/>
      <c r="FN23" s="143"/>
      <c r="FO23" s="38"/>
      <c r="FP23" s="144"/>
      <c r="FQ23" s="150"/>
      <c r="FR23" s="174"/>
      <c r="FS23" s="175"/>
      <c r="FT23" s="176"/>
      <c r="FU23" s="155"/>
      <c r="FV23" s="148"/>
      <c r="FW23" s="38"/>
      <c r="FX23" s="155"/>
      <c r="FY23" s="148"/>
      <c r="FZ23" s="33"/>
      <c r="GA23" s="38"/>
      <c r="GB23" s="143"/>
      <c r="GC23" s="38"/>
      <c r="GD23" s="144"/>
      <c r="GE23" s="150"/>
      <c r="GF23" s="174"/>
      <c r="GG23" s="175"/>
      <c r="GH23" s="176"/>
      <c r="GI23" s="155"/>
      <c r="GJ23" s="148"/>
      <c r="GK23" s="38"/>
      <c r="GL23" s="155"/>
      <c r="GM23" s="148"/>
      <c r="GN23" s="33"/>
      <c r="GO23" s="38"/>
      <c r="GP23" s="143"/>
      <c r="GQ23" s="38"/>
      <c r="GR23" s="144"/>
      <c r="GS23" s="150"/>
      <c r="GT23" s="174"/>
      <c r="GU23" s="175"/>
      <c r="GV23" s="176"/>
      <c r="GW23" s="155"/>
      <c r="GX23" s="148"/>
      <c r="GY23" s="38"/>
      <c r="GZ23" s="155"/>
      <c r="HA23" s="148"/>
      <c r="HB23" s="33"/>
      <c r="HC23" s="38"/>
      <c r="HD23" s="143"/>
      <c r="HE23" s="38"/>
      <c r="HF23" s="144"/>
      <c r="HG23" s="150"/>
      <c r="HH23" s="174"/>
      <c r="HI23" s="175"/>
      <c r="HJ23" s="176"/>
      <c r="HK23" s="155"/>
      <c r="HL23" s="148"/>
      <c r="HM23" s="38"/>
      <c r="HN23" s="155"/>
      <c r="HO23" s="148"/>
      <c r="HP23" s="33"/>
      <c r="HQ23" s="38"/>
      <c r="HR23" s="143"/>
      <c r="HS23" s="38"/>
      <c r="HT23" s="144"/>
      <c r="HU23" s="150"/>
      <c r="HV23" s="174"/>
      <c r="HW23" s="175"/>
      <c r="HX23" s="176"/>
      <c r="HY23" s="155"/>
      <c r="HZ23" s="148"/>
      <c r="IA23" s="38"/>
      <c r="IB23" s="155"/>
      <c r="IC23" s="148"/>
      <c r="ID23" s="33"/>
      <c r="IE23" s="38"/>
      <c r="IF23" s="143"/>
      <c r="IG23" s="38"/>
      <c r="IH23" s="144"/>
      <c r="II23" s="150"/>
      <c r="IJ23" s="174"/>
      <c r="IK23" s="175"/>
      <c r="IL23" s="176"/>
      <c r="IM23" s="155"/>
      <c r="IN23" s="148"/>
      <c r="IO23" s="38"/>
      <c r="IP23" s="155"/>
      <c r="IQ23" s="148"/>
      <c r="IR23" s="33"/>
      <c r="IS23" s="38"/>
      <c r="IT23" s="143"/>
      <c r="IU23" s="38"/>
      <c r="IV23" s="144"/>
      <c r="IW23" s="143" t="str">
        <f t="shared" si="24"/>
        <v>#REF!</v>
      </c>
      <c r="IX23" s="38"/>
      <c r="IY23" s="144" t="e">
        <v>#REF!</v>
      </c>
    </row>
    <row r="24">
      <c r="A24" s="33"/>
      <c r="B24" s="143"/>
      <c r="C24" s="38" t="str">
        <f>IFERROR(__xludf.DUMMYFUNCTION("""COMPUTED_VALUE"""),"")</f>
        <v/>
      </c>
      <c r="D24" s="144">
        <v>46111.0</v>
      </c>
      <c r="E24" s="167"/>
      <c r="F24" s="168"/>
      <c r="G24" s="169"/>
      <c r="H24" s="170"/>
      <c r="I24" s="171" t="str">
        <f t="array" ref="I24">IFERROR(IF(C24="ac"+ISNUMBER(SEARCH("'",H24))+G24="","", MROUND(SWITCH(C24,"sq",'Personal Info'!$O$15,"bn",'Personal Info'!$S$15,"dl",'Personal Info'!$W$15,"")*IF(H24&gt;10, H24/100, VLOOKUP(H24, _rpe,SUBSTITUTE(G24,"+","")+1,0)), IF( SWITCH(C24:C210,"sq",'Personal Info'!$O$15,"bn",'Personal Info'!$S$15,"dl", 'Personal Info'!$W$15,"")&lt; IF(_uom="lbs", 175, 80), 1.25, IF(_uom="lbs",5,2.5)))),"")</f>
        <v/>
      </c>
      <c r="J24" s="148"/>
      <c r="K24" s="33"/>
      <c r="L24" s="171"/>
      <c r="M24" s="124" t="str">
        <f>IFERROR(__xludf.DUMMYFUNCTION("IF(I24=MAX(FILTER(I$10:I$199,LOOKUP(ROW(C$10:C$199),FILTER(ROW(C$10:C$199),C$10:C$199&lt;&gt;C$9:C$198))=LOOKUP(ROW(C24),FILTER(ROW(C$10:C$199),C$10:C$199&lt;&gt;C$9:C$198)))),J24,)"),"")</f>
        <v/>
      </c>
      <c r="N24" s="122"/>
      <c r="O24" s="38"/>
      <c r="P24" s="143" t="str">
        <f t="shared" si="12"/>
        <v/>
      </c>
      <c r="Q24" s="38" t="str">
        <f>IFERROR(__xludf.DUMMYFUNCTION("""COMPUTED_VALUE"""),"")</f>
        <v/>
      </c>
      <c r="R24" s="144">
        <v>46118.0</v>
      </c>
      <c r="S24" s="167" t="str">
        <f t="shared" si="13"/>
        <v/>
      </c>
      <c r="T24" s="168"/>
      <c r="U24" s="169"/>
      <c r="V24" s="172"/>
      <c r="W24" s="171" t="str">
        <f t="array" ref="W24">IFERROR(IF(Q24="ac"+ISNUMBER(SEARCH("'",V24))+U24="","", IF(ISNUMBER(SEARCH("lw",V24)), I24 + SUBSTITUTE(V24,"lw+",""), MROUND(SWITCH(Q24,"sq",U$7,"bn",V$7,"dl",W$7,"")*IF(V24&gt;10, V24/100, VLOOKUP(V24, _rpe,SUBSTITUTE(U24,"+","")+1,0)), IF( SWITCH(Q24,"sq",U$7,"bn",V$7,"dl", W$7,"")&lt; IF(_uom="lbs", 175, 80), 1.25, IF(_uom="lbs",5,2.5))))), "")</f>
        <v/>
      </c>
      <c r="X24" s="148"/>
      <c r="Y24" s="33"/>
      <c r="Z24" s="171"/>
      <c r="AA24" s="124" t="str">
        <f>IFERROR(__xludf.DUMMYFUNCTION("IF(W24=MAX(FILTER(W$10:W$199,LOOKUP(ROW(Q$10:Q$199),FILTER(ROW(Q$10:Q$199),Q$10:Q$199&lt;&gt;Q$9:Q$198))=LOOKUP(ROW(Q24),FILTER(ROW(Q$10:Q$199),Q$10:Q$199&lt;&gt;Q$9:Q$198)))),X24,)"),"")</f>
        <v/>
      </c>
      <c r="AB24" s="122"/>
      <c r="AC24" s="38"/>
      <c r="AD24" s="143" t="str">
        <f t="shared" si="14"/>
        <v/>
      </c>
      <c r="AE24" s="38" t="str">
        <f>IFERROR(__xludf.DUMMYFUNCTION("""COMPUTED_VALUE"""),"")</f>
        <v/>
      </c>
      <c r="AF24" s="144">
        <v>46125.0</v>
      </c>
      <c r="AG24" s="167" t="str">
        <f t="shared" si="54"/>
        <v/>
      </c>
      <c r="AH24" s="168"/>
      <c r="AI24" s="169"/>
      <c r="AJ24" s="172"/>
      <c r="AK24" s="171" t="str">
        <f t="array" ref="AK24">IFERROR(IF(AE24="ac"+ISNUMBER(SEARCH("'",AJ24))+AI24="","", IF(ISNUMBER(SEARCH("lw",AJ24)), W24 + SUBSTITUTE(AJ24,"lw+",""), MROUND(SWITCH(AE24,"sq",AI$7,"bn",AJ$7,"dl",AK$7,"")*IF(AJ24&gt;10, AJ24/100, VLOOKUP(AJ24, _rpe,SUBSTITUTE(AI24,"+","")+1,0)), IF( SWITCH(AE24,"sq",AI$7,"bn",AJ$7,"dl", AK$7,"")&lt; IF(_uom="lbs", 175, 80), 1.25, IF(_uom="lbs",5,2.5))))), "")</f>
        <v/>
      </c>
      <c r="AL24" s="148"/>
      <c r="AM24" s="33"/>
      <c r="AN24" s="171"/>
      <c r="AO24" s="124" t="str">
        <f>IFERROR(__xludf.DUMMYFUNCTION("IF(AK24=MAX(FILTER(AK$10:AK$199,LOOKUP(ROW(AE$10:AE$199),FILTER(ROW(AE$10:AE$199),AE$10:AE$199&lt;&gt;AE$9:AE$198))=LOOKUP(ROW(AE24),FILTER(ROW(AE$10:AE$199),AE$10:AE$199&lt;&gt;AE$9:AE$198)))),AL24,)"),"")</f>
        <v/>
      </c>
      <c r="AP24" s="122"/>
      <c r="AQ24" s="38"/>
      <c r="AR24" s="143" t="str">
        <f t="shared" si="16"/>
        <v/>
      </c>
      <c r="AS24" s="38" t="str">
        <f>IFERROR(__xludf.DUMMYFUNCTION("""COMPUTED_VALUE"""),"")</f>
        <v/>
      </c>
      <c r="AT24" s="144">
        <v>46132.0</v>
      </c>
      <c r="AU24" s="167" t="str">
        <f t="shared" si="26"/>
        <v/>
      </c>
      <c r="AV24" s="168"/>
      <c r="AW24" s="169"/>
      <c r="AX24" s="172"/>
      <c r="AY24" s="171" t="str">
        <f t="array" ref="AY24">IFERROR(IF(AS24="ac"+ISNUMBER(SEARCH("'",AX24))+AW24="","", IF(ISNUMBER(SEARCH("lw",AX24)), AK24 + SUBSTITUTE(AX24,"lw+",""), MROUND(SWITCH(AS24,"sq",AW$7,"bn",AX$7,"dl",AY$7,"")*IF(AX24&gt;10, AX24/100, VLOOKUP(AX24, _rpe,SUBSTITUTE(AW24,"+","")+1,0)), IF( SWITCH(AS24,"sq",AW$7,"bn",AX$7,"dl", AY$7,"")&lt; IF(_uom="lbs", 175, 80), 1.25, IF(_uom="lbs",5,2.5))))), "")</f>
        <v/>
      </c>
      <c r="AZ24" s="148"/>
      <c r="BA24" s="33"/>
      <c r="BB24" s="171"/>
      <c r="BC24" s="124" t="str">
        <f>IFERROR(__xludf.DUMMYFUNCTION("IF(AY24=MAX(FILTER(AY$10:AY$199,LOOKUP(ROW(AS$10:AS$199),FILTER(ROW(AS$10:AS$199),AS$10:AS$199&lt;&gt;AS$9:AS$198))=LOOKUP(ROW(AS24),FILTER(ROW(AS$10:AS$199),AS$10:AS$199&lt;&gt;AS$9:AS$198)))),AZ24,)"),"")</f>
        <v/>
      </c>
      <c r="BD24" s="122"/>
      <c r="BE24" s="38"/>
      <c r="BF24" s="143" t="str">
        <f t="shared" si="17"/>
        <v/>
      </c>
      <c r="BG24" s="38" t="str">
        <f>IFERROR(__xludf.DUMMYFUNCTION("""COMPUTED_VALUE"""),"")</f>
        <v/>
      </c>
      <c r="BH24" s="144">
        <v>46139.0</v>
      </c>
      <c r="BI24" s="167" t="str">
        <f t="shared" si="18"/>
        <v/>
      </c>
      <c r="BJ24" s="168" t="str">
        <f t="shared" ref="BJ24:BJ31" si="105">IF(ISBLANK(AV24),"",AV24)</f>
        <v/>
      </c>
      <c r="BK24" s="169" t="str">
        <f t="shared" ref="BK24:BK31" si="106">IF( OR(ISBLANK(AW24),AW24=""),"", AW24)</f>
        <v/>
      </c>
      <c r="BL24" s="172" t="str">
        <f t="shared" ref="BL24:BL31" si="107">IF(ISBLANK(AX24),"",AX24)</f>
        <v/>
      </c>
      <c r="BM24" s="171" t="str">
        <f t="array" ref="BM24">IFERROR(IF(BG24="ac"+ISNUMBER(SEARCH("'",BL24))+BK24="","", IF(ISNUMBER(SEARCH("lw",BL24)), AY24 + SUBSTITUTE(BL24,"lw+",""), MROUND(SWITCH(BG24,"sq",BK$7,"bn",BL$7,"dl",BM$7,"")*IF(BL24&gt;10, BL24/100, VLOOKUP(BL24, _rpe,SUBSTITUTE(BK24,"+","")+1,0)), IF( SWITCH(BG24,"sq",BK$7,"bn",BL$7,"dl", BM$7,"")&lt; IF(_uom="lbs", 175, 80), 1.25, IF(_uom="lbs",5,2.5))))), "")</f>
        <v/>
      </c>
      <c r="BN24" s="148"/>
      <c r="BO24" s="33"/>
      <c r="BP24" s="171"/>
      <c r="BQ24" s="124" t="str">
        <f>IFERROR(__xludf.DUMMYFUNCTION("IF(BM24=MAX(FILTER(BM$10:BM$199,LOOKUP(ROW(BG$10:BG$199),FILTER(ROW(BG$10:BG$199),BG$10:BG$199&lt;&gt;BG$9:BG$198))=LOOKUP(ROW(BG24),FILTER(ROW(BG$10:BG$199),BG$10:BG$199&lt;&gt;BG$9:BG$198)))),BN24,)"),"")</f>
        <v/>
      </c>
      <c r="BR24" s="122"/>
      <c r="BS24" s="38"/>
      <c r="BT24" s="143" t="str">
        <f t="shared" si="19"/>
        <v/>
      </c>
      <c r="BU24" s="38" t="str">
        <f>IFERROR(__xludf.DUMMYFUNCTION("""COMPUTED_VALUE"""),"")</f>
        <v/>
      </c>
      <c r="BV24" s="144">
        <v>46146.0</v>
      </c>
      <c r="BW24" s="167" t="str">
        <f t="shared" si="20"/>
        <v/>
      </c>
      <c r="BX24" s="168" t="str">
        <f t="shared" ref="BX24:BX31" si="108">IF(ISBLANK(BJ24),"",BJ24)</f>
        <v/>
      </c>
      <c r="BY24" s="169" t="str">
        <f t="shared" si="100"/>
        <v/>
      </c>
      <c r="BZ24" s="172" t="str">
        <f t="shared" ref="BZ24:BZ31" si="109">IF(ISBLANK(BL24),"",BL24)</f>
        <v/>
      </c>
      <c r="CA24" s="171" t="str">
        <f t="array" ref="CA24">IFERROR(IF(BU24="ac"+ISNUMBER(SEARCH("'",BZ24))+BY24="","", IF(ISNUMBER(SEARCH("lw",BZ24)), BM24 + SUBSTITUTE(BZ24,"lw+",""), MROUND(SWITCH(BU24,"sq",BY$7,"bn",BZ$7,"dl",CA$7,"")*IF(BZ24&gt;10, BZ24/100, VLOOKUP(BZ24, _rpe,SUBSTITUTE(BY24,"+","")+1,0)), IF( SWITCH(BU24,"sq",BY$7,"bn",BZ$7,"dl", CA$7,"")&lt; IF(_uom="lbs", 175, 80), 1.25, IF(_uom="lbs",5,2.5))))), "")</f>
        <v/>
      </c>
      <c r="CB24" s="148"/>
      <c r="CC24" s="33"/>
      <c r="CD24" s="171"/>
      <c r="CE24" s="124" t="str">
        <f>IFERROR(__xludf.DUMMYFUNCTION("IF(CA24=MAX(FILTER(CA$10:CA$199,LOOKUP(ROW(BU$10:BU$199),FILTER(ROW(BU$10:BU$199),BU$10:BU$199&lt;&gt;BU$9:BU$198))=LOOKUP(ROW(BU24),FILTER(ROW(BU$10:BU$199),BU$10:BU$199&lt;&gt;BU$9:BU$198)))),CB24,)"),"")</f>
        <v/>
      </c>
      <c r="CF24" s="122"/>
      <c r="CG24" s="38"/>
      <c r="CH24" s="143" t="str">
        <f t="shared" si="21"/>
        <v/>
      </c>
      <c r="CI24" s="38" t="str">
        <f>IFERROR(__xludf.DUMMYFUNCTION("""COMPUTED_VALUE"""),"")</f>
        <v/>
      </c>
      <c r="CJ24" s="144">
        <v>46153.0</v>
      </c>
      <c r="CK24" s="167" t="str">
        <f t="shared" si="27"/>
        <v/>
      </c>
      <c r="CL24" s="168" t="str">
        <f t="shared" si="91"/>
        <v/>
      </c>
      <c r="CM24" s="169" t="str">
        <f t="shared" si="101"/>
        <v/>
      </c>
      <c r="CN24" s="172" t="str">
        <f t="shared" ref="CN24:CN31" si="110">IF(ISBLANK(BZ24),"",BZ24)</f>
        <v/>
      </c>
      <c r="CO24" s="171" t="str">
        <f t="array" ref="CO24">IFERROR(IF(CI24="ac"+ISNUMBER(SEARCH("'",CN24))+CM24="","", IF(ISNUMBER(SEARCH("lw",CN24)), CA24 + SUBSTITUTE(CN24,"lw+",""), MROUND(SWITCH(CI24,"sq",CM$7,"bn",CN$7,"dl",CO$7,"")*IF(CN24&gt;10, CN24/100, VLOOKUP(CN24, _rpe,SUBSTITUTE(CM24,"+","")+1,0)), IF( SWITCH(CI24,"sq",CM$7,"bn",CN$7,"dl", CO$7,"")&lt; IF(_uom="lbs", 175, 80), 1.25, IF(_uom="lbs",5,2.5))))), "")</f>
        <v/>
      </c>
      <c r="CP24" s="148"/>
      <c r="CQ24" s="33"/>
      <c r="CR24" s="171"/>
      <c r="CS24" s="124" t="str">
        <f>IFERROR(__xludf.DUMMYFUNCTION("IF(CO24=MAX(FILTER(CO$10:CO$199,LOOKUP(ROW(CI$10:CI$199),FILTER(ROW(CI$10:CI$199),CI$10:CI$199&lt;&gt;CI$9:CI$198))=LOOKUP(ROW(CI24),FILTER(ROW(CI$10:CI$199),CI$10:CI$199&lt;&gt;CI$9:CI$198)))),CP24,)"),"")</f>
        <v/>
      </c>
      <c r="CT24" s="122"/>
      <c r="CU24" s="38"/>
      <c r="CV24" s="143" t="str">
        <f t="shared" si="22"/>
        <v/>
      </c>
      <c r="CW24" s="38" t="str">
        <f>IFERROR(__xludf.DUMMYFUNCTION("""COMPUTED_VALUE"""),"")</f>
        <v/>
      </c>
      <c r="CX24" s="144">
        <v>46160.0</v>
      </c>
      <c r="CY24" s="167" t="str">
        <f t="shared" si="28"/>
        <v/>
      </c>
      <c r="CZ24" s="168" t="str">
        <f t="shared" si="94"/>
        <v/>
      </c>
      <c r="DA24" s="169" t="str">
        <f t="shared" si="102"/>
        <v/>
      </c>
      <c r="DB24" s="172" t="str">
        <f t="shared" si="96"/>
        <v/>
      </c>
      <c r="DC24" s="171" t="str">
        <f t="array" ref="DC24">IFERROR(IF(CW24="ac"+ISNUMBER(SEARCH("'",DB24))+DA24="","", IF(ISNUMBER(SEARCH("lw",DB24)), CO24 + SUBSTITUTE(DB24,"lw+",""), MROUND(SWITCH(CW24,"sq",DA$7,"bn",DB$7,"dl",DC$7,"")*IF(DB24&gt;10, DB24/100, VLOOKUP(DB24, _rpe,SUBSTITUTE(DA24,"+","")+1,0)), IF( SWITCH(CW24,"sq",DA$7,"bn",DB$7,"dl", DC$7,"")&lt; IF(_uom="lbs", 175, 80), 1.25, IF(_uom="lbs",5,2.5))))), "")</f>
        <v/>
      </c>
      <c r="DD24" s="148"/>
      <c r="DE24" s="33"/>
      <c r="DF24" s="171"/>
      <c r="DG24" s="124" t="str">
        <f>IFERROR(__xludf.DUMMYFUNCTION("IF(DC24=MAX(FILTER(DC$10:DC$199,LOOKUP(ROW(CW$10:CW$199),FILTER(ROW(CW$10:CW$199),CW$10:CW$199&lt;&gt;CW$9:CW$198))=LOOKUP(ROW(CW24),FILTER(ROW(CW$10:CW$199),CW$10:CW$199&lt;&gt;CW$9:CW$198)))),DD24,)"),"")</f>
        <v/>
      </c>
      <c r="DH24" s="122"/>
      <c r="DI24" s="38"/>
      <c r="DJ24" s="143" t="str">
        <f t="shared" si="23"/>
        <v/>
      </c>
      <c r="DK24" s="38" t="str">
        <f>IFERROR(__xludf.DUMMYFUNCTION("""COMPUTED_VALUE"""),"")</f>
        <v/>
      </c>
      <c r="DL24" s="144">
        <v>46167.0</v>
      </c>
      <c r="DM24" s="167" t="str">
        <f t="shared" ref="DM24:DN24" si="103">IF(ISBLANK(CY24),"",CY24)</f>
        <v/>
      </c>
      <c r="DN24" s="168" t="str">
        <f t="shared" si="103"/>
        <v/>
      </c>
      <c r="DO24" s="169" t="str">
        <f t="shared" si="104"/>
        <v/>
      </c>
      <c r="DP24" s="172" t="str">
        <f t="shared" ref="DP24:DP31" si="112">IF(ISBLANK(DB24),"",DB24)</f>
        <v/>
      </c>
      <c r="DQ24" s="171" t="str">
        <f t="array" ref="DQ24">IFERROR(IF(DK24="ac"+ISNUMBER(SEARCH("'",DP24))+DO24="","", IF(ISNUMBER(SEARCH("lw",DP24)), DC24 + SUBSTITUTE(DP24,"lw+",""), MROUND(SWITCH(DK24,"sq",DO$7,"bn",DP$7,"dl",DQ$7,"")*IF(DP24&gt;10, DP24/100, VLOOKUP(DP24, _rpe,SUBSTITUTE(DO24,"+","")+1,0)), IF( SWITCH(DK24,"sq",DO$7,"bn",DP$7,"dl", DQ$7,"")&lt; IF(_uom="lbs", 175, 80), 1.25, IF(_uom="lbs",5,2.5))))), "")</f>
        <v/>
      </c>
      <c r="DR24" s="148"/>
      <c r="DS24" s="33"/>
      <c r="DT24" s="171"/>
      <c r="DU24" s="124" t="str">
        <f>IFERROR(__xludf.DUMMYFUNCTION("IF(DQ24=MAX(FILTER(DQ$10:DQ$199,LOOKUP(ROW(DK$10:DK$199),FILTER(ROW(DK$10:DK$199),DK$10:DK$199&lt;&gt;DK$9:DK$198))=LOOKUP(ROW(DK24),FILTER(ROW(DK$10:DK$199),DK$10:DK$199&lt;&gt;DK$9:DK$198)))),DR24,)"),"")</f>
        <v/>
      </c>
      <c r="DV24" s="122"/>
      <c r="DW24" s="38"/>
      <c r="DX24" s="143"/>
      <c r="DY24" s="38"/>
      <c r="DZ24" s="144"/>
      <c r="EA24" s="150"/>
      <c r="EB24" s="174"/>
      <c r="EC24" s="175"/>
      <c r="ED24" s="176"/>
      <c r="EE24" s="155"/>
      <c r="EF24" s="148"/>
      <c r="EG24" s="33"/>
      <c r="EH24" s="155"/>
      <c r="EI24" s="148"/>
      <c r="EJ24" s="33"/>
      <c r="EK24" s="38"/>
      <c r="EL24" s="143"/>
      <c r="EM24" s="38"/>
      <c r="EN24" s="144"/>
      <c r="EO24" s="150"/>
      <c r="EP24" s="174"/>
      <c r="EQ24" s="175"/>
      <c r="ER24" s="176"/>
      <c r="ES24" s="155"/>
      <c r="ET24" s="148"/>
      <c r="EU24" s="33"/>
      <c r="EV24" s="155"/>
      <c r="EW24" s="148"/>
      <c r="EX24" s="33"/>
      <c r="EY24" s="38"/>
      <c r="EZ24" s="143"/>
      <c r="FA24" s="38"/>
      <c r="FB24" s="144"/>
      <c r="FC24" s="150"/>
      <c r="FD24" s="174"/>
      <c r="FE24" s="175"/>
      <c r="FF24" s="176"/>
      <c r="FG24" s="155"/>
      <c r="FH24" s="148"/>
      <c r="FI24" s="33"/>
      <c r="FJ24" s="155"/>
      <c r="FK24" s="148"/>
      <c r="FL24" s="33"/>
      <c r="FM24" s="38"/>
      <c r="FN24" s="143"/>
      <c r="FO24" s="38"/>
      <c r="FP24" s="144"/>
      <c r="FQ24" s="150"/>
      <c r="FR24" s="174"/>
      <c r="FS24" s="175"/>
      <c r="FT24" s="176"/>
      <c r="FU24" s="155"/>
      <c r="FV24" s="148"/>
      <c r="FW24" s="33"/>
      <c r="FX24" s="155"/>
      <c r="FY24" s="148"/>
      <c r="FZ24" s="33"/>
      <c r="GA24" s="38"/>
      <c r="GB24" s="143"/>
      <c r="GC24" s="38"/>
      <c r="GD24" s="144"/>
      <c r="GE24" s="150"/>
      <c r="GF24" s="174"/>
      <c r="GG24" s="175"/>
      <c r="GH24" s="176"/>
      <c r="GI24" s="155"/>
      <c r="GJ24" s="148"/>
      <c r="GK24" s="33"/>
      <c r="GL24" s="155"/>
      <c r="GM24" s="148"/>
      <c r="GN24" s="33"/>
      <c r="GO24" s="38"/>
      <c r="GP24" s="143"/>
      <c r="GQ24" s="38"/>
      <c r="GR24" s="144"/>
      <c r="GS24" s="150"/>
      <c r="GT24" s="174"/>
      <c r="GU24" s="175"/>
      <c r="GV24" s="176"/>
      <c r="GW24" s="155"/>
      <c r="GX24" s="148"/>
      <c r="GY24" s="33"/>
      <c r="GZ24" s="155"/>
      <c r="HA24" s="148"/>
      <c r="HB24" s="33"/>
      <c r="HC24" s="38"/>
      <c r="HD24" s="143"/>
      <c r="HE24" s="38"/>
      <c r="HF24" s="144"/>
      <c r="HG24" s="150"/>
      <c r="HH24" s="174"/>
      <c r="HI24" s="175"/>
      <c r="HJ24" s="176"/>
      <c r="HK24" s="155"/>
      <c r="HL24" s="148"/>
      <c r="HM24" s="33"/>
      <c r="HN24" s="155"/>
      <c r="HO24" s="148"/>
      <c r="HP24" s="33"/>
      <c r="HQ24" s="38"/>
      <c r="HR24" s="143"/>
      <c r="HS24" s="38"/>
      <c r="HT24" s="144"/>
      <c r="HU24" s="150"/>
      <c r="HV24" s="174"/>
      <c r="HW24" s="175"/>
      <c r="HX24" s="176"/>
      <c r="HY24" s="155"/>
      <c r="HZ24" s="148"/>
      <c r="IA24" s="33"/>
      <c r="IB24" s="155"/>
      <c r="IC24" s="148"/>
      <c r="ID24" s="33"/>
      <c r="IE24" s="38"/>
      <c r="IF24" s="143"/>
      <c r="IG24" s="38"/>
      <c r="IH24" s="144"/>
      <c r="II24" s="150"/>
      <c r="IJ24" s="174"/>
      <c r="IK24" s="175"/>
      <c r="IL24" s="176"/>
      <c r="IM24" s="155"/>
      <c r="IN24" s="148"/>
      <c r="IO24" s="33"/>
      <c r="IP24" s="155"/>
      <c r="IQ24" s="148"/>
      <c r="IR24" s="33"/>
      <c r="IS24" s="38"/>
      <c r="IT24" s="143"/>
      <c r="IU24" s="38"/>
      <c r="IV24" s="144"/>
      <c r="IW24" s="143" t="str">
        <f t="shared" si="24"/>
        <v>#REF!</v>
      </c>
      <c r="IX24" s="38"/>
      <c r="IY24" s="144" t="e">
        <v>#REF!</v>
      </c>
    </row>
    <row r="25" hidden="1">
      <c r="A25" s="33"/>
      <c r="B25" s="143"/>
      <c r="C25" s="38" t="str">
        <f>IFERROR(__xludf.DUMMYFUNCTION("""COMPUTED_VALUE"""),"")</f>
        <v/>
      </c>
      <c r="D25" s="144">
        <v>46111.0</v>
      </c>
      <c r="E25" s="167"/>
      <c r="F25" s="168"/>
      <c r="G25" s="169"/>
      <c r="H25" s="171"/>
      <c r="I25" s="171" t="str">
        <f t="array" ref="I25">IFERROR(IF(C25="ac"+ISNUMBER(SEARCH("'",H25))+G25="","", MROUND(SWITCH(C25,"sq",'Personal Info'!$O$15,"bn",'Personal Info'!$S$15,"dl",'Personal Info'!$W$15,"")*IF(H25&gt;10, H25/100, VLOOKUP(H25, _rpe,SUBSTITUTE(G25,"+","")+1,0)), IF( SWITCH(C25:C210,"sq",'Personal Info'!$O$15,"bn",'Personal Info'!$S$15,"dl", 'Personal Info'!$W$15,"")&lt; IF(_uom="lbs", 175, 80), 1.25, IF(_uom="lbs",5,2.5)))),"")</f>
        <v/>
      </c>
      <c r="J25" s="148"/>
      <c r="K25" s="33"/>
      <c r="L25" s="171"/>
      <c r="M25" s="124" t="str">
        <f>IFERROR(__xludf.DUMMYFUNCTION("IF(I25=MAX(FILTER(I$10:I$199,LOOKUP(ROW(C$10:C$199),FILTER(ROW(C$10:C$199),C$10:C$199&lt;&gt;C$9:C$198))=LOOKUP(ROW(C25),FILTER(ROW(C$10:C$199),C$10:C$199&lt;&gt;C$9:C$198)))),J25,)"),"")</f>
        <v/>
      </c>
      <c r="N25" s="122"/>
      <c r="O25" s="38"/>
      <c r="P25" s="143" t="str">
        <f t="shared" si="12"/>
        <v/>
      </c>
      <c r="Q25" s="38" t="str">
        <f>IFERROR(__xludf.DUMMYFUNCTION("""COMPUTED_VALUE"""),"")</f>
        <v/>
      </c>
      <c r="R25" s="144">
        <v>46118.0</v>
      </c>
      <c r="S25" s="167" t="str">
        <f t="shared" si="13"/>
        <v/>
      </c>
      <c r="T25" s="168" t="str">
        <f t="shared" ref="T25:T31" si="113">IF(ISBLANK(F25),"",F25)</f>
        <v/>
      </c>
      <c r="U25" s="169" t="str">
        <f t="shared" ref="U25:U35" si="114">IF( OR(ISBLANK(G25),G25=""),"", G25)</f>
        <v/>
      </c>
      <c r="V25" s="172" t="str">
        <f t="shared" ref="V25:V31" si="115">IF(ISBLANK(H25),"",H25)</f>
        <v/>
      </c>
      <c r="W25" s="171" t="str">
        <f t="array" ref="W25">IFERROR(IF(Q25="ac"+ISNUMBER(SEARCH("'",V25))+U25="","", IF(ISNUMBER(SEARCH("lw",V25)), I25 + SUBSTITUTE(V25,"lw+",""), MROUND(SWITCH(Q25,"sq",U$7,"bn",V$7,"dl",W$7,"")*IF(V25&gt;10, V25/100, VLOOKUP(V25, _rpe,SUBSTITUTE(U25,"+","")+1,0)), IF( SWITCH(Q25,"sq",U$7,"bn",V$7,"dl", W$7,"")&lt; IF(_uom="lbs", 175, 80), 1.25, IF(_uom="lbs",5,2.5))))), "")</f>
        <v/>
      </c>
      <c r="X25" s="148"/>
      <c r="Y25" s="33"/>
      <c r="Z25" s="171"/>
      <c r="AA25" s="124" t="str">
        <f>IFERROR(__xludf.DUMMYFUNCTION("IF(W25=MAX(FILTER(W$10:W$199,LOOKUP(ROW(Q$10:Q$199),FILTER(ROW(Q$10:Q$199),Q$10:Q$199&lt;&gt;Q$9:Q$198))=LOOKUP(ROW(Q25),FILTER(ROW(Q$10:Q$199),Q$10:Q$199&lt;&gt;Q$9:Q$198)))),X25,)"),"")</f>
        <v/>
      </c>
      <c r="AB25" s="122"/>
      <c r="AC25" s="38"/>
      <c r="AD25" s="143" t="str">
        <f t="shared" si="14"/>
        <v/>
      </c>
      <c r="AE25" s="38" t="str">
        <f>IFERROR(__xludf.DUMMYFUNCTION("""COMPUTED_VALUE"""),"")</f>
        <v/>
      </c>
      <c r="AF25" s="144">
        <v>46125.0</v>
      </c>
      <c r="AG25" s="167" t="str">
        <f t="shared" si="54"/>
        <v/>
      </c>
      <c r="AH25" s="168" t="str">
        <f t="shared" ref="AH25:AH31" si="116">IF(ISBLANK(T25),"",T25)</f>
        <v/>
      </c>
      <c r="AI25" s="169" t="str">
        <f t="shared" ref="AI25:AI31" si="117">IF( OR(ISBLANK(U25),U25=""),"", U25)</f>
        <v/>
      </c>
      <c r="AJ25" s="172" t="str">
        <f t="shared" ref="AJ25:AJ31" si="118">IF(ISBLANK(V25),"",V25)</f>
        <v/>
      </c>
      <c r="AK25" s="171" t="str">
        <f t="array" ref="AK25">IFERROR(IF(AE25="ac"+ISNUMBER(SEARCH("'",AJ25))+AI25="","", IF(ISNUMBER(SEARCH("lw",AJ25)), W25 + SUBSTITUTE(AJ25,"lw+",""), MROUND(SWITCH(AE25,"sq",AI$7,"bn",AJ$7,"dl",AK$7,"")*IF(AJ25&gt;10, AJ25/100, VLOOKUP(AJ25, _rpe,SUBSTITUTE(AI25,"+","")+1,0)), IF( SWITCH(AE25,"sq",AI$7,"bn",AJ$7,"dl", AK$7,"")&lt; IF(_uom="lbs", 175, 80), 1.25, IF(_uom="lbs",5,2.5))))), "")</f>
        <v/>
      </c>
      <c r="AL25" s="148"/>
      <c r="AM25" s="33"/>
      <c r="AN25" s="171"/>
      <c r="AO25" s="124" t="str">
        <f>IFERROR(__xludf.DUMMYFUNCTION("IF(AK25=MAX(FILTER(AK$10:AK$199,LOOKUP(ROW(AE$10:AE$199),FILTER(ROW(AE$10:AE$199),AE$10:AE$199&lt;&gt;AE$9:AE$198))=LOOKUP(ROW(AE25),FILTER(ROW(AE$10:AE$199),AE$10:AE$199&lt;&gt;AE$9:AE$198)))),AL25,)"),"")</f>
        <v/>
      </c>
      <c r="AP25" s="122"/>
      <c r="AQ25" s="38"/>
      <c r="AR25" s="143" t="str">
        <f t="shared" si="16"/>
        <v/>
      </c>
      <c r="AS25" s="38" t="str">
        <f>IFERROR(__xludf.DUMMYFUNCTION("""COMPUTED_VALUE"""),"")</f>
        <v/>
      </c>
      <c r="AT25" s="144">
        <v>46132.0</v>
      </c>
      <c r="AU25" s="167" t="str">
        <f t="shared" si="26"/>
        <v/>
      </c>
      <c r="AV25" s="168" t="str">
        <f t="shared" ref="AV25:AV31" si="119">IF(ISBLANK(AH25),"",AH25)</f>
        <v/>
      </c>
      <c r="AW25" s="169" t="str">
        <f t="shared" ref="AW25:AW39" si="120">IF( OR(ISBLANK(AI25),AI25=""),"", AI25)</f>
        <v/>
      </c>
      <c r="AX25" s="172" t="str">
        <f t="shared" ref="AX25:AX31" si="121">IF(ISBLANK(AJ25),"",AJ25)</f>
        <v/>
      </c>
      <c r="AY25" s="171" t="str">
        <f t="array" ref="AY25">IFERROR(IF(AS25="ac"+ISNUMBER(SEARCH("'",AX25))+AW25="","", IF(ISNUMBER(SEARCH("lw",AX25)), AK25 + SUBSTITUTE(AX25,"lw+",""), MROUND(SWITCH(AS25,"sq",AW$7,"bn",AX$7,"dl",AY$7,"")*IF(AX25&gt;10, AX25/100, VLOOKUP(AX25, _rpe,SUBSTITUTE(AW25,"+","")+1,0)), IF( SWITCH(AS25,"sq",AW$7,"bn",AX$7,"dl", AY$7,"")&lt; IF(_uom="lbs", 175, 80), 1.25, IF(_uom="lbs",5,2.5))))), "")</f>
        <v/>
      </c>
      <c r="AZ25" s="148"/>
      <c r="BA25" s="33"/>
      <c r="BB25" s="171"/>
      <c r="BC25" s="124" t="str">
        <f>IFERROR(__xludf.DUMMYFUNCTION("IF(AY25=MAX(FILTER(AY$10:AY$199,LOOKUP(ROW(AS$10:AS$199),FILTER(ROW(AS$10:AS$199),AS$10:AS$199&lt;&gt;AS$9:AS$198))=LOOKUP(ROW(AS25),FILTER(ROW(AS$10:AS$199),AS$10:AS$199&lt;&gt;AS$9:AS$198)))),AZ25,)"),"")</f>
        <v/>
      </c>
      <c r="BD25" s="122"/>
      <c r="BE25" s="38"/>
      <c r="BF25" s="143" t="str">
        <f t="shared" si="17"/>
        <v/>
      </c>
      <c r="BG25" s="38" t="str">
        <f>IFERROR(__xludf.DUMMYFUNCTION("""COMPUTED_VALUE"""),"")</f>
        <v/>
      </c>
      <c r="BH25" s="144">
        <v>46139.0</v>
      </c>
      <c r="BI25" s="167" t="str">
        <f t="shared" si="18"/>
        <v/>
      </c>
      <c r="BJ25" s="168" t="str">
        <f t="shared" si="105"/>
        <v/>
      </c>
      <c r="BK25" s="169" t="str">
        <f t="shared" si="106"/>
        <v/>
      </c>
      <c r="BL25" s="172" t="str">
        <f t="shared" si="107"/>
        <v/>
      </c>
      <c r="BM25" s="171" t="str">
        <f t="array" ref="BM25">IFERROR(IF(BG25="ac"+ISNUMBER(SEARCH("'",BL25))+BK25="","", IF(ISNUMBER(SEARCH("lw",BL25)), AY25 + SUBSTITUTE(BL25,"lw+",""), MROUND(SWITCH(BG25,"sq",BK$7,"bn",BL$7,"dl",BM$7,"")*IF(BL25&gt;10, BL25/100, VLOOKUP(BL25, _rpe,SUBSTITUTE(BK25,"+","")+1,0)), IF( SWITCH(BG25,"sq",BK$7,"bn",BL$7,"dl", BM$7,"")&lt; IF(_uom="lbs", 175, 80), 1.25, IF(_uom="lbs",5,2.5))))), "")</f>
        <v/>
      </c>
      <c r="BN25" s="148"/>
      <c r="BO25" s="33"/>
      <c r="BP25" s="171"/>
      <c r="BQ25" s="124" t="str">
        <f>IFERROR(__xludf.DUMMYFUNCTION("IF(BM25=MAX(FILTER(BM$10:BM$199,LOOKUP(ROW(BG$10:BG$199),FILTER(ROW(BG$10:BG$199),BG$10:BG$199&lt;&gt;BG$9:BG$198))=LOOKUP(ROW(BG25),FILTER(ROW(BG$10:BG$199),BG$10:BG$199&lt;&gt;BG$9:BG$198)))),BN25,)"),"")</f>
        <v/>
      </c>
      <c r="BR25" s="122"/>
      <c r="BS25" s="38"/>
      <c r="BT25" s="143" t="str">
        <f t="shared" si="19"/>
        <v/>
      </c>
      <c r="BU25" s="38" t="str">
        <f>IFERROR(__xludf.DUMMYFUNCTION("""COMPUTED_VALUE"""),"")</f>
        <v/>
      </c>
      <c r="BV25" s="144">
        <v>46146.0</v>
      </c>
      <c r="BW25" s="167" t="str">
        <f t="shared" si="20"/>
        <v/>
      </c>
      <c r="BX25" s="168" t="str">
        <f t="shared" si="108"/>
        <v/>
      </c>
      <c r="BY25" s="169" t="str">
        <f t="shared" si="100"/>
        <v/>
      </c>
      <c r="BZ25" s="172" t="str">
        <f t="shared" si="109"/>
        <v/>
      </c>
      <c r="CA25" s="171" t="str">
        <f t="array" ref="CA25">IFERROR(IF(BU25="ac"+ISNUMBER(SEARCH("'",BZ25))+BY25="","", IF(ISNUMBER(SEARCH("lw",BZ25)), BM25 + SUBSTITUTE(BZ25,"lw+",""), MROUND(SWITCH(BU25,"sq",BY$7,"bn",BZ$7,"dl",CA$7,"")*IF(BZ25&gt;10, BZ25/100, VLOOKUP(BZ25, _rpe,SUBSTITUTE(BY25,"+","")+1,0)), IF( SWITCH(BU25,"sq",BY$7,"bn",BZ$7,"dl", CA$7,"")&lt; IF(_uom="lbs", 175, 80), 1.25, IF(_uom="lbs",5,2.5))))), "")</f>
        <v/>
      </c>
      <c r="CB25" s="148"/>
      <c r="CC25" s="33"/>
      <c r="CD25" s="171"/>
      <c r="CE25" s="124" t="str">
        <f>IFERROR(__xludf.DUMMYFUNCTION("IF(CA25=MAX(FILTER(CA$10:CA$199,LOOKUP(ROW(BU$10:BU$199),FILTER(ROW(BU$10:BU$199),BU$10:BU$199&lt;&gt;BU$9:BU$198))=LOOKUP(ROW(BU25),FILTER(ROW(BU$10:BU$199),BU$10:BU$199&lt;&gt;BU$9:BU$198)))),CB25,)"),"")</f>
        <v/>
      </c>
      <c r="CF25" s="122"/>
      <c r="CG25" s="38"/>
      <c r="CH25" s="143" t="str">
        <f t="shared" si="21"/>
        <v/>
      </c>
      <c r="CI25" s="38" t="str">
        <f>IFERROR(__xludf.DUMMYFUNCTION("""COMPUTED_VALUE"""),"")</f>
        <v/>
      </c>
      <c r="CJ25" s="144">
        <v>46153.0</v>
      </c>
      <c r="CK25" s="167" t="str">
        <f t="shared" si="27"/>
        <v/>
      </c>
      <c r="CL25" s="168" t="str">
        <f t="shared" si="91"/>
        <v/>
      </c>
      <c r="CM25" s="169" t="str">
        <f t="shared" si="101"/>
        <v/>
      </c>
      <c r="CN25" s="172" t="str">
        <f t="shared" si="110"/>
        <v/>
      </c>
      <c r="CO25" s="171" t="str">
        <f t="array" ref="CO25">IFERROR(IF(CI25="ac"+ISNUMBER(SEARCH("'",CN25))+CM25="","", IF(ISNUMBER(SEARCH("lw",CN25)), CA25 + SUBSTITUTE(CN25,"lw+",""), MROUND(SWITCH(CI25,"sq",CM$7,"bn",CN$7,"dl",CO$7,"")*IF(CN25&gt;10, CN25/100, VLOOKUP(CN25, _rpe,SUBSTITUTE(CM25,"+","")+1,0)), IF( SWITCH(CI25,"sq",CM$7,"bn",CN$7,"dl", CO$7,"")&lt; IF(_uom="lbs", 175, 80), 1.25, IF(_uom="lbs",5,2.5))))), "")</f>
        <v/>
      </c>
      <c r="CP25" s="148"/>
      <c r="CQ25" s="33"/>
      <c r="CR25" s="171"/>
      <c r="CS25" s="124" t="str">
        <f>IFERROR(__xludf.DUMMYFUNCTION("IF(CO25=MAX(FILTER(CO$10:CO$199,LOOKUP(ROW(CI$10:CI$199),FILTER(ROW(CI$10:CI$199),CI$10:CI$199&lt;&gt;CI$9:CI$198))=LOOKUP(ROW(CI25),FILTER(ROW(CI$10:CI$199),CI$10:CI$199&lt;&gt;CI$9:CI$198)))),CP25,)"),"")</f>
        <v/>
      </c>
      <c r="CT25" s="122"/>
      <c r="CU25" s="38"/>
      <c r="CV25" s="143" t="str">
        <f t="shared" si="22"/>
        <v/>
      </c>
      <c r="CW25" s="38" t="str">
        <f>IFERROR(__xludf.DUMMYFUNCTION("""COMPUTED_VALUE"""),"")</f>
        <v/>
      </c>
      <c r="CX25" s="144">
        <v>46160.0</v>
      </c>
      <c r="CY25" s="167" t="str">
        <f t="shared" si="28"/>
        <v/>
      </c>
      <c r="CZ25" s="168" t="str">
        <f t="shared" si="94"/>
        <v/>
      </c>
      <c r="DA25" s="169" t="str">
        <f t="shared" si="102"/>
        <v/>
      </c>
      <c r="DB25" s="172" t="str">
        <f t="shared" si="96"/>
        <v/>
      </c>
      <c r="DC25" s="171" t="str">
        <f t="array" ref="DC25">IFERROR(IF(CW25="ac"+ISNUMBER(SEARCH("'",DB25))+DA25="","", IF(ISNUMBER(SEARCH("lw",DB25)), CO25 + SUBSTITUTE(DB25,"lw+",""), MROUND(SWITCH(CW25,"sq",DA$7,"bn",DB$7,"dl",DC$7,"")*IF(DB25&gt;10, DB25/100, VLOOKUP(DB25, _rpe,SUBSTITUTE(DA25,"+","")+1,0)), IF( SWITCH(CW25,"sq",DA$7,"bn",DB$7,"dl", DC$7,"")&lt; IF(_uom="lbs", 175, 80), 1.25, IF(_uom="lbs",5,2.5))))), "")</f>
        <v/>
      </c>
      <c r="DD25" s="148"/>
      <c r="DE25" s="33"/>
      <c r="DF25" s="171"/>
      <c r="DG25" s="124" t="str">
        <f>IFERROR(__xludf.DUMMYFUNCTION("IF(DC25=MAX(FILTER(DC$10:DC$199,LOOKUP(ROW(CW$10:CW$199),FILTER(ROW(CW$10:CW$199),CW$10:CW$199&lt;&gt;CW$9:CW$198))=LOOKUP(ROW(CW25),FILTER(ROW(CW$10:CW$199),CW$10:CW$199&lt;&gt;CW$9:CW$198)))),DD25,)"),"")</f>
        <v/>
      </c>
      <c r="DH25" s="122"/>
      <c r="DI25" s="38"/>
      <c r="DJ25" s="143" t="str">
        <f t="shared" si="23"/>
        <v/>
      </c>
      <c r="DK25" s="38" t="str">
        <f>IFERROR(__xludf.DUMMYFUNCTION("""COMPUTED_VALUE"""),"")</f>
        <v/>
      </c>
      <c r="DL25" s="144">
        <v>46167.0</v>
      </c>
      <c r="DM25" s="167" t="str">
        <f t="shared" ref="DM25:DN25" si="111">IF(ISBLANK(CY25),"",CY25)</f>
        <v/>
      </c>
      <c r="DN25" s="168" t="str">
        <f t="shared" si="111"/>
        <v/>
      </c>
      <c r="DO25" s="169" t="str">
        <f t="shared" si="104"/>
        <v/>
      </c>
      <c r="DP25" s="172" t="str">
        <f t="shared" si="112"/>
        <v/>
      </c>
      <c r="DQ25" s="171" t="str">
        <f t="array" ref="DQ25">IFERROR(IF(DK25="ac"+ISNUMBER(SEARCH("'",DP25))+DO25="","", IF(ISNUMBER(SEARCH("lw",DP25)), DC25 + SUBSTITUTE(DP25,"lw+",""), MROUND(SWITCH(DK25,"sq",DO$7,"bn",DP$7,"dl",DQ$7,"")*IF(DP25&gt;10, DP25/100, VLOOKUP(DP25, _rpe,SUBSTITUTE(DO25,"+","")+1,0)), IF( SWITCH(DK25,"sq",DO$7,"bn",DP$7,"dl", DQ$7,"")&lt; IF(_uom="lbs", 175, 80), 1.25, IF(_uom="lbs",5,2.5))))), "")</f>
        <v/>
      </c>
      <c r="DR25" s="148"/>
      <c r="DS25" s="33"/>
      <c r="DT25" s="171"/>
      <c r="DU25" s="124" t="str">
        <f>IFERROR(__xludf.DUMMYFUNCTION("IF(DQ25=MAX(FILTER(DQ$10:DQ$199,LOOKUP(ROW(DK$10:DK$199),FILTER(ROW(DK$10:DK$199),DK$10:DK$199&lt;&gt;DK$9:DK$198))=LOOKUP(ROW(DK25),FILTER(ROW(DK$10:DK$199),DK$10:DK$199&lt;&gt;DK$9:DK$198)))),DR25,)"),"")</f>
        <v/>
      </c>
      <c r="DV25" s="122"/>
      <c r="DW25" s="38"/>
      <c r="DX25" s="143"/>
      <c r="DY25" s="38"/>
      <c r="DZ25" s="144"/>
      <c r="EA25" s="150"/>
      <c r="EB25" s="174"/>
      <c r="EC25" s="175"/>
      <c r="ED25" s="176"/>
      <c r="EE25" s="155"/>
      <c r="EF25" s="148"/>
      <c r="EG25" s="33"/>
      <c r="EH25" s="155"/>
      <c r="EI25" s="148"/>
      <c r="EJ25" s="33"/>
      <c r="EK25" s="38"/>
      <c r="EL25" s="143"/>
      <c r="EM25" s="38"/>
      <c r="EN25" s="144"/>
      <c r="EO25" s="150"/>
      <c r="EP25" s="174"/>
      <c r="EQ25" s="175"/>
      <c r="ER25" s="176"/>
      <c r="ES25" s="155"/>
      <c r="ET25" s="148"/>
      <c r="EU25" s="33"/>
      <c r="EV25" s="155"/>
      <c r="EW25" s="148"/>
      <c r="EX25" s="33"/>
      <c r="EY25" s="38"/>
      <c r="EZ25" s="143"/>
      <c r="FA25" s="38"/>
      <c r="FB25" s="144"/>
      <c r="FC25" s="150"/>
      <c r="FD25" s="174"/>
      <c r="FE25" s="175"/>
      <c r="FF25" s="176"/>
      <c r="FG25" s="155"/>
      <c r="FH25" s="148"/>
      <c r="FI25" s="33"/>
      <c r="FJ25" s="155"/>
      <c r="FK25" s="148"/>
      <c r="FL25" s="33"/>
      <c r="FM25" s="38"/>
      <c r="FN25" s="143"/>
      <c r="FO25" s="38"/>
      <c r="FP25" s="144"/>
      <c r="FQ25" s="150"/>
      <c r="FR25" s="174"/>
      <c r="FS25" s="175"/>
      <c r="FT25" s="176"/>
      <c r="FU25" s="155"/>
      <c r="FV25" s="148"/>
      <c r="FW25" s="33"/>
      <c r="FX25" s="155"/>
      <c r="FY25" s="148"/>
      <c r="FZ25" s="33"/>
      <c r="GA25" s="38"/>
      <c r="GB25" s="143"/>
      <c r="GC25" s="38"/>
      <c r="GD25" s="144"/>
      <c r="GE25" s="150"/>
      <c r="GF25" s="174"/>
      <c r="GG25" s="175"/>
      <c r="GH25" s="176"/>
      <c r="GI25" s="155"/>
      <c r="GJ25" s="148"/>
      <c r="GK25" s="33"/>
      <c r="GL25" s="155"/>
      <c r="GM25" s="148"/>
      <c r="GN25" s="33"/>
      <c r="GO25" s="38"/>
      <c r="GP25" s="143"/>
      <c r="GQ25" s="38"/>
      <c r="GR25" s="144"/>
      <c r="GS25" s="150"/>
      <c r="GT25" s="174"/>
      <c r="GU25" s="175"/>
      <c r="GV25" s="176"/>
      <c r="GW25" s="155"/>
      <c r="GX25" s="148"/>
      <c r="GY25" s="33"/>
      <c r="GZ25" s="155"/>
      <c r="HA25" s="148"/>
      <c r="HB25" s="33"/>
      <c r="HC25" s="38"/>
      <c r="HD25" s="143"/>
      <c r="HE25" s="38"/>
      <c r="HF25" s="144"/>
      <c r="HG25" s="150"/>
      <c r="HH25" s="174"/>
      <c r="HI25" s="175"/>
      <c r="HJ25" s="176"/>
      <c r="HK25" s="155"/>
      <c r="HL25" s="148"/>
      <c r="HM25" s="33"/>
      <c r="HN25" s="155"/>
      <c r="HO25" s="148"/>
      <c r="HP25" s="33"/>
      <c r="HQ25" s="38"/>
      <c r="HR25" s="143"/>
      <c r="HS25" s="38"/>
      <c r="HT25" s="144"/>
      <c r="HU25" s="150"/>
      <c r="HV25" s="174"/>
      <c r="HW25" s="175"/>
      <c r="HX25" s="176"/>
      <c r="HY25" s="155"/>
      <c r="HZ25" s="148"/>
      <c r="IA25" s="33"/>
      <c r="IB25" s="155"/>
      <c r="IC25" s="148"/>
      <c r="ID25" s="33"/>
      <c r="IE25" s="38"/>
      <c r="IF25" s="143"/>
      <c r="IG25" s="38"/>
      <c r="IH25" s="144"/>
      <c r="II25" s="150"/>
      <c r="IJ25" s="174"/>
      <c r="IK25" s="175"/>
      <c r="IL25" s="176"/>
      <c r="IM25" s="155"/>
      <c r="IN25" s="148"/>
      <c r="IO25" s="33"/>
      <c r="IP25" s="155"/>
      <c r="IQ25" s="148"/>
      <c r="IR25" s="33"/>
      <c r="IS25" s="38"/>
      <c r="IT25" s="143"/>
      <c r="IU25" s="38"/>
      <c r="IV25" s="144"/>
      <c r="IW25" s="143" t="str">
        <f t="shared" si="24"/>
        <v>#REF!</v>
      </c>
      <c r="IX25" s="38"/>
      <c r="IY25" s="144" t="e">
        <v>#REF!</v>
      </c>
    </row>
    <row r="26" hidden="1">
      <c r="A26" s="33"/>
      <c r="B26" s="143"/>
      <c r="C26" s="38" t="str">
        <f>IFERROR(__xludf.DUMMYFUNCTION("""COMPUTED_VALUE"""),"")</f>
        <v/>
      </c>
      <c r="D26" s="144">
        <v>46111.0</v>
      </c>
      <c r="E26" s="167"/>
      <c r="F26" s="168"/>
      <c r="G26" s="169"/>
      <c r="H26" s="170"/>
      <c r="I26" s="171" t="str">
        <f t="array" ref="I26">IFERROR(IF(C26="ac"+ISNUMBER(SEARCH("'",H26))+G26="","", MROUND(SWITCH(C26,"sq",'Personal Info'!$O$15,"bn",'Personal Info'!$S$15,"dl",'Personal Info'!$W$15,"")*IF(H26&gt;10, H26/100, VLOOKUP(H26, _rpe,SUBSTITUTE(G26,"+","")+1,0)), IF( SWITCH(C26:C210,"sq",'Personal Info'!$O$15,"bn",'Personal Info'!$S$15,"dl", 'Personal Info'!$W$15,"")&lt; IF(_uom="lbs", 175, 80), 1.25, IF(_uom="lbs",5,2.5)))),"")</f>
        <v/>
      </c>
      <c r="J26" s="148"/>
      <c r="K26" s="33"/>
      <c r="L26" s="171"/>
      <c r="M26" s="124" t="str">
        <f>IFERROR(__xludf.DUMMYFUNCTION("IF(I26=MAX(FILTER(I$10:I$199,LOOKUP(ROW(C$10:C$199),FILTER(ROW(C$10:C$199),C$10:C$199&lt;&gt;C$9:C$198))=LOOKUP(ROW(C26),FILTER(ROW(C$10:C$199),C$10:C$199&lt;&gt;C$9:C$198)))),J26,)"),"")</f>
        <v/>
      </c>
      <c r="N26" s="122"/>
      <c r="O26" s="38"/>
      <c r="P26" s="143" t="str">
        <f t="shared" si="12"/>
        <v/>
      </c>
      <c r="Q26" s="38" t="str">
        <f>IFERROR(__xludf.DUMMYFUNCTION("""COMPUTED_VALUE"""),"")</f>
        <v/>
      </c>
      <c r="R26" s="144">
        <v>46118.0</v>
      </c>
      <c r="S26" s="167" t="str">
        <f t="shared" si="13"/>
        <v/>
      </c>
      <c r="T26" s="168" t="str">
        <f t="shared" si="113"/>
        <v/>
      </c>
      <c r="U26" s="169" t="str">
        <f t="shared" si="114"/>
        <v/>
      </c>
      <c r="V26" s="172" t="str">
        <f t="shared" si="115"/>
        <v/>
      </c>
      <c r="W26" s="171" t="str">
        <f t="array" ref="W26">IFERROR(IF(Q26="ac"+ISNUMBER(SEARCH("'",V26))+U26="","", IF(ISNUMBER(SEARCH("lw",V26)), I26 + SUBSTITUTE(V26,"lw+",""), MROUND(SWITCH(Q26,"sq",U$7,"bn",V$7,"dl",W$7,"")*IF(V26&gt;10, V26/100, VLOOKUP(V26, _rpe,SUBSTITUTE(U26,"+","")+1,0)), IF( SWITCH(Q26,"sq",U$7,"bn",V$7,"dl", W$7,"")&lt; IF(_uom="lbs", 175, 80), 1.25, IF(_uom="lbs",5,2.5))))), "")</f>
        <v/>
      </c>
      <c r="X26" s="148"/>
      <c r="Y26" s="33"/>
      <c r="Z26" s="171"/>
      <c r="AA26" s="124" t="str">
        <f>IFERROR(__xludf.DUMMYFUNCTION("IF(W26=MAX(FILTER(W$10:W$199,LOOKUP(ROW(Q$10:Q$199),FILTER(ROW(Q$10:Q$199),Q$10:Q$199&lt;&gt;Q$9:Q$198))=LOOKUP(ROW(Q26),FILTER(ROW(Q$10:Q$199),Q$10:Q$199&lt;&gt;Q$9:Q$198)))),X26,)"),"")</f>
        <v/>
      </c>
      <c r="AB26" s="122"/>
      <c r="AC26" s="38"/>
      <c r="AD26" s="143" t="str">
        <f t="shared" si="14"/>
        <v/>
      </c>
      <c r="AE26" s="38" t="str">
        <f>IFERROR(__xludf.DUMMYFUNCTION("""COMPUTED_VALUE"""),"")</f>
        <v/>
      </c>
      <c r="AF26" s="144">
        <v>46125.0</v>
      </c>
      <c r="AG26" s="167" t="str">
        <f t="shared" si="54"/>
        <v/>
      </c>
      <c r="AH26" s="168" t="str">
        <f t="shared" si="116"/>
        <v/>
      </c>
      <c r="AI26" s="169" t="str">
        <f t="shared" si="117"/>
        <v/>
      </c>
      <c r="AJ26" s="172" t="str">
        <f t="shared" si="118"/>
        <v/>
      </c>
      <c r="AK26" s="171" t="str">
        <f t="array" ref="AK26">IFERROR(IF(AE26="ac"+ISNUMBER(SEARCH("'",AJ26))+AI26="","", IF(ISNUMBER(SEARCH("lw",AJ26)), W26 + SUBSTITUTE(AJ26,"lw+",""), MROUND(SWITCH(AE26,"sq",AI$7,"bn",AJ$7,"dl",AK$7,"")*IF(AJ26&gt;10, AJ26/100, VLOOKUP(AJ26, _rpe,SUBSTITUTE(AI26,"+","")+1,0)), IF( SWITCH(AE26,"sq",AI$7,"bn",AJ$7,"dl", AK$7,"")&lt; IF(_uom="lbs", 175, 80), 1.25, IF(_uom="lbs",5,2.5))))), "")</f>
        <v/>
      </c>
      <c r="AL26" s="148"/>
      <c r="AM26" s="33"/>
      <c r="AN26" s="171"/>
      <c r="AO26" s="124" t="str">
        <f>IFERROR(__xludf.DUMMYFUNCTION("IF(AK26=MAX(FILTER(AK$10:AK$199,LOOKUP(ROW(AE$10:AE$199),FILTER(ROW(AE$10:AE$199),AE$10:AE$199&lt;&gt;AE$9:AE$198))=LOOKUP(ROW(AE26),FILTER(ROW(AE$10:AE$199),AE$10:AE$199&lt;&gt;AE$9:AE$198)))),AL26,)"),"")</f>
        <v/>
      </c>
      <c r="AP26" s="122"/>
      <c r="AQ26" s="38"/>
      <c r="AR26" s="143" t="str">
        <f t="shared" si="16"/>
        <v/>
      </c>
      <c r="AS26" s="38" t="str">
        <f>IFERROR(__xludf.DUMMYFUNCTION("""COMPUTED_VALUE"""),"")</f>
        <v/>
      </c>
      <c r="AT26" s="144">
        <v>46132.0</v>
      </c>
      <c r="AU26" s="167" t="str">
        <f t="shared" si="26"/>
        <v/>
      </c>
      <c r="AV26" s="168" t="str">
        <f t="shared" si="119"/>
        <v/>
      </c>
      <c r="AW26" s="169" t="str">
        <f t="shared" si="120"/>
        <v/>
      </c>
      <c r="AX26" s="172" t="str">
        <f t="shared" si="121"/>
        <v/>
      </c>
      <c r="AY26" s="171" t="str">
        <f t="array" ref="AY26">IFERROR(IF(AS26="ac"+ISNUMBER(SEARCH("'",AX26))+AW26="","", IF(ISNUMBER(SEARCH("lw",AX26)), AK26 + SUBSTITUTE(AX26,"lw+",""), MROUND(SWITCH(AS26,"sq",AW$7,"bn",AX$7,"dl",AY$7,"")*IF(AX26&gt;10, AX26/100, VLOOKUP(AX26, _rpe,SUBSTITUTE(AW26,"+","")+1,0)), IF( SWITCH(AS26,"sq",AW$7,"bn",AX$7,"dl", AY$7,"")&lt; IF(_uom="lbs", 175, 80), 1.25, IF(_uom="lbs",5,2.5))))), "")</f>
        <v/>
      </c>
      <c r="AZ26" s="148"/>
      <c r="BA26" s="33"/>
      <c r="BB26" s="171"/>
      <c r="BC26" s="124" t="str">
        <f>IFERROR(__xludf.DUMMYFUNCTION("IF(AY26=MAX(FILTER(AY$10:AY$199,LOOKUP(ROW(AS$10:AS$199),FILTER(ROW(AS$10:AS$199),AS$10:AS$199&lt;&gt;AS$9:AS$198))=LOOKUP(ROW(AS26),FILTER(ROW(AS$10:AS$199),AS$10:AS$199&lt;&gt;AS$9:AS$198)))),AZ26,)"),"")</f>
        <v/>
      </c>
      <c r="BD26" s="122"/>
      <c r="BE26" s="38"/>
      <c r="BF26" s="143" t="str">
        <f t="shared" si="17"/>
        <v/>
      </c>
      <c r="BG26" s="38" t="str">
        <f>IFERROR(__xludf.DUMMYFUNCTION("""COMPUTED_VALUE"""),"")</f>
        <v/>
      </c>
      <c r="BH26" s="144">
        <v>46139.0</v>
      </c>
      <c r="BI26" s="167" t="str">
        <f t="shared" si="18"/>
        <v/>
      </c>
      <c r="BJ26" s="168" t="str">
        <f t="shared" si="105"/>
        <v/>
      </c>
      <c r="BK26" s="169" t="str">
        <f t="shared" si="106"/>
        <v/>
      </c>
      <c r="BL26" s="172" t="str">
        <f t="shared" si="107"/>
        <v/>
      </c>
      <c r="BM26" s="171" t="str">
        <f t="array" ref="BM26">IFERROR(IF(BG26="ac"+ISNUMBER(SEARCH("'",BL26))+BK26="","", IF(ISNUMBER(SEARCH("lw",BL26)), AY26 + SUBSTITUTE(BL26,"lw+",""), MROUND(SWITCH(BG26,"sq",BK$7,"bn",BL$7,"dl",BM$7,"")*IF(BL26&gt;10, BL26/100, VLOOKUP(BL26, _rpe,SUBSTITUTE(BK26,"+","")+1,0)), IF( SWITCH(BG26,"sq",BK$7,"bn",BL$7,"dl", BM$7,"")&lt; IF(_uom="lbs", 175, 80), 1.25, IF(_uom="lbs",5,2.5))))), "")</f>
        <v/>
      </c>
      <c r="BN26" s="148"/>
      <c r="BO26" s="33"/>
      <c r="BP26" s="171"/>
      <c r="BQ26" s="124" t="str">
        <f>IFERROR(__xludf.DUMMYFUNCTION("IF(BM26=MAX(FILTER(BM$10:BM$199,LOOKUP(ROW(BG$10:BG$199),FILTER(ROW(BG$10:BG$199),BG$10:BG$199&lt;&gt;BG$9:BG$198))=LOOKUP(ROW(BG26),FILTER(ROW(BG$10:BG$199),BG$10:BG$199&lt;&gt;BG$9:BG$198)))),BN26,)"),"")</f>
        <v/>
      </c>
      <c r="BR26" s="122"/>
      <c r="BS26" s="38"/>
      <c r="BT26" s="143" t="str">
        <f t="shared" si="19"/>
        <v/>
      </c>
      <c r="BU26" s="38" t="str">
        <f>IFERROR(__xludf.DUMMYFUNCTION("""COMPUTED_VALUE"""),"")</f>
        <v/>
      </c>
      <c r="BV26" s="144">
        <v>46146.0</v>
      </c>
      <c r="BW26" s="167" t="str">
        <f t="shared" si="20"/>
        <v/>
      </c>
      <c r="BX26" s="168" t="str">
        <f t="shared" si="108"/>
        <v/>
      </c>
      <c r="BY26" s="169" t="str">
        <f t="shared" si="100"/>
        <v/>
      </c>
      <c r="BZ26" s="172" t="str">
        <f t="shared" si="109"/>
        <v/>
      </c>
      <c r="CA26" s="171" t="str">
        <f t="array" ref="CA26">IFERROR(IF(BU26="ac"+ISNUMBER(SEARCH("'",BZ26))+BY26="","", IF(ISNUMBER(SEARCH("lw",BZ26)), BM26 + SUBSTITUTE(BZ26,"lw+",""), MROUND(SWITCH(BU26,"sq",BY$7,"bn",BZ$7,"dl",CA$7,"")*IF(BZ26&gt;10, BZ26/100, VLOOKUP(BZ26, _rpe,SUBSTITUTE(BY26,"+","")+1,0)), IF( SWITCH(BU26,"sq",BY$7,"bn",BZ$7,"dl", CA$7,"")&lt; IF(_uom="lbs", 175, 80), 1.25, IF(_uom="lbs",5,2.5))))), "")</f>
        <v/>
      </c>
      <c r="CB26" s="148"/>
      <c r="CC26" s="33"/>
      <c r="CD26" s="171"/>
      <c r="CE26" s="124" t="str">
        <f>IFERROR(__xludf.DUMMYFUNCTION("IF(CA26=MAX(FILTER(CA$10:CA$199,LOOKUP(ROW(BU$10:BU$199),FILTER(ROW(BU$10:BU$199),BU$10:BU$199&lt;&gt;BU$9:BU$198))=LOOKUP(ROW(BU26),FILTER(ROW(BU$10:BU$199),BU$10:BU$199&lt;&gt;BU$9:BU$198)))),CB26,)"),"")</f>
        <v/>
      </c>
      <c r="CF26" s="122"/>
      <c r="CG26" s="38"/>
      <c r="CH26" s="143" t="str">
        <f t="shared" si="21"/>
        <v/>
      </c>
      <c r="CI26" s="38" t="str">
        <f>IFERROR(__xludf.DUMMYFUNCTION("""COMPUTED_VALUE"""),"")</f>
        <v/>
      </c>
      <c r="CJ26" s="144">
        <v>46153.0</v>
      </c>
      <c r="CK26" s="167" t="str">
        <f t="shared" si="27"/>
        <v/>
      </c>
      <c r="CL26" s="168" t="str">
        <f t="shared" si="91"/>
        <v/>
      </c>
      <c r="CM26" s="169" t="str">
        <f t="shared" si="101"/>
        <v/>
      </c>
      <c r="CN26" s="172" t="str">
        <f t="shared" si="110"/>
        <v/>
      </c>
      <c r="CO26" s="171" t="str">
        <f t="array" ref="CO26">IFERROR(IF(CI26="ac"+ISNUMBER(SEARCH("'",CN26))+CM26="","", IF(ISNUMBER(SEARCH("lw",CN26)), CA26 + SUBSTITUTE(CN26,"lw+",""), MROUND(SWITCH(CI26,"sq",CM$7,"bn",CN$7,"dl",CO$7,"")*IF(CN26&gt;10, CN26/100, VLOOKUP(CN26, _rpe,SUBSTITUTE(CM26,"+","")+1,0)), IF( SWITCH(CI26,"sq",CM$7,"bn",CN$7,"dl", CO$7,"")&lt; IF(_uom="lbs", 175, 80), 1.25, IF(_uom="lbs",5,2.5))))), "")</f>
        <v/>
      </c>
      <c r="CP26" s="148"/>
      <c r="CQ26" s="33"/>
      <c r="CR26" s="171"/>
      <c r="CS26" s="124" t="str">
        <f>IFERROR(__xludf.DUMMYFUNCTION("IF(CO26=MAX(FILTER(CO$10:CO$199,LOOKUP(ROW(CI$10:CI$199),FILTER(ROW(CI$10:CI$199),CI$10:CI$199&lt;&gt;CI$9:CI$198))=LOOKUP(ROW(CI26),FILTER(ROW(CI$10:CI$199),CI$10:CI$199&lt;&gt;CI$9:CI$198)))),CP26,)"),"")</f>
        <v/>
      </c>
      <c r="CT26" s="122"/>
      <c r="CU26" s="38"/>
      <c r="CV26" s="143" t="str">
        <f t="shared" si="22"/>
        <v/>
      </c>
      <c r="CW26" s="38" t="str">
        <f>IFERROR(__xludf.DUMMYFUNCTION("""COMPUTED_VALUE"""),"")</f>
        <v/>
      </c>
      <c r="CX26" s="144">
        <v>46160.0</v>
      </c>
      <c r="CY26" s="167" t="str">
        <f t="shared" si="28"/>
        <v/>
      </c>
      <c r="CZ26" s="168" t="str">
        <f t="shared" si="94"/>
        <v/>
      </c>
      <c r="DA26" s="169" t="str">
        <f t="shared" si="102"/>
        <v/>
      </c>
      <c r="DB26" s="172" t="str">
        <f t="shared" si="96"/>
        <v/>
      </c>
      <c r="DC26" s="171" t="str">
        <f t="array" ref="DC26">IFERROR(IF(CW26="ac"+ISNUMBER(SEARCH("'",DB26))+DA26="","", IF(ISNUMBER(SEARCH("lw",DB26)), CO26 + SUBSTITUTE(DB26,"lw+",""), MROUND(SWITCH(CW26,"sq",DA$7,"bn",DB$7,"dl",DC$7,"")*IF(DB26&gt;10, DB26/100, VLOOKUP(DB26, _rpe,SUBSTITUTE(DA26,"+","")+1,0)), IF( SWITCH(CW26,"sq",DA$7,"bn",DB$7,"dl", DC$7,"")&lt; IF(_uom="lbs", 175, 80), 1.25, IF(_uom="lbs",5,2.5))))), "")</f>
        <v/>
      </c>
      <c r="DD26" s="148"/>
      <c r="DE26" s="33"/>
      <c r="DF26" s="171"/>
      <c r="DG26" s="124" t="str">
        <f>IFERROR(__xludf.DUMMYFUNCTION("IF(DC26=MAX(FILTER(DC$10:DC$199,LOOKUP(ROW(CW$10:CW$199),FILTER(ROW(CW$10:CW$199),CW$10:CW$199&lt;&gt;CW$9:CW$198))=LOOKUP(ROW(CW26),FILTER(ROW(CW$10:CW$199),CW$10:CW$199&lt;&gt;CW$9:CW$198)))),DD26,)"),"")</f>
        <v/>
      </c>
      <c r="DH26" s="122"/>
      <c r="DI26" s="38"/>
      <c r="DJ26" s="143" t="str">
        <f t="shared" si="23"/>
        <v/>
      </c>
      <c r="DK26" s="38" t="str">
        <f>IFERROR(__xludf.DUMMYFUNCTION("""COMPUTED_VALUE"""),"")</f>
        <v/>
      </c>
      <c r="DL26" s="144">
        <v>46167.0</v>
      </c>
      <c r="DM26" s="167" t="str">
        <f t="shared" ref="DM26:DN26" si="122">IF(ISBLANK(CY26),"",CY26)</f>
        <v/>
      </c>
      <c r="DN26" s="168" t="str">
        <f t="shared" si="122"/>
        <v/>
      </c>
      <c r="DO26" s="169" t="str">
        <f t="shared" si="104"/>
        <v/>
      </c>
      <c r="DP26" s="172" t="str">
        <f t="shared" si="112"/>
        <v/>
      </c>
      <c r="DQ26" s="171" t="str">
        <f t="array" ref="DQ26">IFERROR(IF(DK26="ac"+ISNUMBER(SEARCH("'",DP26))+DO26="","", IF(ISNUMBER(SEARCH("lw",DP26)), DC26 + SUBSTITUTE(DP26,"lw+",""), MROUND(SWITCH(DK26,"sq",DO$7,"bn",DP$7,"dl",DQ$7,"")*IF(DP26&gt;10, DP26/100, VLOOKUP(DP26, _rpe,SUBSTITUTE(DO26,"+","")+1,0)), IF( SWITCH(DK26,"sq",DO$7,"bn",DP$7,"dl", DQ$7,"")&lt; IF(_uom="lbs", 175, 80), 1.25, IF(_uom="lbs",5,2.5))))), "")</f>
        <v/>
      </c>
      <c r="DR26" s="148"/>
      <c r="DS26" s="33"/>
      <c r="DT26" s="171"/>
      <c r="DU26" s="124" t="str">
        <f>IFERROR(__xludf.DUMMYFUNCTION("IF(DQ26=MAX(FILTER(DQ$10:DQ$199,LOOKUP(ROW(DK$10:DK$199),FILTER(ROW(DK$10:DK$199),DK$10:DK$199&lt;&gt;DK$9:DK$198))=LOOKUP(ROW(DK26),FILTER(ROW(DK$10:DK$199),DK$10:DK$199&lt;&gt;DK$9:DK$198)))),DR26,)"),"")</f>
        <v/>
      </c>
      <c r="DV26" s="122"/>
      <c r="DW26" s="38"/>
      <c r="DX26" s="143"/>
      <c r="DY26" s="38"/>
      <c r="DZ26" s="144"/>
      <c r="EA26" s="150"/>
      <c r="EB26" s="174"/>
      <c r="EC26" s="175"/>
      <c r="ED26" s="176"/>
      <c r="EE26" s="155"/>
      <c r="EF26" s="148"/>
      <c r="EG26" s="33"/>
      <c r="EH26" s="155"/>
      <c r="EI26" s="148"/>
      <c r="EJ26" s="33"/>
      <c r="EK26" s="38"/>
      <c r="EL26" s="143"/>
      <c r="EM26" s="38"/>
      <c r="EN26" s="144"/>
      <c r="EO26" s="150"/>
      <c r="EP26" s="174"/>
      <c r="EQ26" s="175"/>
      <c r="ER26" s="176"/>
      <c r="ES26" s="155"/>
      <c r="ET26" s="148"/>
      <c r="EU26" s="33"/>
      <c r="EV26" s="155"/>
      <c r="EW26" s="148"/>
      <c r="EX26" s="33"/>
      <c r="EY26" s="38"/>
      <c r="EZ26" s="143"/>
      <c r="FA26" s="38"/>
      <c r="FB26" s="144"/>
      <c r="FC26" s="150"/>
      <c r="FD26" s="174"/>
      <c r="FE26" s="175"/>
      <c r="FF26" s="176"/>
      <c r="FG26" s="155"/>
      <c r="FH26" s="148"/>
      <c r="FI26" s="33"/>
      <c r="FJ26" s="155"/>
      <c r="FK26" s="148"/>
      <c r="FL26" s="33"/>
      <c r="FM26" s="38"/>
      <c r="FN26" s="143"/>
      <c r="FO26" s="38"/>
      <c r="FP26" s="144"/>
      <c r="FQ26" s="150"/>
      <c r="FR26" s="174"/>
      <c r="FS26" s="175"/>
      <c r="FT26" s="176"/>
      <c r="FU26" s="155"/>
      <c r="FV26" s="148"/>
      <c r="FW26" s="33"/>
      <c r="FX26" s="155"/>
      <c r="FY26" s="148"/>
      <c r="FZ26" s="33"/>
      <c r="GA26" s="38"/>
      <c r="GB26" s="143"/>
      <c r="GC26" s="38"/>
      <c r="GD26" s="144"/>
      <c r="GE26" s="150"/>
      <c r="GF26" s="174"/>
      <c r="GG26" s="175"/>
      <c r="GH26" s="176"/>
      <c r="GI26" s="155"/>
      <c r="GJ26" s="148"/>
      <c r="GK26" s="33"/>
      <c r="GL26" s="155"/>
      <c r="GM26" s="148"/>
      <c r="GN26" s="33"/>
      <c r="GO26" s="38"/>
      <c r="GP26" s="143"/>
      <c r="GQ26" s="38"/>
      <c r="GR26" s="144"/>
      <c r="GS26" s="150"/>
      <c r="GT26" s="174"/>
      <c r="GU26" s="175"/>
      <c r="GV26" s="176"/>
      <c r="GW26" s="155"/>
      <c r="GX26" s="148"/>
      <c r="GY26" s="33"/>
      <c r="GZ26" s="155"/>
      <c r="HA26" s="148"/>
      <c r="HB26" s="33"/>
      <c r="HC26" s="38"/>
      <c r="HD26" s="143"/>
      <c r="HE26" s="38"/>
      <c r="HF26" s="144"/>
      <c r="HG26" s="150"/>
      <c r="HH26" s="174"/>
      <c r="HI26" s="175"/>
      <c r="HJ26" s="176"/>
      <c r="HK26" s="155"/>
      <c r="HL26" s="148"/>
      <c r="HM26" s="33"/>
      <c r="HN26" s="155"/>
      <c r="HO26" s="148"/>
      <c r="HP26" s="33"/>
      <c r="HQ26" s="38"/>
      <c r="HR26" s="143"/>
      <c r="HS26" s="38"/>
      <c r="HT26" s="144"/>
      <c r="HU26" s="150"/>
      <c r="HV26" s="174"/>
      <c r="HW26" s="175"/>
      <c r="HX26" s="176"/>
      <c r="HY26" s="155"/>
      <c r="HZ26" s="148"/>
      <c r="IA26" s="33"/>
      <c r="IB26" s="155"/>
      <c r="IC26" s="148"/>
      <c r="ID26" s="33"/>
      <c r="IE26" s="38"/>
      <c r="IF26" s="143"/>
      <c r="IG26" s="38"/>
      <c r="IH26" s="144"/>
      <c r="II26" s="150"/>
      <c r="IJ26" s="174"/>
      <c r="IK26" s="175"/>
      <c r="IL26" s="176"/>
      <c r="IM26" s="155"/>
      <c r="IN26" s="148"/>
      <c r="IO26" s="33"/>
      <c r="IP26" s="155"/>
      <c r="IQ26" s="148"/>
      <c r="IR26" s="33"/>
      <c r="IS26" s="38"/>
      <c r="IT26" s="143"/>
      <c r="IU26" s="38"/>
      <c r="IV26" s="144"/>
      <c r="IW26" s="143" t="str">
        <f t="shared" si="24"/>
        <v>#REF!</v>
      </c>
      <c r="IX26" s="38"/>
      <c r="IY26" s="144" t="e">
        <v>#REF!</v>
      </c>
    </row>
    <row r="27" hidden="1">
      <c r="A27" s="33"/>
      <c r="B27" s="143"/>
      <c r="C27" s="38" t="str">
        <f>IFERROR(__xludf.DUMMYFUNCTION("""COMPUTED_VALUE"""),"")</f>
        <v/>
      </c>
      <c r="D27" s="144">
        <v>46111.0</v>
      </c>
      <c r="E27" s="167"/>
      <c r="F27" s="168"/>
      <c r="G27" s="169"/>
      <c r="H27" s="170"/>
      <c r="I27" s="171" t="str">
        <f t="array" ref="I27">IFERROR(IF(C27="ac"+ISNUMBER(SEARCH("'",H27))+G27="","", MROUND(SWITCH(C27,"sq",'Personal Info'!$O$15,"bn",'Personal Info'!$S$15,"dl",'Personal Info'!$W$15,"")*IF(H27&gt;10, H27/100, VLOOKUP(H27, _rpe,SUBSTITUTE(G27,"+","")+1,0)), IF( SWITCH(C27:C210,"sq",'Personal Info'!$O$15,"bn",'Personal Info'!$S$15,"dl", 'Personal Info'!$W$15,"")&lt; IF(_uom="lbs", 175, 80), 1.25, IF(_uom="lbs",5,2.5)))),"")</f>
        <v/>
      </c>
      <c r="J27" s="148"/>
      <c r="K27" s="33"/>
      <c r="L27" s="171"/>
      <c r="M27" s="124" t="str">
        <f>IFERROR(__xludf.DUMMYFUNCTION("IF(I27=MAX(FILTER(I$10:I$199,LOOKUP(ROW(C$10:C$199),FILTER(ROW(C$10:C$199),C$10:C$199&lt;&gt;C$9:C$198))=LOOKUP(ROW(C27),FILTER(ROW(C$10:C$199),C$10:C$199&lt;&gt;C$9:C$198)))),J27,)"),"")</f>
        <v/>
      </c>
      <c r="N27" s="122"/>
      <c r="O27" s="38"/>
      <c r="P27" s="143" t="str">
        <f t="shared" si="12"/>
        <v/>
      </c>
      <c r="Q27" s="38" t="str">
        <f>IFERROR(__xludf.DUMMYFUNCTION("""COMPUTED_VALUE"""),"")</f>
        <v/>
      </c>
      <c r="R27" s="144">
        <v>46118.0</v>
      </c>
      <c r="S27" s="167" t="str">
        <f t="shared" si="13"/>
        <v/>
      </c>
      <c r="T27" s="168" t="str">
        <f t="shared" si="113"/>
        <v/>
      </c>
      <c r="U27" s="169" t="str">
        <f t="shared" si="114"/>
        <v/>
      </c>
      <c r="V27" s="172" t="str">
        <f t="shared" si="115"/>
        <v/>
      </c>
      <c r="W27" s="171" t="str">
        <f t="array" ref="W27">IFERROR(IF(Q27="ac"+ISNUMBER(SEARCH("'",V27))+U27="","", IF(ISNUMBER(SEARCH("lw",V27)), I27 + SUBSTITUTE(V27,"lw+",""), MROUND(SWITCH(Q27,"sq",U$7,"bn",V$7,"dl",W$7,"")*IF(V27&gt;10, V27/100, VLOOKUP(V27, _rpe,SUBSTITUTE(U27,"+","")+1,0)), IF( SWITCH(Q27,"sq",U$7,"bn",V$7,"dl", W$7,"")&lt; IF(_uom="lbs", 175, 80), 1.25, IF(_uom="lbs",5,2.5))))), "")</f>
        <v/>
      </c>
      <c r="X27" s="148"/>
      <c r="Y27" s="33"/>
      <c r="Z27" s="171"/>
      <c r="AA27" s="124" t="str">
        <f>IFERROR(__xludf.DUMMYFUNCTION("IF(W27=MAX(FILTER(W$10:W$199,LOOKUP(ROW(Q$10:Q$199),FILTER(ROW(Q$10:Q$199),Q$10:Q$199&lt;&gt;Q$9:Q$198))=LOOKUP(ROW(Q27),FILTER(ROW(Q$10:Q$199),Q$10:Q$199&lt;&gt;Q$9:Q$198)))),X27,)"),"")</f>
        <v/>
      </c>
      <c r="AB27" s="122"/>
      <c r="AC27" s="38"/>
      <c r="AD27" s="143" t="str">
        <f t="shared" si="14"/>
        <v/>
      </c>
      <c r="AE27" s="38" t="str">
        <f>IFERROR(__xludf.DUMMYFUNCTION("""COMPUTED_VALUE"""),"")</f>
        <v/>
      </c>
      <c r="AF27" s="144">
        <v>46125.0</v>
      </c>
      <c r="AG27" s="167" t="str">
        <f t="shared" si="54"/>
        <v/>
      </c>
      <c r="AH27" s="168" t="str">
        <f t="shared" si="116"/>
        <v/>
      </c>
      <c r="AI27" s="169" t="str">
        <f t="shared" si="117"/>
        <v/>
      </c>
      <c r="AJ27" s="172" t="str">
        <f t="shared" si="118"/>
        <v/>
      </c>
      <c r="AK27" s="171" t="str">
        <f t="array" ref="AK27">IFERROR(IF(AE27="ac"+ISNUMBER(SEARCH("'",AJ27))+AI27="","", IF(ISNUMBER(SEARCH("lw",AJ27)), W27 + SUBSTITUTE(AJ27,"lw+",""), MROUND(SWITCH(AE27,"sq",AI$7,"bn",AJ$7,"dl",AK$7,"")*IF(AJ27&gt;10, AJ27/100, VLOOKUP(AJ27, _rpe,SUBSTITUTE(AI27,"+","")+1,0)), IF( SWITCH(AE27,"sq",AI$7,"bn",AJ$7,"dl", AK$7,"")&lt; IF(_uom="lbs", 175, 80), 1.25, IF(_uom="lbs",5,2.5))))), "")</f>
        <v/>
      </c>
      <c r="AL27" s="148"/>
      <c r="AM27" s="33"/>
      <c r="AN27" s="171"/>
      <c r="AO27" s="124" t="str">
        <f>IFERROR(__xludf.DUMMYFUNCTION("IF(AK27=MAX(FILTER(AK$10:AK$199,LOOKUP(ROW(AE$10:AE$199),FILTER(ROW(AE$10:AE$199),AE$10:AE$199&lt;&gt;AE$9:AE$198))=LOOKUP(ROW(AE27),FILTER(ROW(AE$10:AE$199),AE$10:AE$199&lt;&gt;AE$9:AE$198)))),AL27,)"),"")</f>
        <v/>
      </c>
      <c r="AP27" s="122"/>
      <c r="AQ27" s="38"/>
      <c r="AR27" s="143" t="str">
        <f t="shared" si="16"/>
        <v/>
      </c>
      <c r="AS27" s="38" t="str">
        <f>IFERROR(__xludf.DUMMYFUNCTION("""COMPUTED_VALUE"""),"")</f>
        <v/>
      </c>
      <c r="AT27" s="144">
        <v>46132.0</v>
      </c>
      <c r="AU27" s="167" t="str">
        <f t="shared" si="26"/>
        <v/>
      </c>
      <c r="AV27" s="168" t="str">
        <f t="shared" si="119"/>
        <v/>
      </c>
      <c r="AW27" s="169" t="str">
        <f t="shared" si="120"/>
        <v/>
      </c>
      <c r="AX27" s="172" t="str">
        <f t="shared" si="121"/>
        <v/>
      </c>
      <c r="AY27" s="171" t="str">
        <f t="array" ref="AY27">IFERROR(IF(AS27="ac"+ISNUMBER(SEARCH("'",AX27))+AW27="","", IF(ISNUMBER(SEARCH("lw",AX27)), AK27 + SUBSTITUTE(AX27,"lw+",""), MROUND(SWITCH(AS27,"sq",AW$7,"bn",AX$7,"dl",AY$7,"")*IF(AX27&gt;10, AX27/100, VLOOKUP(AX27, _rpe,SUBSTITUTE(AW27,"+","")+1,0)), IF( SWITCH(AS27,"sq",AW$7,"bn",AX$7,"dl", AY$7,"")&lt; IF(_uom="lbs", 175, 80), 1.25, IF(_uom="lbs",5,2.5))))), "")</f>
        <v/>
      </c>
      <c r="AZ27" s="148"/>
      <c r="BA27" s="33"/>
      <c r="BB27" s="171"/>
      <c r="BC27" s="124" t="str">
        <f>IFERROR(__xludf.DUMMYFUNCTION("IF(AY27=MAX(FILTER(AY$10:AY$199,LOOKUP(ROW(AS$10:AS$199),FILTER(ROW(AS$10:AS$199),AS$10:AS$199&lt;&gt;AS$9:AS$198))=LOOKUP(ROW(AS27),FILTER(ROW(AS$10:AS$199),AS$10:AS$199&lt;&gt;AS$9:AS$198)))),AZ27,)"),"")</f>
        <v/>
      </c>
      <c r="BD27" s="122"/>
      <c r="BE27" s="38"/>
      <c r="BF27" s="143" t="str">
        <f t="shared" si="17"/>
        <v/>
      </c>
      <c r="BG27" s="38" t="str">
        <f>IFERROR(__xludf.DUMMYFUNCTION("""COMPUTED_VALUE"""),"")</f>
        <v/>
      </c>
      <c r="BH27" s="144">
        <v>46139.0</v>
      </c>
      <c r="BI27" s="167" t="str">
        <f t="shared" si="18"/>
        <v/>
      </c>
      <c r="BJ27" s="168" t="str">
        <f t="shared" si="105"/>
        <v/>
      </c>
      <c r="BK27" s="169" t="str">
        <f t="shared" si="106"/>
        <v/>
      </c>
      <c r="BL27" s="172" t="str">
        <f t="shared" si="107"/>
        <v/>
      </c>
      <c r="BM27" s="171" t="str">
        <f t="array" ref="BM27">IFERROR(IF(BG27="ac"+ISNUMBER(SEARCH("'",BL27))+BK27="","", IF(ISNUMBER(SEARCH("lw",BL27)), AY27 + SUBSTITUTE(BL27,"lw+",""), MROUND(SWITCH(BG27,"sq",BK$7,"bn",BL$7,"dl",BM$7,"")*IF(BL27&gt;10, BL27/100, VLOOKUP(BL27, _rpe,SUBSTITUTE(BK27,"+","")+1,0)), IF( SWITCH(BG27,"sq",BK$7,"bn",BL$7,"dl", BM$7,"")&lt; IF(_uom="lbs", 175, 80), 1.25, IF(_uom="lbs",5,2.5))))), "")</f>
        <v/>
      </c>
      <c r="BN27" s="148"/>
      <c r="BO27" s="33"/>
      <c r="BP27" s="171"/>
      <c r="BQ27" s="124" t="str">
        <f>IFERROR(__xludf.DUMMYFUNCTION("IF(BM27=MAX(FILTER(BM$10:BM$199,LOOKUP(ROW(BG$10:BG$199),FILTER(ROW(BG$10:BG$199),BG$10:BG$199&lt;&gt;BG$9:BG$198))=LOOKUP(ROW(BG27),FILTER(ROW(BG$10:BG$199),BG$10:BG$199&lt;&gt;BG$9:BG$198)))),BN27,)"),"")</f>
        <v/>
      </c>
      <c r="BR27" s="122"/>
      <c r="BS27" s="38"/>
      <c r="BT27" s="143" t="str">
        <f t="shared" si="19"/>
        <v/>
      </c>
      <c r="BU27" s="38" t="str">
        <f>IFERROR(__xludf.DUMMYFUNCTION("""COMPUTED_VALUE"""),"")</f>
        <v/>
      </c>
      <c r="BV27" s="144">
        <v>46146.0</v>
      </c>
      <c r="BW27" s="167" t="str">
        <f t="shared" si="20"/>
        <v/>
      </c>
      <c r="BX27" s="168" t="str">
        <f t="shared" si="108"/>
        <v/>
      </c>
      <c r="BY27" s="169" t="str">
        <f t="shared" si="100"/>
        <v/>
      </c>
      <c r="BZ27" s="172" t="str">
        <f t="shared" si="109"/>
        <v/>
      </c>
      <c r="CA27" s="171" t="str">
        <f t="array" ref="CA27">IFERROR(IF(BU27="ac"+ISNUMBER(SEARCH("'",BZ27))+BY27="","", IF(ISNUMBER(SEARCH("lw",BZ27)), BM27 + SUBSTITUTE(BZ27,"lw+",""), MROUND(SWITCH(BU27,"sq",BY$7,"bn",BZ$7,"dl",CA$7,"")*IF(BZ27&gt;10, BZ27/100, VLOOKUP(BZ27, _rpe,SUBSTITUTE(BY27,"+","")+1,0)), IF( SWITCH(BU27,"sq",BY$7,"bn",BZ$7,"dl", CA$7,"")&lt; IF(_uom="lbs", 175, 80), 1.25, IF(_uom="lbs",5,2.5))))), "")</f>
        <v/>
      </c>
      <c r="CB27" s="148"/>
      <c r="CC27" s="33"/>
      <c r="CD27" s="171"/>
      <c r="CE27" s="124" t="str">
        <f>IFERROR(__xludf.DUMMYFUNCTION("IF(CA27=MAX(FILTER(CA$10:CA$199,LOOKUP(ROW(BU$10:BU$199),FILTER(ROW(BU$10:BU$199),BU$10:BU$199&lt;&gt;BU$9:BU$198))=LOOKUP(ROW(BU27),FILTER(ROW(BU$10:BU$199),BU$10:BU$199&lt;&gt;BU$9:BU$198)))),CB27,)"),"")</f>
        <v/>
      </c>
      <c r="CF27" s="122"/>
      <c r="CG27" s="38"/>
      <c r="CH27" s="143" t="str">
        <f t="shared" si="21"/>
        <v/>
      </c>
      <c r="CI27" s="38" t="str">
        <f>IFERROR(__xludf.DUMMYFUNCTION("""COMPUTED_VALUE"""),"")</f>
        <v/>
      </c>
      <c r="CJ27" s="144">
        <v>46153.0</v>
      </c>
      <c r="CK27" s="167" t="str">
        <f t="shared" si="27"/>
        <v/>
      </c>
      <c r="CL27" s="168" t="str">
        <f t="shared" si="91"/>
        <v/>
      </c>
      <c r="CM27" s="169" t="str">
        <f t="shared" si="101"/>
        <v/>
      </c>
      <c r="CN27" s="172" t="str">
        <f t="shared" si="110"/>
        <v/>
      </c>
      <c r="CO27" s="171" t="str">
        <f t="array" ref="CO27">IFERROR(IF(CI27="ac"+ISNUMBER(SEARCH("'",CN27))+CM27="","", IF(ISNUMBER(SEARCH("lw",CN27)), CA27 + SUBSTITUTE(CN27,"lw+",""), MROUND(SWITCH(CI27,"sq",CM$7,"bn",CN$7,"dl",CO$7,"")*IF(CN27&gt;10, CN27/100, VLOOKUP(CN27, _rpe,SUBSTITUTE(CM27,"+","")+1,0)), IF( SWITCH(CI27,"sq",CM$7,"bn",CN$7,"dl", CO$7,"")&lt; IF(_uom="lbs", 175, 80), 1.25, IF(_uom="lbs",5,2.5))))), "")</f>
        <v/>
      </c>
      <c r="CP27" s="148"/>
      <c r="CQ27" s="33"/>
      <c r="CR27" s="171"/>
      <c r="CS27" s="124" t="str">
        <f>IFERROR(__xludf.DUMMYFUNCTION("IF(CO27=MAX(FILTER(CO$10:CO$199,LOOKUP(ROW(CI$10:CI$199),FILTER(ROW(CI$10:CI$199),CI$10:CI$199&lt;&gt;CI$9:CI$198))=LOOKUP(ROW(CI27),FILTER(ROW(CI$10:CI$199),CI$10:CI$199&lt;&gt;CI$9:CI$198)))),CP27,)"),"")</f>
        <v/>
      </c>
      <c r="CT27" s="122"/>
      <c r="CU27" s="38"/>
      <c r="CV27" s="143" t="str">
        <f t="shared" si="22"/>
        <v/>
      </c>
      <c r="CW27" s="38" t="str">
        <f>IFERROR(__xludf.DUMMYFUNCTION("""COMPUTED_VALUE"""),"")</f>
        <v/>
      </c>
      <c r="CX27" s="144">
        <v>46160.0</v>
      </c>
      <c r="CY27" s="167" t="str">
        <f t="shared" si="28"/>
        <v/>
      </c>
      <c r="CZ27" s="168" t="str">
        <f t="shared" si="94"/>
        <v/>
      </c>
      <c r="DA27" s="169" t="str">
        <f t="shared" si="102"/>
        <v/>
      </c>
      <c r="DB27" s="172" t="str">
        <f t="shared" si="96"/>
        <v/>
      </c>
      <c r="DC27" s="171" t="str">
        <f t="array" ref="DC27">IFERROR(IF(CW27="ac"+ISNUMBER(SEARCH("'",DB27))+DA27="","", IF(ISNUMBER(SEARCH("lw",DB27)), CO27 + SUBSTITUTE(DB27,"lw+",""), MROUND(SWITCH(CW27,"sq",DA$7,"bn",DB$7,"dl",DC$7,"")*IF(DB27&gt;10, DB27/100, VLOOKUP(DB27, _rpe,SUBSTITUTE(DA27,"+","")+1,0)), IF( SWITCH(CW27,"sq",DA$7,"bn",DB$7,"dl", DC$7,"")&lt; IF(_uom="lbs", 175, 80), 1.25, IF(_uom="lbs",5,2.5))))), "")</f>
        <v/>
      </c>
      <c r="DD27" s="148"/>
      <c r="DE27" s="33"/>
      <c r="DF27" s="171"/>
      <c r="DG27" s="124" t="str">
        <f>IFERROR(__xludf.DUMMYFUNCTION("IF(DC27=MAX(FILTER(DC$10:DC$199,LOOKUP(ROW(CW$10:CW$199),FILTER(ROW(CW$10:CW$199),CW$10:CW$199&lt;&gt;CW$9:CW$198))=LOOKUP(ROW(CW27),FILTER(ROW(CW$10:CW$199),CW$10:CW$199&lt;&gt;CW$9:CW$198)))),DD27,)"),"")</f>
        <v/>
      </c>
      <c r="DH27" s="122"/>
      <c r="DI27" s="38"/>
      <c r="DJ27" s="143" t="str">
        <f t="shared" si="23"/>
        <v/>
      </c>
      <c r="DK27" s="38" t="str">
        <f>IFERROR(__xludf.DUMMYFUNCTION("""COMPUTED_VALUE"""),"")</f>
        <v/>
      </c>
      <c r="DL27" s="144">
        <v>46167.0</v>
      </c>
      <c r="DM27" s="167" t="str">
        <f t="shared" ref="DM27:DN27" si="123">IF(ISBLANK(CY27),"",CY27)</f>
        <v/>
      </c>
      <c r="DN27" s="168" t="str">
        <f t="shared" si="123"/>
        <v/>
      </c>
      <c r="DO27" s="169" t="str">
        <f t="shared" si="104"/>
        <v/>
      </c>
      <c r="DP27" s="172" t="str">
        <f t="shared" si="112"/>
        <v/>
      </c>
      <c r="DQ27" s="171" t="str">
        <f t="array" ref="DQ27">IFERROR(IF(DK27="ac"+ISNUMBER(SEARCH("'",DP27))+DO27="","", IF(ISNUMBER(SEARCH("lw",DP27)), DC27 + SUBSTITUTE(DP27,"lw+",""), MROUND(SWITCH(DK27,"sq",DO$7,"bn",DP$7,"dl",DQ$7,"")*IF(DP27&gt;10, DP27/100, VLOOKUP(DP27, _rpe,SUBSTITUTE(DO27,"+","")+1,0)), IF( SWITCH(DK27,"sq",DO$7,"bn",DP$7,"dl", DQ$7,"")&lt; IF(_uom="lbs", 175, 80), 1.25, IF(_uom="lbs",5,2.5))))), "")</f>
        <v/>
      </c>
      <c r="DR27" s="148"/>
      <c r="DS27" s="33"/>
      <c r="DT27" s="171"/>
      <c r="DU27" s="124" t="str">
        <f>IFERROR(__xludf.DUMMYFUNCTION("IF(DQ27=MAX(FILTER(DQ$10:DQ$199,LOOKUP(ROW(DK$10:DK$199),FILTER(ROW(DK$10:DK$199),DK$10:DK$199&lt;&gt;DK$9:DK$198))=LOOKUP(ROW(DK27),FILTER(ROW(DK$10:DK$199),DK$10:DK$199&lt;&gt;DK$9:DK$198)))),DR27,)"),"")</f>
        <v/>
      </c>
      <c r="DV27" s="122"/>
      <c r="DW27" s="38"/>
      <c r="DX27" s="143"/>
      <c r="DY27" s="38"/>
      <c r="DZ27" s="144"/>
      <c r="EA27" s="150"/>
      <c r="EB27" s="174"/>
      <c r="EC27" s="175"/>
      <c r="ED27" s="176"/>
      <c r="EE27" s="155"/>
      <c r="EF27" s="148"/>
      <c r="EG27" s="33"/>
      <c r="EH27" s="155"/>
      <c r="EI27" s="148"/>
      <c r="EJ27" s="33"/>
      <c r="EK27" s="38"/>
      <c r="EL27" s="143"/>
      <c r="EM27" s="38"/>
      <c r="EN27" s="144"/>
      <c r="EO27" s="150"/>
      <c r="EP27" s="174"/>
      <c r="EQ27" s="175"/>
      <c r="ER27" s="176"/>
      <c r="ES27" s="155"/>
      <c r="ET27" s="148"/>
      <c r="EU27" s="33"/>
      <c r="EV27" s="155"/>
      <c r="EW27" s="148"/>
      <c r="EX27" s="33"/>
      <c r="EY27" s="38"/>
      <c r="EZ27" s="143"/>
      <c r="FA27" s="38"/>
      <c r="FB27" s="144"/>
      <c r="FC27" s="150"/>
      <c r="FD27" s="174"/>
      <c r="FE27" s="175"/>
      <c r="FF27" s="176"/>
      <c r="FG27" s="155"/>
      <c r="FH27" s="148"/>
      <c r="FI27" s="33"/>
      <c r="FJ27" s="155"/>
      <c r="FK27" s="148"/>
      <c r="FL27" s="33"/>
      <c r="FM27" s="38"/>
      <c r="FN27" s="143"/>
      <c r="FO27" s="38"/>
      <c r="FP27" s="144"/>
      <c r="FQ27" s="150"/>
      <c r="FR27" s="174"/>
      <c r="FS27" s="175"/>
      <c r="FT27" s="176"/>
      <c r="FU27" s="155"/>
      <c r="FV27" s="148"/>
      <c r="FW27" s="33"/>
      <c r="FX27" s="155"/>
      <c r="FY27" s="148"/>
      <c r="FZ27" s="33"/>
      <c r="GA27" s="38"/>
      <c r="GB27" s="143"/>
      <c r="GC27" s="38"/>
      <c r="GD27" s="144"/>
      <c r="GE27" s="150"/>
      <c r="GF27" s="174"/>
      <c r="GG27" s="175"/>
      <c r="GH27" s="176"/>
      <c r="GI27" s="155"/>
      <c r="GJ27" s="148"/>
      <c r="GK27" s="33"/>
      <c r="GL27" s="155"/>
      <c r="GM27" s="148"/>
      <c r="GN27" s="33"/>
      <c r="GO27" s="38"/>
      <c r="GP27" s="143"/>
      <c r="GQ27" s="38"/>
      <c r="GR27" s="144"/>
      <c r="GS27" s="150"/>
      <c r="GT27" s="174"/>
      <c r="GU27" s="175"/>
      <c r="GV27" s="176"/>
      <c r="GW27" s="155"/>
      <c r="GX27" s="148"/>
      <c r="GY27" s="33"/>
      <c r="GZ27" s="155"/>
      <c r="HA27" s="148"/>
      <c r="HB27" s="33"/>
      <c r="HC27" s="38"/>
      <c r="HD27" s="143"/>
      <c r="HE27" s="38"/>
      <c r="HF27" s="144"/>
      <c r="HG27" s="150"/>
      <c r="HH27" s="174"/>
      <c r="HI27" s="175"/>
      <c r="HJ27" s="176"/>
      <c r="HK27" s="155"/>
      <c r="HL27" s="148"/>
      <c r="HM27" s="33"/>
      <c r="HN27" s="155"/>
      <c r="HO27" s="148"/>
      <c r="HP27" s="33"/>
      <c r="HQ27" s="38"/>
      <c r="HR27" s="143"/>
      <c r="HS27" s="38"/>
      <c r="HT27" s="144"/>
      <c r="HU27" s="150"/>
      <c r="HV27" s="174"/>
      <c r="HW27" s="175"/>
      <c r="HX27" s="176"/>
      <c r="HY27" s="155"/>
      <c r="HZ27" s="148"/>
      <c r="IA27" s="33"/>
      <c r="IB27" s="155"/>
      <c r="IC27" s="148"/>
      <c r="ID27" s="33"/>
      <c r="IE27" s="38"/>
      <c r="IF27" s="143"/>
      <c r="IG27" s="38"/>
      <c r="IH27" s="144"/>
      <c r="II27" s="150"/>
      <c r="IJ27" s="174"/>
      <c r="IK27" s="175"/>
      <c r="IL27" s="176"/>
      <c r="IM27" s="155"/>
      <c r="IN27" s="148"/>
      <c r="IO27" s="33"/>
      <c r="IP27" s="155"/>
      <c r="IQ27" s="148"/>
      <c r="IR27" s="33"/>
      <c r="IS27" s="38"/>
      <c r="IT27" s="143"/>
      <c r="IU27" s="38"/>
      <c r="IV27" s="144"/>
      <c r="IW27" s="143" t="str">
        <f t="shared" si="24"/>
        <v>#REF!</v>
      </c>
      <c r="IX27" s="38"/>
      <c r="IY27" s="144" t="e">
        <v>#REF!</v>
      </c>
    </row>
    <row r="28" hidden="1">
      <c r="A28" s="33"/>
      <c r="B28" s="143"/>
      <c r="C28" s="38" t="str">
        <f>IFERROR(__xludf.DUMMYFUNCTION("""COMPUTED_VALUE"""),"")</f>
        <v/>
      </c>
      <c r="D28" s="144">
        <v>46111.0</v>
      </c>
      <c r="E28" s="167"/>
      <c r="F28" s="168"/>
      <c r="G28" s="169"/>
      <c r="H28" s="170"/>
      <c r="I28" s="171" t="str">
        <f t="array" ref="I28">IFERROR(IF(C28="ac"+ISNUMBER(SEARCH("'",H28))+G28="","", MROUND(SWITCH(C28,"sq",'Personal Info'!$O$15,"bn",'Personal Info'!$S$15,"dl",'Personal Info'!$W$15,"")*IF(H28&gt;10, H28/100, VLOOKUP(H28, _rpe,SUBSTITUTE(G28,"+","")+1,0)), IF( SWITCH(C28:C210,"sq",'Personal Info'!$O$15,"bn",'Personal Info'!$S$15,"dl", 'Personal Info'!$W$15,"")&lt; IF(_uom="lbs", 175, 80), 1.25, IF(_uom="lbs",5,2.5)))),"")</f>
        <v/>
      </c>
      <c r="J28" s="148"/>
      <c r="K28" s="33"/>
      <c r="L28" s="171"/>
      <c r="M28" s="124" t="str">
        <f>IFERROR(__xludf.DUMMYFUNCTION("IF(I28=MAX(FILTER(I$10:I$199,LOOKUP(ROW(C$10:C$199),FILTER(ROW(C$10:C$199),C$10:C$199&lt;&gt;C$9:C$198))=LOOKUP(ROW(C28),FILTER(ROW(C$10:C$199),C$10:C$199&lt;&gt;C$9:C$198)))),J28,)"),"")</f>
        <v/>
      </c>
      <c r="N28" s="122"/>
      <c r="O28" s="38"/>
      <c r="P28" s="143" t="str">
        <f t="shared" si="12"/>
        <v/>
      </c>
      <c r="Q28" s="38" t="str">
        <f>IFERROR(__xludf.DUMMYFUNCTION("""COMPUTED_VALUE"""),"")</f>
        <v/>
      </c>
      <c r="R28" s="144">
        <v>46118.0</v>
      </c>
      <c r="S28" s="167" t="str">
        <f t="shared" si="13"/>
        <v/>
      </c>
      <c r="T28" s="168" t="str">
        <f t="shared" si="113"/>
        <v/>
      </c>
      <c r="U28" s="169" t="str">
        <f t="shared" si="114"/>
        <v/>
      </c>
      <c r="V28" s="172" t="str">
        <f t="shared" si="115"/>
        <v/>
      </c>
      <c r="W28" s="171" t="str">
        <f t="array" ref="W28">IFERROR(IF(Q28="ac"+ISNUMBER(SEARCH("'",V28))+U28="","", IF(ISNUMBER(SEARCH("lw",V28)), I28 + SUBSTITUTE(V28,"lw+",""), MROUND(SWITCH(Q28,"sq",U$7,"bn",V$7,"dl",W$7,"")*IF(V28&gt;10, V28/100, VLOOKUP(V28, _rpe,SUBSTITUTE(U28,"+","")+1,0)), IF( SWITCH(Q28,"sq",U$7,"bn",V$7,"dl", W$7,"")&lt; IF(_uom="lbs", 175, 80), 1.25, IF(_uom="lbs",5,2.5))))), "")</f>
        <v/>
      </c>
      <c r="X28" s="148"/>
      <c r="Y28" s="33"/>
      <c r="Z28" s="171"/>
      <c r="AA28" s="124" t="str">
        <f>IFERROR(__xludf.DUMMYFUNCTION("IF(W28=MAX(FILTER(W$10:W$199,LOOKUP(ROW(Q$10:Q$199),FILTER(ROW(Q$10:Q$199),Q$10:Q$199&lt;&gt;Q$9:Q$198))=LOOKUP(ROW(Q28),FILTER(ROW(Q$10:Q$199),Q$10:Q$199&lt;&gt;Q$9:Q$198)))),X28,)"),"")</f>
        <v/>
      </c>
      <c r="AB28" s="122"/>
      <c r="AC28" s="38"/>
      <c r="AD28" s="143" t="str">
        <f t="shared" si="14"/>
        <v/>
      </c>
      <c r="AE28" s="38" t="str">
        <f>IFERROR(__xludf.DUMMYFUNCTION("""COMPUTED_VALUE"""),"")</f>
        <v/>
      </c>
      <c r="AF28" s="144">
        <v>46125.0</v>
      </c>
      <c r="AG28" s="167" t="str">
        <f t="shared" si="54"/>
        <v/>
      </c>
      <c r="AH28" s="168" t="str">
        <f t="shared" si="116"/>
        <v/>
      </c>
      <c r="AI28" s="169" t="str">
        <f t="shared" si="117"/>
        <v/>
      </c>
      <c r="AJ28" s="172" t="str">
        <f t="shared" si="118"/>
        <v/>
      </c>
      <c r="AK28" s="171" t="str">
        <f t="array" ref="AK28">IFERROR(IF(AE28="ac"+ISNUMBER(SEARCH("'",AJ28))+AI28="","", IF(ISNUMBER(SEARCH("lw",AJ28)), W28 + SUBSTITUTE(AJ28,"lw+",""), MROUND(SWITCH(AE28,"sq",AI$7,"bn",AJ$7,"dl",AK$7,"")*IF(AJ28&gt;10, AJ28/100, VLOOKUP(AJ28, _rpe,SUBSTITUTE(AI28,"+","")+1,0)), IF( SWITCH(AE28,"sq",AI$7,"bn",AJ$7,"dl", AK$7,"")&lt; IF(_uom="lbs", 175, 80), 1.25, IF(_uom="lbs",5,2.5))))), "")</f>
        <v/>
      </c>
      <c r="AL28" s="148"/>
      <c r="AM28" s="33"/>
      <c r="AN28" s="171"/>
      <c r="AO28" s="124" t="str">
        <f>IFERROR(__xludf.DUMMYFUNCTION("IF(AK28=MAX(FILTER(AK$10:AK$199,LOOKUP(ROW(AE$10:AE$199),FILTER(ROW(AE$10:AE$199),AE$10:AE$199&lt;&gt;AE$9:AE$198))=LOOKUP(ROW(AE28),FILTER(ROW(AE$10:AE$199),AE$10:AE$199&lt;&gt;AE$9:AE$198)))),AL28,)"),"")</f>
        <v/>
      </c>
      <c r="AP28" s="122"/>
      <c r="AQ28" s="38"/>
      <c r="AR28" s="143" t="str">
        <f t="shared" si="16"/>
        <v/>
      </c>
      <c r="AS28" s="38" t="str">
        <f>IFERROR(__xludf.DUMMYFUNCTION("""COMPUTED_VALUE"""),"")</f>
        <v/>
      </c>
      <c r="AT28" s="144">
        <v>46132.0</v>
      </c>
      <c r="AU28" s="167" t="str">
        <f t="shared" si="26"/>
        <v/>
      </c>
      <c r="AV28" s="168" t="str">
        <f t="shared" si="119"/>
        <v/>
      </c>
      <c r="AW28" s="169" t="str">
        <f t="shared" si="120"/>
        <v/>
      </c>
      <c r="AX28" s="172" t="str">
        <f t="shared" si="121"/>
        <v/>
      </c>
      <c r="AY28" s="171" t="str">
        <f t="array" ref="AY28">IFERROR(IF(AS28="ac"+ISNUMBER(SEARCH("'",AX28))+AW28="","", IF(ISNUMBER(SEARCH("lw",AX28)), AK28 + SUBSTITUTE(AX28,"lw+",""), MROUND(SWITCH(AS28,"sq",AW$7,"bn",AX$7,"dl",AY$7,"")*IF(AX28&gt;10, AX28/100, VLOOKUP(AX28, _rpe,SUBSTITUTE(AW28,"+","")+1,0)), IF( SWITCH(AS28,"sq",AW$7,"bn",AX$7,"dl", AY$7,"")&lt; IF(_uom="lbs", 175, 80), 1.25, IF(_uom="lbs",5,2.5))))), "")</f>
        <v/>
      </c>
      <c r="AZ28" s="148"/>
      <c r="BA28" s="33"/>
      <c r="BB28" s="171"/>
      <c r="BC28" s="124" t="str">
        <f>IFERROR(__xludf.DUMMYFUNCTION("IF(AY28=MAX(FILTER(AY$10:AY$199,LOOKUP(ROW(AS$10:AS$199),FILTER(ROW(AS$10:AS$199),AS$10:AS$199&lt;&gt;AS$9:AS$198))=LOOKUP(ROW(AS28),FILTER(ROW(AS$10:AS$199),AS$10:AS$199&lt;&gt;AS$9:AS$198)))),AZ28,)"),"")</f>
        <v/>
      </c>
      <c r="BD28" s="122"/>
      <c r="BE28" s="38"/>
      <c r="BF28" s="143" t="str">
        <f t="shared" si="17"/>
        <v/>
      </c>
      <c r="BG28" s="38" t="str">
        <f>IFERROR(__xludf.DUMMYFUNCTION("""COMPUTED_VALUE"""),"")</f>
        <v/>
      </c>
      <c r="BH28" s="144">
        <v>46139.0</v>
      </c>
      <c r="BI28" s="167" t="str">
        <f t="shared" si="18"/>
        <v/>
      </c>
      <c r="BJ28" s="168" t="str">
        <f t="shared" si="105"/>
        <v/>
      </c>
      <c r="BK28" s="169" t="str">
        <f t="shared" si="106"/>
        <v/>
      </c>
      <c r="BL28" s="172" t="str">
        <f t="shared" si="107"/>
        <v/>
      </c>
      <c r="BM28" s="171" t="str">
        <f t="array" ref="BM28">IFERROR(IF(BG28="ac"+ISNUMBER(SEARCH("'",BL28))+BK28="","", IF(ISNUMBER(SEARCH("lw",BL28)), AY28 + SUBSTITUTE(BL28,"lw+",""), MROUND(SWITCH(BG28,"sq",BK$7,"bn",BL$7,"dl",BM$7,"")*IF(BL28&gt;10, BL28/100, VLOOKUP(BL28, _rpe,SUBSTITUTE(BK28,"+","")+1,0)), IF( SWITCH(BG28,"sq",BK$7,"bn",BL$7,"dl", BM$7,"")&lt; IF(_uom="lbs", 175, 80), 1.25, IF(_uom="lbs",5,2.5))))), "")</f>
        <v/>
      </c>
      <c r="BN28" s="148"/>
      <c r="BO28" s="33"/>
      <c r="BP28" s="171"/>
      <c r="BQ28" s="124" t="str">
        <f>IFERROR(__xludf.DUMMYFUNCTION("IF(BM28=MAX(FILTER(BM$10:BM$199,LOOKUP(ROW(BG$10:BG$199),FILTER(ROW(BG$10:BG$199),BG$10:BG$199&lt;&gt;BG$9:BG$198))=LOOKUP(ROW(BG28),FILTER(ROW(BG$10:BG$199),BG$10:BG$199&lt;&gt;BG$9:BG$198)))),BN28,)"),"")</f>
        <v/>
      </c>
      <c r="BR28" s="122"/>
      <c r="BS28" s="38"/>
      <c r="BT28" s="143" t="str">
        <f t="shared" si="19"/>
        <v/>
      </c>
      <c r="BU28" s="38" t="str">
        <f>IFERROR(__xludf.DUMMYFUNCTION("""COMPUTED_VALUE"""),"")</f>
        <v/>
      </c>
      <c r="BV28" s="144">
        <v>46146.0</v>
      </c>
      <c r="BW28" s="167" t="str">
        <f t="shared" si="20"/>
        <v/>
      </c>
      <c r="BX28" s="168" t="str">
        <f t="shared" si="108"/>
        <v/>
      </c>
      <c r="BY28" s="169" t="str">
        <f t="shared" si="100"/>
        <v/>
      </c>
      <c r="BZ28" s="172" t="str">
        <f t="shared" si="109"/>
        <v/>
      </c>
      <c r="CA28" s="171" t="str">
        <f t="array" ref="CA28">IFERROR(IF(BU28="ac"+ISNUMBER(SEARCH("'",BZ28))+BY28="","", IF(ISNUMBER(SEARCH("lw",BZ28)), BM28 + SUBSTITUTE(BZ28,"lw+",""), MROUND(SWITCH(BU28,"sq",BY$7,"bn",BZ$7,"dl",CA$7,"")*IF(BZ28&gt;10, BZ28/100, VLOOKUP(BZ28, _rpe,SUBSTITUTE(BY28,"+","")+1,0)), IF( SWITCH(BU28,"sq",BY$7,"bn",BZ$7,"dl", CA$7,"")&lt; IF(_uom="lbs", 175, 80), 1.25, IF(_uom="lbs",5,2.5))))), "")</f>
        <v/>
      </c>
      <c r="CB28" s="148"/>
      <c r="CC28" s="33"/>
      <c r="CD28" s="171"/>
      <c r="CE28" s="124" t="str">
        <f>IFERROR(__xludf.DUMMYFUNCTION("IF(CA28=MAX(FILTER(CA$10:CA$199,LOOKUP(ROW(BU$10:BU$199),FILTER(ROW(BU$10:BU$199),BU$10:BU$199&lt;&gt;BU$9:BU$198))=LOOKUP(ROW(BU28),FILTER(ROW(BU$10:BU$199),BU$10:BU$199&lt;&gt;BU$9:BU$198)))),CB28,)"),"")</f>
        <v/>
      </c>
      <c r="CF28" s="122"/>
      <c r="CG28" s="38"/>
      <c r="CH28" s="143" t="str">
        <f t="shared" si="21"/>
        <v/>
      </c>
      <c r="CI28" s="38" t="str">
        <f>IFERROR(__xludf.DUMMYFUNCTION("""COMPUTED_VALUE"""),"")</f>
        <v/>
      </c>
      <c r="CJ28" s="144">
        <v>46153.0</v>
      </c>
      <c r="CK28" s="167" t="str">
        <f t="shared" si="27"/>
        <v/>
      </c>
      <c r="CL28" s="168" t="str">
        <f t="shared" si="91"/>
        <v/>
      </c>
      <c r="CM28" s="169" t="str">
        <f t="shared" si="101"/>
        <v/>
      </c>
      <c r="CN28" s="172" t="str">
        <f t="shared" si="110"/>
        <v/>
      </c>
      <c r="CO28" s="171" t="str">
        <f t="array" ref="CO28">IFERROR(IF(CI28="ac"+ISNUMBER(SEARCH("'",CN28))+CM28="","", IF(ISNUMBER(SEARCH("lw",CN28)), CA28 + SUBSTITUTE(CN28,"lw+",""), MROUND(SWITCH(CI28,"sq",CM$7,"bn",CN$7,"dl",CO$7,"")*IF(CN28&gt;10, CN28/100, VLOOKUP(CN28, _rpe,SUBSTITUTE(CM28,"+","")+1,0)), IF( SWITCH(CI28,"sq",CM$7,"bn",CN$7,"dl", CO$7,"")&lt; IF(_uom="lbs", 175, 80), 1.25, IF(_uom="lbs",5,2.5))))), "")</f>
        <v/>
      </c>
      <c r="CP28" s="148"/>
      <c r="CQ28" s="33"/>
      <c r="CR28" s="171"/>
      <c r="CS28" s="124" t="str">
        <f>IFERROR(__xludf.DUMMYFUNCTION("IF(CO28=MAX(FILTER(CO$10:CO$199,LOOKUP(ROW(CI$10:CI$199),FILTER(ROW(CI$10:CI$199),CI$10:CI$199&lt;&gt;CI$9:CI$198))=LOOKUP(ROW(CI28),FILTER(ROW(CI$10:CI$199),CI$10:CI$199&lt;&gt;CI$9:CI$198)))),CP28,)"),"")</f>
        <v/>
      </c>
      <c r="CT28" s="122"/>
      <c r="CU28" s="38"/>
      <c r="CV28" s="143" t="str">
        <f t="shared" si="22"/>
        <v/>
      </c>
      <c r="CW28" s="38" t="str">
        <f>IFERROR(__xludf.DUMMYFUNCTION("""COMPUTED_VALUE"""),"")</f>
        <v/>
      </c>
      <c r="CX28" s="144">
        <v>46160.0</v>
      </c>
      <c r="CY28" s="167" t="str">
        <f t="shared" si="28"/>
        <v/>
      </c>
      <c r="CZ28" s="168" t="str">
        <f t="shared" si="94"/>
        <v/>
      </c>
      <c r="DA28" s="169" t="str">
        <f t="shared" si="102"/>
        <v/>
      </c>
      <c r="DB28" s="172" t="str">
        <f t="shared" si="96"/>
        <v/>
      </c>
      <c r="DC28" s="171" t="str">
        <f t="array" ref="DC28">IFERROR(IF(CW28="ac"+ISNUMBER(SEARCH("'",DB28))+DA28="","", IF(ISNUMBER(SEARCH("lw",DB28)), CO28 + SUBSTITUTE(DB28,"lw+",""), MROUND(SWITCH(CW28,"sq",DA$7,"bn",DB$7,"dl",DC$7,"")*IF(DB28&gt;10, DB28/100, VLOOKUP(DB28, _rpe,SUBSTITUTE(DA28,"+","")+1,0)), IF( SWITCH(CW28,"sq",DA$7,"bn",DB$7,"dl", DC$7,"")&lt; IF(_uom="lbs", 175, 80), 1.25, IF(_uom="lbs",5,2.5))))), "")</f>
        <v/>
      </c>
      <c r="DD28" s="148"/>
      <c r="DE28" s="33"/>
      <c r="DF28" s="171"/>
      <c r="DG28" s="124" t="str">
        <f>IFERROR(__xludf.DUMMYFUNCTION("IF(DC28=MAX(FILTER(DC$10:DC$199,LOOKUP(ROW(CW$10:CW$199),FILTER(ROW(CW$10:CW$199),CW$10:CW$199&lt;&gt;CW$9:CW$198))=LOOKUP(ROW(CW28),FILTER(ROW(CW$10:CW$199),CW$10:CW$199&lt;&gt;CW$9:CW$198)))),DD28,)"),"")</f>
        <v/>
      </c>
      <c r="DH28" s="122"/>
      <c r="DI28" s="38"/>
      <c r="DJ28" s="143" t="str">
        <f t="shared" si="23"/>
        <v/>
      </c>
      <c r="DK28" s="38" t="str">
        <f>IFERROR(__xludf.DUMMYFUNCTION("""COMPUTED_VALUE"""),"")</f>
        <v/>
      </c>
      <c r="DL28" s="144">
        <v>46167.0</v>
      </c>
      <c r="DM28" s="167" t="str">
        <f t="shared" ref="DM28:DN28" si="124">IF(ISBLANK(CY28),"",CY28)</f>
        <v/>
      </c>
      <c r="DN28" s="168" t="str">
        <f t="shared" si="124"/>
        <v/>
      </c>
      <c r="DO28" s="169" t="str">
        <f t="shared" si="104"/>
        <v/>
      </c>
      <c r="DP28" s="172" t="str">
        <f t="shared" si="112"/>
        <v/>
      </c>
      <c r="DQ28" s="171" t="str">
        <f t="array" ref="DQ28">IFERROR(IF(DK28="ac"+ISNUMBER(SEARCH("'",DP28))+DO28="","", IF(ISNUMBER(SEARCH("lw",DP28)), DC28 + SUBSTITUTE(DP28,"lw+",""), MROUND(SWITCH(DK28,"sq",DO$7,"bn",DP$7,"dl",DQ$7,"")*IF(DP28&gt;10, DP28/100, VLOOKUP(DP28, _rpe,SUBSTITUTE(DO28,"+","")+1,0)), IF( SWITCH(DK28,"sq",DO$7,"bn",DP$7,"dl", DQ$7,"")&lt; IF(_uom="lbs", 175, 80), 1.25, IF(_uom="lbs",5,2.5))))), "")</f>
        <v/>
      </c>
      <c r="DR28" s="148"/>
      <c r="DS28" s="33"/>
      <c r="DT28" s="171"/>
      <c r="DU28" s="124" t="str">
        <f>IFERROR(__xludf.DUMMYFUNCTION("IF(DQ28=MAX(FILTER(DQ$10:DQ$199,LOOKUP(ROW(DK$10:DK$199),FILTER(ROW(DK$10:DK$199),DK$10:DK$199&lt;&gt;DK$9:DK$198))=LOOKUP(ROW(DK28),FILTER(ROW(DK$10:DK$199),DK$10:DK$199&lt;&gt;DK$9:DK$198)))),DR28,)"),"")</f>
        <v/>
      </c>
      <c r="DV28" s="122"/>
      <c r="DW28" s="38"/>
      <c r="DX28" s="143"/>
      <c r="DY28" s="38"/>
      <c r="DZ28" s="144"/>
      <c r="EA28" s="150"/>
      <c r="EB28" s="174"/>
      <c r="EC28" s="175"/>
      <c r="ED28" s="176"/>
      <c r="EE28" s="155"/>
      <c r="EF28" s="148"/>
      <c r="EG28" s="33"/>
      <c r="EH28" s="155"/>
      <c r="EI28" s="148"/>
      <c r="EJ28" s="33"/>
      <c r="EK28" s="38"/>
      <c r="EL28" s="143"/>
      <c r="EM28" s="38"/>
      <c r="EN28" s="144"/>
      <c r="EO28" s="150"/>
      <c r="EP28" s="174"/>
      <c r="EQ28" s="175"/>
      <c r="ER28" s="176"/>
      <c r="ES28" s="155"/>
      <c r="ET28" s="148"/>
      <c r="EU28" s="33"/>
      <c r="EV28" s="155"/>
      <c r="EW28" s="148"/>
      <c r="EX28" s="33"/>
      <c r="EY28" s="38"/>
      <c r="EZ28" s="143"/>
      <c r="FA28" s="38"/>
      <c r="FB28" s="144"/>
      <c r="FC28" s="150"/>
      <c r="FD28" s="174"/>
      <c r="FE28" s="175"/>
      <c r="FF28" s="176"/>
      <c r="FG28" s="155"/>
      <c r="FH28" s="148"/>
      <c r="FI28" s="33"/>
      <c r="FJ28" s="155"/>
      <c r="FK28" s="148"/>
      <c r="FL28" s="33"/>
      <c r="FM28" s="38"/>
      <c r="FN28" s="143"/>
      <c r="FO28" s="38"/>
      <c r="FP28" s="144"/>
      <c r="FQ28" s="150"/>
      <c r="FR28" s="174"/>
      <c r="FS28" s="175"/>
      <c r="FT28" s="176"/>
      <c r="FU28" s="155"/>
      <c r="FV28" s="148"/>
      <c r="FW28" s="33"/>
      <c r="FX28" s="155"/>
      <c r="FY28" s="148"/>
      <c r="FZ28" s="33"/>
      <c r="GA28" s="38"/>
      <c r="GB28" s="143"/>
      <c r="GC28" s="38"/>
      <c r="GD28" s="144"/>
      <c r="GE28" s="150"/>
      <c r="GF28" s="174"/>
      <c r="GG28" s="175"/>
      <c r="GH28" s="176"/>
      <c r="GI28" s="155"/>
      <c r="GJ28" s="148"/>
      <c r="GK28" s="33"/>
      <c r="GL28" s="155"/>
      <c r="GM28" s="148"/>
      <c r="GN28" s="33"/>
      <c r="GO28" s="38"/>
      <c r="GP28" s="143"/>
      <c r="GQ28" s="38"/>
      <c r="GR28" s="144"/>
      <c r="GS28" s="150"/>
      <c r="GT28" s="174"/>
      <c r="GU28" s="175"/>
      <c r="GV28" s="176"/>
      <c r="GW28" s="155"/>
      <c r="GX28" s="148"/>
      <c r="GY28" s="33"/>
      <c r="GZ28" s="155"/>
      <c r="HA28" s="148"/>
      <c r="HB28" s="33"/>
      <c r="HC28" s="38"/>
      <c r="HD28" s="143"/>
      <c r="HE28" s="38"/>
      <c r="HF28" s="144"/>
      <c r="HG28" s="150"/>
      <c r="HH28" s="174"/>
      <c r="HI28" s="175"/>
      <c r="HJ28" s="176"/>
      <c r="HK28" s="155"/>
      <c r="HL28" s="148"/>
      <c r="HM28" s="33"/>
      <c r="HN28" s="155"/>
      <c r="HO28" s="148"/>
      <c r="HP28" s="33"/>
      <c r="HQ28" s="38"/>
      <c r="HR28" s="143"/>
      <c r="HS28" s="38"/>
      <c r="HT28" s="144"/>
      <c r="HU28" s="150"/>
      <c r="HV28" s="174"/>
      <c r="HW28" s="175"/>
      <c r="HX28" s="176"/>
      <c r="HY28" s="155"/>
      <c r="HZ28" s="148"/>
      <c r="IA28" s="33"/>
      <c r="IB28" s="155"/>
      <c r="IC28" s="148"/>
      <c r="ID28" s="33"/>
      <c r="IE28" s="38"/>
      <c r="IF28" s="143"/>
      <c r="IG28" s="38"/>
      <c r="IH28" s="144"/>
      <c r="II28" s="150"/>
      <c r="IJ28" s="174"/>
      <c r="IK28" s="175"/>
      <c r="IL28" s="176"/>
      <c r="IM28" s="155"/>
      <c r="IN28" s="148"/>
      <c r="IO28" s="33"/>
      <c r="IP28" s="155"/>
      <c r="IQ28" s="148"/>
      <c r="IR28" s="33"/>
      <c r="IS28" s="38"/>
      <c r="IT28" s="143"/>
      <c r="IU28" s="38"/>
      <c r="IV28" s="144"/>
      <c r="IW28" s="143" t="str">
        <f t="shared" si="24"/>
        <v>#REF!</v>
      </c>
      <c r="IX28" s="38"/>
      <c r="IY28" s="144" t="e">
        <v>#REF!</v>
      </c>
    </row>
    <row r="29" hidden="1">
      <c r="A29" s="33"/>
      <c r="B29" s="143"/>
      <c r="C29" s="38" t="str">
        <f>IFERROR(__xludf.DUMMYFUNCTION("""COMPUTED_VALUE"""),"")</f>
        <v/>
      </c>
      <c r="D29" s="144">
        <v>46111.0</v>
      </c>
      <c r="E29" s="167"/>
      <c r="F29" s="168"/>
      <c r="G29" s="169"/>
      <c r="H29" s="170"/>
      <c r="I29" s="171" t="str">
        <f t="array" ref="I29">IFERROR(IF(C29="ac"+ISNUMBER(SEARCH("'",H29))+G29="","", MROUND(SWITCH(C29,"sq",'Personal Info'!$O$15,"bn",'Personal Info'!$S$15,"dl",'Personal Info'!$W$15,"")*IF(H29&gt;10, H29/100, VLOOKUP(H29, _rpe,SUBSTITUTE(G29,"+","")+1,0)), IF( SWITCH(C29:C210,"sq",'Personal Info'!$O$15,"bn",'Personal Info'!$S$15,"dl", 'Personal Info'!$W$15,"")&lt; IF(_uom="lbs", 175, 80), 1.25, IF(_uom="lbs",5,2.5)))),"")</f>
        <v/>
      </c>
      <c r="J29" s="148"/>
      <c r="K29" s="33"/>
      <c r="L29" s="171"/>
      <c r="M29" s="124" t="str">
        <f>IFERROR(__xludf.DUMMYFUNCTION("IF(I29=MAX(FILTER(I$10:I$199,LOOKUP(ROW(C$10:C$199),FILTER(ROW(C$10:C$199),C$10:C$199&lt;&gt;C$9:C$198))=LOOKUP(ROW(C29),FILTER(ROW(C$10:C$199),C$10:C$199&lt;&gt;C$9:C$198)))),J29,)"),"")</f>
        <v/>
      </c>
      <c r="N29" s="122"/>
      <c r="O29" s="38"/>
      <c r="P29" s="143" t="str">
        <f t="shared" si="12"/>
        <v/>
      </c>
      <c r="Q29" s="38" t="str">
        <f>IFERROR(__xludf.DUMMYFUNCTION("""COMPUTED_VALUE"""),"")</f>
        <v/>
      </c>
      <c r="R29" s="144">
        <v>46118.0</v>
      </c>
      <c r="S29" s="167" t="str">
        <f t="shared" si="13"/>
        <v/>
      </c>
      <c r="T29" s="168" t="str">
        <f t="shared" si="113"/>
        <v/>
      </c>
      <c r="U29" s="169" t="str">
        <f t="shared" si="114"/>
        <v/>
      </c>
      <c r="V29" s="172" t="str">
        <f t="shared" si="115"/>
        <v/>
      </c>
      <c r="W29" s="171" t="str">
        <f t="array" ref="W29">IFERROR(IF(Q29="ac"+ISNUMBER(SEARCH("'",V29))+U29="","", IF(ISNUMBER(SEARCH("lw",V29)), I29 + SUBSTITUTE(V29,"lw+",""), MROUND(SWITCH(Q29,"sq",U$7,"bn",V$7,"dl",W$7,"")*IF(V29&gt;10, V29/100, VLOOKUP(V29, _rpe,SUBSTITUTE(U29,"+","")+1,0)), IF( SWITCH(Q29,"sq",U$7,"bn",V$7,"dl", W$7,"")&lt; IF(_uom="lbs", 175, 80), 1.25, IF(_uom="lbs",5,2.5))))), "")</f>
        <v/>
      </c>
      <c r="X29" s="148"/>
      <c r="Y29" s="33"/>
      <c r="Z29" s="171"/>
      <c r="AA29" s="124" t="str">
        <f>IFERROR(__xludf.DUMMYFUNCTION("IF(W29=MAX(FILTER(W$10:W$199,LOOKUP(ROW(Q$10:Q$199),FILTER(ROW(Q$10:Q$199),Q$10:Q$199&lt;&gt;Q$9:Q$198))=LOOKUP(ROW(Q29),FILTER(ROW(Q$10:Q$199),Q$10:Q$199&lt;&gt;Q$9:Q$198)))),X29,)"),"")</f>
        <v/>
      </c>
      <c r="AB29" s="122"/>
      <c r="AC29" s="38"/>
      <c r="AD29" s="143" t="str">
        <f t="shared" si="14"/>
        <v/>
      </c>
      <c r="AE29" s="38" t="str">
        <f>IFERROR(__xludf.DUMMYFUNCTION("""COMPUTED_VALUE"""),"")</f>
        <v/>
      </c>
      <c r="AF29" s="144">
        <v>46125.0</v>
      </c>
      <c r="AG29" s="167" t="str">
        <f t="shared" si="54"/>
        <v/>
      </c>
      <c r="AH29" s="168" t="str">
        <f t="shared" si="116"/>
        <v/>
      </c>
      <c r="AI29" s="169" t="str">
        <f t="shared" si="117"/>
        <v/>
      </c>
      <c r="AJ29" s="172" t="str">
        <f t="shared" si="118"/>
        <v/>
      </c>
      <c r="AK29" s="171" t="str">
        <f t="array" ref="AK29">IFERROR(IF(AE29="ac"+ISNUMBER(SEARCH("'",AJ29))+AI29="","", IF(ISNUMBER(SEARCH("lw",AJ29)), W29 + SUBSTITUTE(AJ29,"lw+",""), MROUND(SWITCH(AE29,"sq",AI$7,"bn",AJ$7,"dl",AK$7,"")*IF(AJ29&gt;10, AJ29/100, VLOOKUP(AJ29, _rpe,SUBSTITUTE(AI29,"+","")+1,0)), IF( SWITCH(AE29,"sq",AI$7,"bn",AJ$7,"dl", AK$7,"")&lt; IF(_uom="lbs", 175, 80), 1.25, IF(_uom="lbs",5,2.5))))), "")</f>
        <v/>
      </c>
      <c r="AL29" s="148"/>
      <c r="AM29" s="33"/>
      <c r="AN29" s="171"/>
      <c r="AO29" s="124" t="str">
        <f>IFERROR(__xludf.DUMMYFUNCTION("IF(AK29=MAX(FILTER(AK$10:AK$199,LOOKUP(ROW(AE$10:AE$199),FILTER(ROW(AE$10:AE$199),AE$10:AE$199&lt;&gt;AE$9:AE$198))=LOOKUP(ROW(AE29),FILTER(ROW(AE$10:AE$199),AE$10:AE$199&lt;&gt;AE$9:AE$198)))),AL29,)"),"")</f>
        <v/>
      </c>
      <c r="AP29" s="122"/>
      <c r="AQ29" s="38"/>
      <c r="AR29" s="143" t="str">
        <f t="shared" si="16"/>
        <v/>
      </c>
      <c r="AS29" s="38" t="str">
        <f>IFERROR(__xludf.DUMMYFUNCTION("""COMPUTED_VALUE"""),"")</f>
        <v/>
      </c>
      <c r="AT29" s="144">
        <v>46132.0</v>
      </c>
      <c r="AU29" s="167" t="str">
        <f t="shared" si="26"/>
        <v/>
      </c>
      <c r="AV29" s="168" t="str">
        <f t="shared" si="119"/>
        <v/>
      </c>
      <c r="AW29" s="169" t="str">
        <f t="shared" si="120"/>
        <v/>
      </c>
      <c r="AX29" s="172" t="str">
        <f t="shared" si="121"/>
        <v/>
      </c>
      <c r="AY29" s="171" t="str">
        <f t="array" ref="AY29">IFERROR(IF(AS29="ac"+ISNUMBER(SEARCH("'",AX29))+AW29="","", IF(ISNUMBER(SEARCH("lw",AX29)), AK29 + SUBSTITUTE(AX29,"lw+",""), MROUND(SWITCH(AS29,"sq",AW$7,"bn",AX$7,"dl",AY$7,"")*IF(AX29&gt;10, AX29/100, VLOOKUP(AX29, _rpe,SUBSTITUTE(AW29,"+","")+1,0)), IF( SWITCH(AS29,"sq",AW$7,"bn",AX$7,"dl", AY$7,"")&lt; IF(_uom="lbs", 175, 80), 1.25, IF(_uom="lbs",5,2.5))))), "")</f>
        <v/>
      </c>
      <c r="AZ29" s="148"/>
      <c r="BA29" s="33"/>
      <c r="BB29" s="171"/>
      <c r="BC29" s="124" t="str">
        <f>IFERROR(__xludf.DUMMYFUNCTION("IF(AY29=MAX(FILTER(AY$10:AY$199,LOOKUP(ROW(AS$10:AS$199),FILTER(ROW(AS$10:AS$199),AS$10:AS$199&lt;&gt;AS$9:AS$198))=LOOKUP(ROW(AS29),FILTER(ROW(AS$10:AS$199),AS$10:AS$199&lt;&gt;AS$9:AS$198)))),AZ29,)"),"")</f>
        <v/>
      </c>
      <c r="BD29" s="122"/>
      <c r="BE29" s="38"/>
      <c r="BF29" s="143" t="str">
        <f t="shared" si="17"/>
        <v/>
      </c>
      <c r="BG29" s="38" t="str">
        <f>IFERROR(__xludf.DUMMYFUNCTION("""COMPUTED_VALUE"""),"")</f>
        <v/>
      </c>
      <c r="BH29" s="144">
        <v>46139.0</v>
      </c>
      <c r="BI29" s="167" t="str">
        <f t="shared" si="18"/>
        <v/>
      </c>
      <c r="BJ29" s="168" t="str">
        <f t="shared" si="105"/>
        <v/>
      </c>
      <c r="BK29" s="169" t="str">
        <f t="shared" si="106"/>
        <v/>
      </c>
      <c r="BL29" s="172" t="str">
        <f t="shared" si="107"/>
        <v/>
      </c>
      <c r="BM29" s="171" t="str">
        <f t="array" ref="BM29">IFERROR(IF(BG29="ac"+ISNUMBER(SEARCH("'",BL29))+BK29="","", IF(ISNUMBER(SEARCH("lw",BL29)), AY29 + SUBSTITUTE(BL29,"lw+",""), MROUND(SWITCH(BG29,"sq",BK$7,"bn",BL$7,"dl",BM$7,"")*IF(BL29&gt;10, BL29/100, VLOOKUP(BL29, _rpe,SUBSTITUTE(BK29,"+","")+1,0)), IF( SWITCH(BG29,"sq",BK$7,"bn",BL$7,"dl", BM$7,"")&lt; IF(_uom="lbs", 175, 80), 1.25, IF(_uom="lbs",5,2.5))))), "")</f>
        <v/>
      </c>
      <c r="BN29" s="148"/>
      <c r="BO29" s="33"/>
      <c r="BP29" s="171"/>
      <c r="BQ29" s="124" t="str">
        <f>IFERROR(__xludf.DUMMYFUNCTION("IF(BM29=MAX(FILTER(BM$10:BM$199,LOOKUP(ROW(BG$10:BG$199),FILTER(ROW(BG$10:BG$199),BG$10:BG$199&lt;&gt;BG$9:BG$198))=LOOKUP(ROW(BG29),FILTER(ROW(BG$10:BG$199),BG$10:BG$199&lt;&gt;BG$9:BG$198)))),BN29,)"),"")</f>
        <v/>
      </c>
      <c r="BR29" s="122"/>
      <c r="BS29" s="38"/>
      <c r="BT29" s="143" t="str">
        <f t="shared" si="19"/>
        <v/>
      </c>
      <c r="BU29" s="38" t="str">
        <f>IFERROR(__xludf.DUMMYFUNCTION("""COMPUTED_VALUE"""),"")</f>
        <v/>
      </c>
      <c r="BV29" s="144">
        <v>46146.0</v>
      </c>
      <c r="BW29" s="167" t="str">
        <f t="shared" si="20"/>
        <v/>
      </c>
      <c r="BX29" s="168" t="str">
        <f t="shared" si="108"/>
        <v/>
      </c>
      <c r="BY29" s="169" t="str">
        <f t="shared" si="100"/>
        <v/>
      </c>
      <c r="BZ29" s="172" t="str">
        <f t="shared" si="109"/>
        <v/>
      </c>
      <c r="CA29" s="171" t="str">
        <f t="array" ref="CA29">IFERROR(IF(BU29="ac"+ISNUMBER(SEARCH("'",BZ29))+BY29="","", IF(ISNUMBER(SEARCH("lw",BZ29)), BM29 + SUBSTITUTE(BZ29,"lw+",""), MROUND(SWITCH(BU29,"sq",BY$7,"bn",BZ$7,"dl",CA$7,"")*IF(BZ29&gt;10, BZ29/100, VLOOKUP(BZ29, _rpe,SUBSTITUTE(BY29,"+","")+1,0)), IF( SWITCH(BU29,"sq",BY$7,"bn",BZ$7,"dl", CA$7,"")&lt; IF(_uom="lbs", 175, 80), 1.25, IF(_uom="lbs",5,2.5))))), "")</f>
        <v/>
      </c>
      <c r="CB29" s="148"/>
      <c r="CC29" s="33"/>
      <c r="CD29" s="171"/>
      <c r="CE29" s="124" t="str">
        <f>IFERROR(__xludf.DUMMYFUNCTION("IF(CA29=MAX(FILTER(CA$10:CA$199,LOOKUP(ROW(BU$10:BU$199),FILTER(ROW(BU$10:BU$199),BU$10:BU$199&lt;&gt;BU$9:BU$198))=LOOKUP(ROW(BU29),FILTER(ROW(BU$10:BU$199),BU$10:BU$199&lt;&gt;BU$9:BU$198)))),CB29,)"),"")</f>
        <v/>
      </c>
      <c r="CF29" s="122"/>
      <c r="CG29" s="38"/>
      <c r="CH29" s="143" t="str">
        <f t="shared" si="21"/>
        <v/>
      </c>
      <c r="CI29" s="38" t="str">
        <f>IFERROR(__xludf.DUMMYFUNCTION("""COMPUTED_VALUE"""),"")</f>
        <v/>
      </c>
      <c r="CJ29" s="144">
        <v>46153.0</v>
      </c>
      <c r="CK29" s="167" t="str">
        <f t="shared" si="27"/>
        <v/>
      </c>
      <c r="CL29" s="168" t="str">
        <f t="shared" si="91"/>
        <v/>
      </c>
      <c r="CM29" s="169" t="str">
        <f t="shared" si="101"/>
        <v/>
      </c>
      <c r="CN29" s="172" t="str">
        <f t="shared" si="110"/>
        <v/>
      </c>
      <c r="CO29" s="171" t="str">
        <f t="array" ref="CO29">IFERROR(IF(CI29="ac"+ISNUMBER(SEARCH("'",CN29))+CM29="","", IF(ISNUMBER(SEARCH("lw",CN29)), CA29 + SUBSTITUTE(CN29,"lw+",""), MROUND(SWITCH(CI29,"sq",CM$7,"bn",CN$7,"dl",CO$7,"")*IF(CN29&gt;10, CN29/100, VLOOKUP(CN29, _rpe,SUBSTITUTE(CM29,"+","")+1,0)), IF( SWITCH(CI29,"sq",CM$7,"bn",CN$7,"dl", CO$7,"")&lt; IF(_uom="lbs", 175, 80), 1.25, IF(_uom="lbs",5,2.5))))), "")</f>
        <v/>
      </c>
      <c r="CP29" s="148"/>
      <c r="CQ29" s="33"/>
      <c r="CR29" s="171"/>
      <c r="CS29" s="124" t="str">
        <f>IFERROR(__xludf.DUMMYFUNCTION("IF(CO29=MAX(FILTER(CO$10:CO$199,LOOKUP(ROW(CI$10:CI$199),FILTER(ROW(CI$10:CI$199),CI$10:CI$199&lt;&gt;CI$9:CI$198))=LOOKUP(ROW(CI29),FILTER(ROW(CI$10:CI$199),CI$10:CI$199&lt;&gt;CI$9:CI$198)))),CP29,)"),"")</f>
        <v/>
      </c>
      <c r="CT29" s="122"/>
      <c r="CU29" s="38"/>
      <c r="CV29" s="143" t="str">
        <f t="shared" si="22"/>
        <v/>
      </c>
      <c r="CW29" s="38" t="str">
        <f>IFERROR(__xludf.DUMMYFUNCTION("""COMPUTED_VALUE"""),"")</f>
        <v/>
      </c>
      <c r="CX29" s="144">
        <v>46160.0</v>
      </c>
      <c r="CY29" s="167" t="str">
        <f t="shared" si="28"/>
        <v/>
      </c>
      <c r="CZ29" s="168" t="str">
        <f t="shared" si="94"/>
        <v/>
      </c>
      <c r="DA29" s="169" t="str">
        <f t="shared" si="102"/>
        <v/>
      </c>
      <c r="DB29" s="172" t="str">
        <f t="shared" si="96"/>
        <v/>
      </c>
      <c r="DC29" s="171" t="str">
        <f t="array" ref="DC29">IFERROR(IF(CW29="ac"+ISNUMBER(SEARCH("'",DB29))+DA29="","", IF(ISNUMBER(SEARCH("lw",DB29)), CO29 + SUBSTITUTE(DB29,"lw+",""), MROUND(SWITCH(CW29,"sq",DA$7,"bn",DB$7,"dl",DC$7,"")*IF(DB29&gt;10, DB29/100, VLOOKUP(DB29, _rpe,SUBSTITUTE(DA29,"+","")+1,0)), IF( SWITCH(CW29,"sq",DA$7,"bn",DB$7,"dl", DC$7,"")&lt; IF(_uom="lbs", 175, 80), 1.25, IF(_uom="lbs",5,2.5))))), "")</f>
        <v/>
      </c>
      <c r="DD29" s="148"/>
      <c r="DE29" s="33"/>
      <c r="DF29" s="171"/>
      <c r="DG29" s="124" t="str">
        <f>IFERROR(__xludf.DUMMYFUNCTION("IF(DC29=MAX(FILTER(DC$10:DC$199,LOOKUP(ROW(CW$10:CW$199),FILTER(ROW(CW$10:CW$199),CW$10:CW$199&lt;&gt;CW$9:CW$198))=LOOKUP(ROW(CW29),FILTER(ROW(CW$10:CW$199),CW$10:CW$199&lt;&gt;CW$9:CW$198)))),DD29,)"),"")</f>
        <v/>
      </c>
      <c r="DH29" s="122"/>
      <c r="DI29" s="38"/>
      <c r="DJ29" s="143" t="str">
        <f t="shared" si="23"/>
        <v/>
      </c>
      <c r="DK29" s="38" t="str">
        <f>IFERROR(__xludf.DUMMYFUNCTION("""COMPUTED_VALUE"""),"")</f>
        <v/>
      </c>
      <c r="DL29" s="144">
        <v>46167.0</v>
      </c>
      <c r="DM29" s="167" t="str">
        <f t="shared" ref="DM29:DN29" si="125">IF(ISBLANK(CY29),"",CY29)</f>
        <v/>
      </c>
      <c r="DN29" s="168" t="str">
        <f t="shared" si="125"/>
        <v/>
      </c>
      <c r="DO29" s="169" t="str">
        <f t="shared" si="104"/>
        <v/>
      </c>
      <c r="DP29" s="172" t="str">
        <f t="shared" si="112"/>
        <v/>
      </c>
      <c r="DQ29" s="171" t="str">
        <f t="array" ref="DQ29">IFERROR(IF(DK29="ac"+ISNUMBER(SEARCH("'",DP29))+DO29="","", IF(ISNUMBER(SEARCH("lw",DP29)), DC29 + SUBSTITUTE(DP29,"lw+",""), MROUND(SWITCH(DK29,"sq",DO$7,"bn",DP$7,"dl",DQ$7,"")*IF(DP29&gt;10, DP29/100, VLOOKUP(DP29, _rpe,SUBSTITUTE(DO29,"+","")+1,0)), IF( SWITCH(DK29,"sq",DO$7,"bn",DP$7,"dl", DQ$7,"")&lt; IF(_uom="lbs", 175, 80), 1.25, IF(_uom="lbs",5,2.5))))), "")</f>
        <v/>
      </c>
      <c r="DR29" s="148"/>
      <c r="DS29" s="33"/>
      <c r="DT29" s="171"/>
      <c r="DU29" s="124" t="str">
        <f>IFERROR(__xludf.DUMMYFUNCTION("IF(DQ29=MAX(FILTER(DQ$10:DQ$199,LOOKUP(ROW(DK$10:DK$199),FILTER(ROW(DK$10:DK$199),DK$10:DK$199&lt;&gt;DK$9:DK$198))=LOOKUP(ROW(DK29),FILTER(ROW(DK$10:DK$199),DK$10:DK$199&lt;&gt;DK$9:DK$198)))),DR29,)"),"")</f>
        <v/>
      </c>
      <c r="DV29" s="122"/>
      <c r="DW29" s="38"/>
      <c r="DX29" s="143"/>
      <c r="DY29" s="38"/>
      <c r="DZ29" s="144"/>
      <c r="EA29" s="150"/>
      <c r="EB29" s="174"/>
      <c r="EC29" s="175"/>
      <c r="ED29" s="176"/>
      <c r="EE29" s="155"/>
      <c r="EF29" s="148"/>
      <c r="EG29" s="33"/>
      <c r="EH29" s="155"/>
      <c r="EI29" s="148"/>
      <c r="EJ29" s="33"/>
      <c r="EK29" s="38"/>
      <c r="EL29" s="143"/>
      <c r="EM29" s="38"/>
      <c r="EN29" s="144"/>
      <c r="EO29" s="150"/>
      <c r="EP29" s="174"/>
      <c r="EQ29" s="175"/>
      <c r="ER29" s="176"/>
      <c r="ES29" s="155"/>
      <c r="ET29" s="148"/>
      <c r="EU29" s="33"/>
      <c r="EV29" s="155"/>
      <c r="EW29" s="148"/>
      <c r="EX29" s="33"/>
      <c r="EY29" s="38"/>
      <c r="EZ29" s="143"/>
      <c r="FA29" s="38"/>
      <c r="FB29" s="144"/>
      <c r="FC29" s="150"/>
      <c r="FD29" s="174"/>
      <c r="FE29" s="175"/>
      <c r="FF29" s="176"/>
      <c r="FG29" s="155"/>
      <c r="FH29" s="148"/>
      <c r="FI29" s="33"/>
      <c r="FJ29" s="155"/>
      <c r="FK29" s="148"/>
      <c r="FL29" s="33"/>
      <c r="FM29" s="38"/>
      <c r="FN29" s="143"/>
      <c r="FO29" s="38"/>
      <c r="FP29" s="144"/>
      <c r="FQ29" s="150"/>
      <c r="FR29" s="174"/>
      <c r="FS29" s="175"/>
      <c r="FT29" s="176"/>
      <c r="FU29" s="155"/>
      <c r="FV29" s="148"/>
      <c r="FW29" s="33"/>
      <c r="FX29" s="155"/>
      <c r="FY29" s="148"/>
      <c r="FZ29" s="33"/>
      <c r="GA29" s="38"/>
      <c r="GB29" s="143"/>
      <c r="GC29" s="38"/>
      <c r="GD29" s="144"/>
      <c r="GE29" s="150"/>
      <c r="GF29" s="174"/>
      <c r="GG29" s="175"/>
      <c r="GH29" s="176"/>
      <c r="GI29" s="155"/>
      <c r="GJ29" s="148"/>
      <c r="GK29" s="33"/>
      <c r="GL29" s="155"/>
      <c r="GM29" s="148"/>
      <c r="GN29" s="33"/>
      <c r="GO29" s="38"/>
      <c r="GP29" s="143"/>
      <c r="GQ29" s="38"/>
      <c r="GR29" s="144"/>
      <c r="GS29" s="150"/>
      <c r="GT29" s="174"/>
      <c r="GU29" s="175"/>
      <c r="GV29" s="176"/>
      <c r="GW29" s="155"/>
      <c r="GX29" s="148"/>
      <c r="GY29" s="33"/>
      <c r="GZ29" s="155"/>
      <c r="HA29" s="148"/>
      <c r="HB29" s="33"/>
      <c r="HC29" s="38"/>
      <c r="HD29" s="143"/>
      <c r="HE29" s="38"/>
      <c r="HF29" s="144"/>
      <c r="HG29" s="150"/>
      <c r="HH29" s="174"/>
      <c r="HI29" s="175"/>
      <c r="HJ29" s="176"/>
      <c r="HK29" s="155"/>
      <c r="HL29" s="148"/>
      <c r="HM29" s="33"/>
      <c r="HN29" s="155"/>
      <c r="HO29" s="148"/>
      <c r="HP29" s="33"/>
      <c r="HQ29" s="38"/>
      <c r="HR29" s="143"/>
      <c r="HS29" s="38"/>
      <c r="HT29" s="144"/>
      <c r="HU29" s="150"/>
      <c r="HV29" s="174"/>
      <c r="HW29" s="175"/>
      <c r="HX29" s="176"/>
      <c r="HY29" s="155"/>
      <c r="HZ29" s="148"/>
      <c r="IA29" s="33"/>
      <c r="IB29" s="155"/>
      <c r="IC29" s="148"/>
      <c r="ID29" s="33"/>
      <c r="IE29" s="38"/>
      <c r="IF29" s="143"/>
      <c r="IG29" s="38"/>
      <c r="IH29" s="144"/>
      <c r="II29" s="150"/>
      <c r="IJ29" s="174"/>
      <c r="IK29" s="175"/>
      <c r="IL29" s="176"/>
      <c r="IM29" s="155"/>
      <c r="IN29" s="148"/>
      <c r="IO29" s="33"/>
      <c r="IP29" s="155"/>
      <c r="IQ29" s="148"/>
      <c r="IR29" s="33"/>
      <c r="IS29" s="38"/>
      <c r="IT29" s="143"/>
      <c r="IU29" s="38"/>
      <c r="IV29" s="144"/>
      <c r="IW29" s="143" t="str">
        <f t="shared" si="24"/>
        <v>#REF!</v>
      </c>
      <c r="IX29" s="38"/>
      <c r="IY29" s="144" t="e">
        <v>#REF!</v>
      </c>
    </row>
    <row r="30">
      <c r="A30" s="33"/>
      <c r="B30" s="143"/>
      <c r="C30" s="38" t="str">
        <f>IFERROR(__xludf.DUMMYFUNCTION("""COMPUTED_VALUE"""),"")</f>
        <v/>
      </c>
      <c r="D30" s="144">
        <v>46111.0</v>
      </c>
      <c r="E30" s="167"/>
      <c r="F30" s="168"/>
      <c r="G30" s="169"/>
      <c r="H30" s="170"/>
      <c r="I30" s="171" t="str">
        <f t="array" ref="I30">IFERROR(IF(C30="ac"+ISNUMBER(SEARCH("'",H30))+G30="","", MROUND(SWITCH(C30,"sq",'Personal Info'!$O$15,"bn",'Personal Info'!$S$15,"dl",'Personal Info'!$W$15,"")*IF(H30&gt;10, H30/100, VLOOKUP(H30, _rpe,SUBSTITUTE(G30,"+","")+1,0)), IF( SWITCH(C30:C210,"sq",'Personal Info'!$O$15,"bn",'Personal Info'!$S$15,"dl", 'Personal Info'!$W$15,"")&lt; IF(_uom="lbs", 175, 80), 1.25, IF(_uom="lbs",5,2.5)))),"")</f>
        <v/>
      </c>
      <c r="J30" s="148"/>
      <c r="K30" s="33"/>
      <c r="L30" s="171"/>
      <c r="M30" s="124" t="str">
        <f>IFERROR(__xludf.DUMMYFUNCTION("IF(I30=MAX(FILTER(I$10:I$199,LOOKUP(ROW(C$10:C$199),FILTER(ROW(C$10:C$199),C$10:C$199&lt;&gt;C$9:C$198))=LOOKUP(ROW(C30),FILTER(ROW(C$10:C$199),C$10:C$199&lt;&gt;C$9:C$198)))),J30,)"),"")</f>
        <v/>
      </c>
      <c r="N30" s="122"/>
      <c r="O30" s="38"/>
      <c r="P30" s="143" t="str">
        <f t="shared" si="12"/>
        <v/>
      </c>
      <c r="Q30" s="38" t="str">
        <f>IFERROR(__xludf.DUMMYFUNCTION("""COMPUTED_VALUE"""),"")</f>
        <v/>
      </c>
      <c r="R30" s="144">
        <v>46118.0</v>
      </c>
      <c r="S30" s="167" t="str">
        <f t="shared" si="13"/>
        <v/>
      </c>
      <c r="T30" s="168" t="str">
        <f t="shared" si="113"/>
        <v/>
      </c>
      <c r="U30" s="169" t="str">
        <f t="shared" si="114"/>
        <v/>
      </c>
      <c r="V30" s="172" t="str">
        <f t="shared" si="115"/>
        <v/>
      </c>
      <c r="W30" s="171" t="str">
        <f t="array" ref="W30">IFERROR(IF(Q30="ac"+ISNUMBER(SEARCH("'",V30))+U30="","", IF(ISNUMBER(SEARCH("lw",V30)), I30 + SUBSTITUTE(V30,"lw+",""), MROUND(SWITCH(Q30,"sq",U$7,"bn",V$7,"dl",W$7,"")*IF(V30&gt;10, V30/100, VLOOKUP(V30, _rpe,SUBSTITUTE(U30,"+","")+1,0)), IF( SWITCH(Q30,"sq",U$7,"bn",V$7,"dl", W$7,"")&lt; IF(_uom="lbs", 175, 80), 1.25, IF(_uom="lbs",5,2.5))))), "")</f>
        <v/>
      </c>
      <c r="X30" s="148"/>
      <c r="Y30" s="33"/>
      <c r="Z30" s="171"/>
      <c r="AA30" s="124" t="str">
        <f>IFERROR(__xludf.DUMMYFUNCTION("IF(W30=MAX(FILTER(W$10:W$199,LOOKUP(ROW(Q$10:Q$199),FILTER(ROW(Q$10:Q$199),Q$10:Q$199&lt;&gt;Q$9:Q$198))=LOOKUP(ROW(Q30),FILTER(ROW(Q$10:Q$199),Q$10:Q$199&lt;&gt;Q$9:Q$198)))),X30,)"),"")</f>
        <v/>
      </c>
      <c r="AB30" s="122"/>
      <c r="AC30" s="38"/>
      <c r="AD30" s="143" t="str">
        <f t="shared" si="14"/>
        <v/>
      </c>
      <c r="AE30" s="38" t="str">
        <f>IFERROR(__xludf.DUMMYFUNCTION("""COMPUTED_VALUE"""),"")</f>
        <v/>
      </c>
      <c r="AF30" s="144">
        <v>46125.0</v>
      </c>
      <c r="AG30" s="167" t="str">
        <f t="shared" si="54"/>
        <v/>
      </c>
      <c r="AH30" s="168" t="str">
        <f t="shared" si="116"/>
        <v/>
      </c>
      <c r="AI30" s="169" t="str">
        <f t="shared" si="117"/>
        <v/>
      </c>
      <c r="AJ30" s="172" t="str">
        <f t="shared" si="118"/>
        <v/>
      </c>
      <c r="AK30" s="171" t="str">
        <f t="array" ref="AK30">IFERROR(IF(AE30="ac"+ISNUMBER(SEARCH("'",AJ30))+AI30="","", IF(ISNUMBER(SEARCH("lw",AJ30)), W30 + SUBSTITUTE(AJ30,"lw+",""), MROUND(SWITCH(AE30,"sq",AI$7,"bn",AJ$7,"dl",AK$7,"")*IF(AJ30&gt;10, AJ30/100, VLOOKUP(AJ30, _rpe,SUBSTITUTE(AI30,"+","")+1,0)), IF( SWITCH(AE30,"sq",AI$7,"bn",AJ$7,"dl", AK$7,"")&lt; IF(_uom="lbs", 175, 80), 1.25, IF(_uom="lbs",5,2.5))))), "")</f>
        <v/>
      </c>
      <c r="AL30" s="148"/>
      <c r="AM30" s="33"/>
      <c r="AN30" s="171"/>
      <c r="AO30" s="124" t="str">
        <f>IFERROR(__xludf.DUMMYFUNCTION("IF(AK30=MAX(FILTER(AK$10:AK$199,LOOKUP(ROW(AE$10:AE$199),FILTER(ROW(AE$10:AE$199),AE$10:AE$199&lt;&gt;AE$9:AE$198))=LOOKUP(ROW(AE30),FILTER(ROW(AE$10:AE$199),AE$10:AE$199&lt;&gt;AE$9:AE$198)))),AL30,)"),"")</f>
        <v/>
      </c>
      <c r="AP30" s="122"/>
      <c r="AQ30" s="38"/>
      <c r="AR30" s="143" t="str">
        <f t="shared" si="16"/>
        <v/>
      </c>
      <c r="AS30" s="38" t="str">
        <f>IFERROR(__xludf.DUMMYFUNCTION("""COMPUTED_VALUE"""),"")</f>
        <v/>
      </c>
      <c r="AT30" s="144">
        <v>46132.0</v>
      </c>
      <c r="AU30" s="167" t="str">
        <f t="shared" si="26"/>
        <v/>
      </c>
      <c r="AV30" s="168" t="str">
        <f t="shared" si="119"/>
        <v/>
      </c>
      <c r="AW30" s="169" t="str">
        <f t="shared" si="120"/>
        <v/>
      </c>
      <c r="AX30" s="172" t="str">
        <f t="shared" si="121"/>
        <v/>
      </c>
      <c r="AY30" s="171" t="str">
        <f t="array" ref="AY30">IFERROR(IF(AS30="ac"+ISNUMBER(SEARCH("'",AX30))+AW30="","", IF(ISNUMBER(SEARCH("lw",AX30)), AK30 + SUBSTITUTE(AX30,"lw+",""), MROUND(SWITCH(AS30,"sq",AW$7,"bn",AX$7,"dl",AY$7,"")*IF(AX30&gt;10, AX30/100, VLOOKUP(AX30, _rpe,SUBSTITUTE(AW30,"+","")+1,0)), IF( SWITCH(AS30,"sq",AW$7,"bn",AX$7,"dl", AY$7,"")&lt; IF(_uom="lbs", 175, 80), 1.25, IF(_uom="lbs",5,2.5))))), "")</f>
        <v/>
      </c>
      <c r="AZ30" s="148"/>
      <c r="BA30" s="33"/>
      <c r="BB30" s="171"/>
      <c r="BC30" s="124" t="str">
        <f>IFERROR(__xludf.DUMMYFUNCTION("IF(AY30=MAX(FILTER(AY$10:AY$199,LOOKUP(ROW(AS$10:AS$199),FILTER(ROW(AS$10:AS$199),AS$10:AS$199&lt;&gt;AS$9:AS$198))=LOOKUP(ROW(AS30),FILTER(ROW(AS$10:AS$199),AS$10:AS$199&lt;&gt;AS$9:AS$198)))),AZ30,)"),"")</f>
        <v/>
      </c>
      <c r="BD30" s="122"/>
      <c r="BE30" s="38"/>
      <c r="BF30" s="143" t="str">
        <f t="shared" si="17"/>
        <v/>
      </c>
      <c r="BG30" s="38" t="str">
        <f>IFERROR(__xludf.DUMMYFUNCTION("""COMPUTED_VALUE"""),"")</f>
        <v/>
      </c>
      <c r="BH30" s="144">
        <v>46139.0</v>
      </c>
      <c r="BI30" s="167" t="str">
        <f t="shared" si="18"/>
        <v/>
      </c>
      <c r="BJ30" s="168" t="str">
        <f t="shared" si="105"/>
        <v/>
      </c>
      <c r="BK30" s="169" t="str">
        <f t="shared" si="106"/>
        <v/>
      </c>
      <c r="BL30" s="172" t="str">
        <f t="shared" si="107"/>
        <v/>
      </c>
      <c r="BM30" s="171" t="str">
        <f t="array" ref="BM30">IFERROR(IF(BG30="ac"+ISNUMBER(SEARCH("'",BL30))+BK30="","", IF(ISNUMBER(SEARCH("lw",BL30)), AY30 + SUBSTITUTE(BL30,"lw+",""), MROUND(SWITCH(BG30,"sq",BK$7,"bn",BL$7,"dl",BM$7,"")*IF(BL30&gt;10, BL30/100, VLOOKUP(BL30, _rpe,SUBSTITUTE(BK30,"+","")+1,0)), IF( SWITCH(BG30,"sq",BK$7,"bn",BL$7,"dl", BM$7,"")&lt; IF(_uom="lbs", 175, 80), 1.25, IF(_uom="lbs",5,2.5))))), "")</f>
        <v/>
      </c>
      <c r="BN30" s="148"/>
      <c r="BO30" s="33"/>
      <c r="BP30" s="171"/>
      <c r="BQ30" s="124" t="str">
        <f>IFERROR(__xludf.DUMMYFUNCTION("IF(BM30=MAX(FILTER(BM$10:BM$199,LOOKUP(ROW(BG$10:BG$199),FILTER(ROW(BG$10:BG$199),BG$10:BG$199&lt;&gt;BG$9:BG$198))=LOOKUP(ROW(BG30),FILTER(ROW(BG$10:BG$199),BG$10:BG$199&lt;&gt;BG$9:BG$198)))),BN30,)"),"")</f>
        <v/>
      </c>
      <c r="BR30" s="122"/>
      <c r="BS30" s="38"/>
      <c r="BT30" s="143" t="str">
        <f t="shared" si="19"/>
        <v/>
      </c>
      <c r="BU30" s="38" t="str">
        <f>IFERROR(__xludf.DUMMYFUNCTION("""COMPUTED_VALUE"""),"")</f>
        <v/>
      </c>
      <c r="BV30" s="144">
        <v>46146.0</v>
      </c>
      <c r="BW30" s="167" t="str">
        <f t="shared" si="20"/>
        <v/>
      </c>
      <c r="BX30" s="168" t="str">
        <f t="shared" si="108"/>
        <v/>
      </c>
      <c r="BY30" s="169" t="str">
        <f t="shared" si="100"/>
        <v/>
      </c>
      <c r="BZ30" s="172" t="str">
        <f t="shared" si="109"/>
        <v/>
      </c>
      <c r="CA30" s="171" t="str">
        <f t="array" ref="CA30">IFERROR(IF(BU30="ac"+ISNUMBER(SEARCH("'",BZ30))+BY30="","", IF(ISNUMBER(SEARCH("lw",BZ30)), BM30 + SUBSTITUTE(BZ30,"lw+",""), MROUND(SWITCH(BU30,"sq",BY$7,"bn",BZ$7,"dl",CA$7,"")*IF(BZ30&gt;10, BZ30/100, VLOOKUP(BZ30, _rpe,SUBSTITUTE(BY30,"+","")+1,0)), IF( SWITCH(BU30,"sq",BY$7,"bn",BZ$7,"dl", CA$7,"")&lt; IF(_uom="lbs", 175, 80), 1.25, IF(_uom="lbs",5,2.5))))), "")</f>
        <v/>
      </c>
      <c r="CB30" s="148"/>
      <c r="CC30" s="33"/>
      <c r="CD30" s="171"/>
      <c r="CE30" s="124" t="str">
        <f>IFERROR(__xludf.DUMMYFUNCTION("IF(CA30=MAX(FILTER(CA$10:CA$199,LOOKUP(ROW(BU$10:BU$199),FILTER(ROW(BU$10:BU$199),BU$10:BU$199&lt;&gt;BU$9:BU$198))=LOOKUP(ROW(BU30),FILTER(ROW(BU$10:BU$199),BU$10:BU$199&lt;&gt;BU$9:BU$198)))),CB30,)"),"")</f>
        <v/>
      </c>
      <c r="CF30" s="122"/>
      <c r="CG30" s="38"/>
      <c r="CH30" s="143" t="str">
        <f t="shared" si="21"/>
        <v/>
      </c>
      <c r="CI30" s="38" t="str">
        <f>IFERROR(__xludf.DUMMYFUNCTION("""COMPUTED_VALUE"""),"")</f>
        <v/>
      </c>
      <c r="CJ30" s="144">
        <v>46153.0</v>
      </c>
      <c r="CK30" s="167" t="str">
        <f t="shared" si="27"/>
        <v/>
      </c>
      <c r="CL30" s="168" t="str">
        <f t="shared" si="91"/>
        <v/>
      </c>
      <c r="CM30" s="169" t="str">
        <f t="shared" si="101"/>
        <v/>
      </c>
      <c r="CN30" s="172" t="str">
        <f t="shared" si="110"/>
        <v/>
      </c>
      <c r="CO30" s="171" t="str">
        <f t="array" ref="CO30">IFERROR(IF(CI30="ac"+ISNUMBER(SEARCH("'",CN30))+CM30="","", IF(ISNUMBER(SEARCH("lw",CN30)), CA30 + SUBSTITUTE(CN30,"lw+",""), MROUND(SWITCH(CI30,"sq",CM$7,"bn",CN$7,"dl",CO$7,"")*IF(CN30&gt;10, CN30/100, VLOOKUP(CN30, _rpe,SUBSTITUTE(CM30,"+","")+1,0)), IF( SWITCH(CI30,"sq",CM$7,"bn",CN$7,"dl", CO$7,"")&lt; IF(_uom="lbs", 175, 80), 1.25, IF(_uom="lbs",5,2.5))))), "")</f>
        <v/>
      </c>
      <c r="CP30" s="148"/>
      <c r="CQ30" s="33"/>
      <c r="CR30" s="171"/>
      <c r="CS30" s="124" t="str">
        <f>IFERROR(__xludf.DUMMYFUNCTION("IF(CO30=MAX(FILTER(CO$10:CO$199,LOOKUP(ROW(CI$10:CI$199),FILTER(ROW(CI$10:CI$199),CI$10:CI$199&lt;&gt;CI$9:CI$198))=LOOKUP(ROW(CI30),FILTER(ROW(CI$10:CI$199),CI$10:CI$199&lt;&gt;CI$9:CI$198)))),CP30,)"),"")</f>
        <v/>
      </c>
      <c r="CT30" s="122"/>
      <c r="CU30" s="38"/>
      <c r="CV30" s="143" t="str">
        <f t="shared" si="22"/>
        <v/>
      </c>
      <c r="CW30" s="38" t="str">
        <f>IFERROR(__xludf.DUMMYFUNCTION("""COMPUTED_VALUE"""),"")</f>
        <v/>
      </c>
      <c r="CX30" s="144">
        <v>46160.0</v>
      </c>
      <c r="CY30" s="167" t="str">
        <f t="shared" si="28"/>
        <v/>
      </c>
      <c r="CZ30" s="168" t="str">
        <f t="shared" si="94"/>
        <v/>
      </c>
      <c r="DA30" s="169" t="str">
        <f t="shared" si="102"/>
        <v/>
      </c>
      <c r="DB30" s="172" t="str">
        <f t="shared" si="96"/>
        <v/>
      </c>
      <c r="DC30" s="171" t="str">
        <f t="array" ref="DC30">IFERROR(IF(CW30="ac"+ISNUMBER(SEARCH("'",DB30))+DA30="","", IF(ISNUMBER(SEARCH("lw",DB30)), CO30 + SUBSTITUTE(DB30,"lw+",""), MROUND(SWITCH(CW30,"sq",DA$7,"bn",DB$7,"dl",DC$7,"")*IF(DB30&gt;10, DB30/100, VLOOKUP(DB30, _rpe,SUBSTITUTE(DA30,"+","")+1,0)), IF( SWITCH(CW30,"sq",DA$7,"bn",DB$7,"dl", DC$7,"")&lt; IF(_uom="lbs", 175, 80), 1.25, IF(_uom="lbs",5,2.5))))), "")</f>
        <v/>
      </c>
      <c r="DD30" s="148"/>
      <c r="DE30" s="33"/>
      <c r="DF30" s="171"/>
      <c r="DG30" s="124" t="str">
        <f>IFERROR(__xludf.DUMMYFUNCTION("IF(DC30=MAX(FILTER(DC$10:DC$199,LOOKUP(ROW(CW$10:CW$199),FILTER(ROW(CW$10:CW$199),CW$10:CW$199&lt;&gt;CW$9:CW$198))=LOOKUP(ROW(CW30),FILTER(ROW(CW$10:CW$199),CW$10:CW$199&lt;&gt;CW$9:CW$198)))),DD30,)"),"")</f>
        <v/>
      </c>
      <c r="DH30" s="122"/>
      <c r="DI30" s="38"/>
      <c r="DJ30" s="143" t="str">
        <f t="shared" si="23"/>
        <v/>
      </c>
      <c r="DK30" s="38" t="str">
        <f>IFERROR(__xludf.DUMMYFUNCTION("""COMPUTED_VALUE"""),"")</f>
        <v/>
      </c>
      <c r="DL30" s="144">
        <v>46167.0</v>
      </c>
      <c r="DM30" s="167" t="str">
        <f t="shared" ref="DM30:DN30" si="126">IF(ISBLANK(CY30),"",CY30)</f>
        <v/>
      </c>
      <c r="DN30" s="168" t="str">
        <f t="shared" si="126"/>
        <v/>
      </c>
      <c r="DO30" s="169" t="str">
        <f t="shared" si="104"/>
        <v/>
      </c>
      <c r="DP30" s="172" t="str">
        <f t="shared" si="112"/>
        <v/>
      </c>
      <c r="DQ30" s="171" t="str">
        <f t="array" ref="DQ30">IFERROR(IF(DK30="ac"+ISNUMBER(SEARCH("'",DP30))+DO30="","", IF(ISNUMBER(SEARCH("lw",DP30)), DC30 + SUBSTITUTE(DP30,"lw+",""), MROUND(SWITCH(DK30,"sq",DO$7,"bn",DP$7,"dl",DQ$7,"")*IF(DP30&gt;10, DP30/100, VLOOKUP(DP30, _rpe,SUBSTITUTE(DO30,"+","")+1,0)), IF( SWITCH(DK30,"sq",DO$7,"bn",DP$7,"dl", DQ$7,"")&lt; IF(_uom="lbs", 175, 80), 1.25, IF(_uom="lbs",5,2.5))))), "")</f>
        <v/>
      </c>
      <c r="DR30" s="148"/>
      <c r="DS30" s="33"/>
      <c r="DT30" s="171"/>
      <c r="DU30" s="124" t="str">
        <f>IFERROR(__xludf.DUMMYFUNCTION("IF(DQ30=MAX(FILTER(DQ$10:DQ$199,LOOKUP(ROW(DK$10:DK$199),FILTER(ROW(DK$10:DK$199),DK$10:DK$199&lt;&gt;DK$9:DK$198))=LOOKUP(ROW(DK30),FILTER(ROW(DK$10:DK$199),DK$10:DK$199&lt;&gt;DK$9:DK$198)))),DR30,)"),"")</f>
        <v/>
      </c>
      <c r="DV30" s="122"/>
      <c r="DW30" s="38"/>
      <c r="DX30" s="143"/>
      <c r="DY30" s="38"/>
      <c r="DZ30" s="144"/>
      <c r="EA30" s="150"/>
      <c r="EB30" s="174"/>
      <c r="EC30" s="175"/>
      <c r="ED30" s="176"/>
      <c r="EE30" s="155"/>
      <c r="EF30" s="148"/>
      <c r="EG30" s="33"/>
      <c r="EH30" s="155"/>
      <c r="EI30" s="148"/>
      <c r="EJ30" s="33"/>
      <c r="EK30" s="38"/>
      <c r="EL30" s="143"/>
      <c r="EM30" s="38"/>
      <c r="EN30" s="144"/>
      <c r="EO30" s="150"/>
      <c r="EP30" s="174"/>
      <c r="EQ30" s="175"/>
      <c r="ER30" s="176"/>
      <c r="ES30" s="155"/>
      <c r="ET30" s="148"/>
      <c r="EU30" s="33"/>
      <c r="EV30" s="155"/>
      <c r="EW30" s="148"/>
      <c r="EX30" s="33"/>
      <c r="EY30" s="38"/>
      <c r="EZ30" s="143"/>
      <c r="FA30" s="38"/>
      <c r="FB30" s="144"/>
      <c r="FC30" s="150"/>
      <c r="FD30" s="174"/>
      <c r="FE30" s="175"/>
      <c r="FF30" s="176"/>
      <c r="FG30" s="155"/>
      <c r="FH30" s="148"/>
      <c r="FI30" s="33"/>
      <c r="FJ30" s="155"/>
      <c r="FK30" s="148"/>
      <c r="FL30" s="33"/>
      <c r="FM30" s="38"/>
      <c r="FN30" s="143"/>
      <c r="FO30" s="38"/>
      <c r="FP30" s="144"/>
      <c r="FQ30" s="150"/>
      <c r="FR30" s="174"/>
      <c r="FS30" s="175"/>
      <c r="FT30" s="176"/>
      <c r="FU30" s="155"/>
      <c r="FV30" s="148"/>
      <c r="FW30" s="33"/>
      <c r="FX30" s="155"/>
      <c r="FY30" s="148"/>
      <c r="FZ30" s="33"/>
      <c r="GA30" s="38"/>
      <c r="GB30" s="143"/>
      <c r="GC30" s="38"/>
      <c r="GD30" s="144"/>
      <c r="GE30" s="150"/>
      <c r="GF30" s="174"/>
      <c r="GG30" s="175"/>
      <c r="GH30" s="176"/>
      <c r="GI30" s="155"/>
      <c r="GJ30" s="148"/>
      <c r="GK30" s="33"/>
      <c r="GL30" s="155"/>
      <c r="GM30" s="148"/>
      <c r="GN30" s="33"/>
      <c r="GO30" s="38"/>
      <c r="GP30" s="143"/>
      <c r="GQ30" s="38"/>
      <c r="GR30" s="144"/>
      <c r="GS30" s="150"/>
      <c r="GT30" s="174"/>
      <c r="GU30" s="175"/>
      <c r="GV30" s="176"/>
      <c r="GW30" s="155"/>
      <c r="GX30" s="148"/>
      <c r="GY30" s="33"/>
      <c r="GZ30" s="155"/>
      <c r="HA30" s="148"/>
      <c r="HB30" s="33"/>
      <c r="HC30" s="38"/>
      <c r="HD30" s="143"/>
      <c r="HE30" s="38"/>
      <c r="HF30" s="144"/>
      <c r="HG30" s="150"/>
      <c r="HH30" s="174"/>
      <c r="HI30" s="175"/>
      <c r="HJ30" s="176"/>
      <c r="HK30" s="155"/>
      <c r="HL30" s="148"/>
      <c r="HM30" s="33"/>
      <c r="HN30" s="155"/>
      <c r="HO30" s="148"/>
      <c r="HP30" s="33"/>
      <c r="HQ30" s="38"/>
      <c r="HR30" s="143"/>
      <c r="HS30" s="38"/>
      <c r="HT30" s="144"/>
      <c r="HU30" s="150"/>
      <c r="HV30" s="174"/>
      <c r="HW30" s="175"/>
      <c r="HX30" s="176"/>
      <c r="HY30" s="155"/>
      <c r="HZ30" s="148"/>
      <c r="IA30" s="33"/>
      <c r="IB30" s="155"/>
      <c r="IC30" s="148"/>
      <c r="ID30" s="33"/>
      <c r="IE30" s="38"/>
      <c r="IF30" s="143"/>
      <c r="IG30" s="38"/>
      <c r="IH30" s="144"/>
      <c r="II30" s="150"/>
      <c r="IJ30" s="174"/>
      <c r="IK30" s="175"/>
      <c r="IL30" s="176"/>
      <c r="IM30" s="155"/>
      <c r="IN30" s="148"/>
      <c r="IO30" s="33"/>
      <c r="IP30" s="155"/>
      <c r="IQ30" s="148"/>
      <c r="IR30" s="33"/>
      <c r="IS30" s="38"/>
      <c r="IT30" s="143"/>
      <c r="IU30" s="38"/>
      <c r="IV30" s="144"/>
      <c r="IW30" s="143" t="str">
        <f t="shared" si="24"/>
        <v>#REF!</v>
      </c>
      <c r="IX30" s="38"/>
      <c r="IY30" s="144" t="e">
        <v>#REF!</v>
      </c>
    </row>
    <row r="31">
      <c r="A31" s="33"/>
      <c r="B31" s="143"/>
      <c r="C31" s="38" t="str">
        <f>IFERROR(__xludf.DUMMYFUNCTION("""COMPUTED_VALUE"""),"ac")</f>
        <v>ac</v>
      </c>
      <c r="D31" s="144">
        <v>46111.0</v>
      </c>
      <c r="E31" s="167" t="s">
        <v>320</v>
      </c>
      <c r="F31" s="168"/>
      <c r="G31" s="169"/>
      <c r="H31" s="170"/>
      <c r="I31" s="171" t="str">
        <f t="array" ref="I31">IFERROR(IF(C31="ac"+ISNUMBER(SEARCH("'",H31))+G31="","", MROUND(SWITCH(C31,"sq",'Personal Info'!$O$15,"bn",'Personal Info'!$S$15,"dl",'Personal Info'!$W$15,"")*IF(H31&gt;10, H31/100, VLOOKUP(H31, _rpe,SUBSTITUTE(G31,"+","")+1,0)), IF( SWITCH(C31:C210,"sq",'Personal Info'!$O$15,"bn",'Personal Info'!$S$15,"dl", 'Personal Info'!$W$15,"")&lt; IF(_uom="lbs", 175, 80), 1.25, IF(_uom="lbs",5,2.5)))),"")</f>
        <v/>
      </c>
      <c r="J31" s="148"/>
      <c r="K31" s="33"/>
      <c r="L31" s="171"/>
      <c r="M31" s="124" t="str">
        <f>IFERROR(__xludf.DUMMYFUNCTION("IF(I31=MAX(FILTER(I$10:I$199,LOOKUP(ROW(C$10:C$199),FILTER(ROW(C$10:C$199),C$10:C$199&lt;&gt;C$9:C$198))=LOOKUP(ROW(C31),FILTER(ROW(C$10:C$199),C$10:C$199&lt;&gt;C$9:C$198)))),J31,)"),"")</f>
        <v/>
      </c>
      <c r="N31" s="122"/>
      <c r="O31" s="38"/>
      <c r="P31" s="143" t="str">
        <f t="shared" si="12"/>
        <v/>
      </c>
      <c r="Q31" s="38" t="str">
        <f>IFERROR(__xludf.DUMMYFUNCTION("""COMPUTED_VALUE"""),"ac")</f>
        <v>ac</v>
      </c>
      <c r="R31" s="144">
        <v>46118.0</v>
      </c>
      <c r="S31" s="167" t="str">
        <f t="shared" si="13"/>
        <v>Day 2</v>
      </c>
      <c r="T31" s="168" t="str">
        <f t="shared" si="113"/>
        <v/>
      </c>
      <c r="U31" s="169" t="str">
        <f t="shared" si="114"/>
        <v/>
      </c>
      <c r="V31" s="172" t="str">
        <f t="shared" si="115"/>
        <v/>
      </c>
      <c r="W31" s="171" t="str">
        <f t="array" ref="W31">IFERROR(IF(Q31="ac"+ISNUMBER(SEARCH("'",V31))+U31="","", IF(ISNUMBER(SEARCH("lw",V31)), I31 + SUBSTITUTE(V31,"lw+",""), MROUND(SWITCH(Q31,"sq",U$7,"bn",V$7,"dl",W$7,"")*IF(V31&gt;10, V31/100, VLOOKUP(V31, _rpe,SUBSTITUTE(U31,"+","")+1,0)), IF( SWITCH(Q31,"sq",U$7,"bn",V$7,"dl", W$7,"")&lt; IF(_uom="lbs", 175, 80), 1.25, IF(_uom="lbs",5,2.5))))), "")</f>
        <v/>
      </c>
      <c r="X31" s="148"/>
      <c r="Y31" s="33"/>
      <c r="Z31" s="171"/>
      <c r="AA31" s="124" t="str">
        <f>IFERROR(__xludf.DUMMYFUNCTION("IF(W31=MAX(FILTER(W$10:W$199,LOOKUP(ROW(Q$10:Q$199),FILTER(ROW(Q$10:Q$199),Q$10:Q$199&lt;&gt;Q$9:Q$198))=LOOKUP(ROW(Q31),FILTER(ROW(Q$10:Q$199),Q$10:Q$199&lt;&gt;Q$9:Q$198)))),X31,)"),"")</f>
        <v/>
      </c>
      <c r="AB31" s="122"/>
      <c r="AC31" s="38"/>
      <c r="AD31" s="143" t="str">
        <f t="shared" si="14"/>
        <v/>
      </c>
      <c r="AE31" s="38" t="str">
        <f>IFERROR(__xludf.DUMMYFUNCTION("""COMPUTED_VALUE"""),"ac")</f>
        <v>ac</v>
      </c>
      <c r="AF31" s="144">
        <v>46125.0</v>
      </c>
      <c r="AG31" s="167" t="str">
        <f t="shared" si="54"/>
        <v>Day 2</v>
      </c>
      <c r="AH31" s="168" t="str">
        <f t="shared" si="116"/>
        <v/>
      </c>
      <c r="AI31" s="169" t="str">
        <f t="shared" si="117"/>
        <v/>
      </c>
      <c r="AJ31" s="172" t="str">
        <f t="shared" si="118"/>
        <v/>
      </c>
      <c r="AK31" s="171" t="str">
        <f t="array" ref="AK31">IFERROR(IF(AE31="ac"+ISNUMBER(SEARCH("'",AJ31))+AI31="","", IF(ISNUMBER(SEARCH("lw",AJ31)), W31 + SUBSTITUTE(AJ31,"lw+",""), MROUND(SWITCH(AE31,"sq",AI$7,"bn",AJ$7,"dl",AK$7,"")*IF(AJ31&gt;10, AJ31/100, VLOOKUP(AJ31, _rpe,SUBSTITUTE(AI31,"+","")+1,0)), IF( SWITCH(AE31,"sq",AI$7,"bn",AJ$7,"dl", AK$7,"")&lt; IF(_uom="lbs", 175, 80), 1.25, IF(_uom="lbs",5,2.5))))), "")</f>
        <v/>
      </c>
      <c r="AL31" s="148"/>
      <c r="AM31" s="33"/>
      <c r="AN31" s="171"/>
      <c r="AO31" s="124" t="str">
        <f>IFERROR(__xludf.DUMMYFUNCTION("IF(AK31=MAX(FILTER(AK$10:AK$199,LOOKUP(ROW(AE$10:AE$199),FILTER(ROW(AE$10:AE$199),AE$10:AE$199&lt;&gt;AE$9:AE$198))=LOOKUP(ROW(AE31),FILTER(ROW(AE$10:AE$199),AE$10:AE$199&lt;&gt;AE$9:AE$198)))),AL31,)"),"")</f>
        <v/>
      </c>
      <c r="AP31" s="122"/>
      <c r="AQ31" s="38"/>
      <c r="AR31" s="143" t="str">
        <f t="shared" si="16"/>
        <v/>
      </c>
      <c r="AS31" s="38" t="str">
        <f>IFERROR(__xludf.DUMMYFUNCTION("""COMPUTED_VALUE"""),"ac")</f>
        <v>ac</v>
      </c>
      <c r="AT31" s="144">
        <v>46132.0</v>
      </c>
      <c r="AU31" s="167" t="str">
        <f t="shared" si="26"/>
        <v>Day 2</v>
      </c>
      <c r="AV31" s="168" t="str">
        <f t="shared" si="119"/>
        <v/>
      </c>
      <c r="AW31" s="169" t="str">
        <f t="shared" si="120"/>
        <v/>
      </c>
      <c r="AX31" s="172" t="str">
        <f t="shared" si="121"/>
        <v/>
      </c>
      <c r="AY31" s="171" t="str">
        <f t="array" ref="AY31">IFERROR(IF(AS31="ac"+ISNUMBER(SEARCH("'",AX31))+AW31="","", IF(ISNUMBER(SEARCH("lw",AX31)), AK31 + SUBSTITUTE(AX31,"lw+",""), MROUND(SWITCH(AS31,"sq",AW$7,"bn",AX$7,"dl",AY$7,"")*IF(AX31&gt;10, AX31/100, VLOOKUP(AX31, _rpe,SUBSTITUTE(AW31,"+","")+1,0)), IF( SWITCH(AS31,"sq",AW$7,"bn",AX$7,"dl", AY$7,"")&lt; IF(_uom="lbs", 175, 80), 1.25, IF(_uom="lbs",5,2.5))))), "")</f>
        <v/>
      </c>
      <c r="AZ31" s="148"/>
      <c r="BA31" s="33"/>
      <c r="BB31" s="171"/>
      <c r="BC31" s="124" t="str">
        <f>IFERROR(__xludf.DUMMYFUNCTION("IF(AY31=MAX(FILTER(AY$10:AY$199,LOOKUP(ROW(AS$10:AS$199),FILTER(ROW(AS$10:AS$199),AS$10:AS$199&lt;&gt;AS$9:AS$198))=LOOKUP(ROW(AS31),FILTER(ROW(AS$10:AS$199),AS$10:AS$199&lt;&gt;AS$9:AS$198)))),AZ31,)"),"")</f>
        <v/>
      </c>
      <c r="BD31" s="122"/>
      <c r="BE31" s="38"/>
      <c r="BF31" s="143" t="str">
        <f t="shared" si="17"/>
        <v/>
      </c>
      <c r="BG31" s="38" t="str">
        <f>IFERROR(__xludf.DUMMYFUNCTION("""COMPUTED_VALUE"""),"ac")</f>
        <v>ac</v>
      </c>
      <c r="BH31" s="144">
        <v>46139.0</v>
      </c>
      <c r="BI31" s="167" t="str">
        <f t="shared" si="18"/>
        <v>Day 2</v>
      </c>
      <c r="BJ31" s="168" t="str">
        <f t="shared" si="105"/>
        <v/>
      </c>
      <c r="BK31" s="169" t="str">
        <f t="shared" si="106"/>
        <v/>
      </c>
      <c r="BL31" s="172" t="str">
        <f t="shared" si="107"/>
        <v/>
      </c>
      <c r="BM31" s="171" t="str">
        <f t="array" ref="BM31">IFERROR(IF(BG31="ac"+ISNUMBER(SEARCH("'",BL31))+BK31="","", IF(ISNUMBER(SEARCH("lw",BL31)), AY31 + SUBSTITUTE(BL31,"lw+",""), MROUND(SWITCH(BG31,"sq",BK$7,"bn",BL$7,"dl",BM$7,"")*IF(BL31&gt;10, BL31/100, VLOOKUP(BL31, _rpe,SUBSTITUTE(BK31,"+","")+1,0)), IF( SWITCH(BG31,"sq",BK$7,"bn",BL$7,"dl", BM$7,"")&lt; IF(_uom="lbs", 175, 80), 1.25, IF(_uom="lbs",5,2.5))))), "")</f>
        <v/>
      </c>
      <c r="BN31" s="148"/>
      <c r="BO31" s="33"/>
      <c r="BP31" s="171"/>
      <c r="BQ31" s="124" t="str">
        <f>IFERROR(__xludf.DUMMYFUNCTION("IF(BM31=MAX(FILTER(BM$10:BM$199,LOOKUP(ROW(BG$10:BG$199),FILTER(ROW(BG$10:BG$199),BG$10:BG$199&lt;&gt;BG$9:BG$198))=LOOKUP(ROW(BG31),FILTER(ROW(BG$10:BG$199),BG$10:BG$199&lt;&gt;BG$9:BG$198)))),BN31,)"),"")</f>
        <v/>
      </c>
      <c r="BR31" s="122"/>
      <c r="BS31" s="38"/>
      <c r="BT31" s="143" t="str">
        <f t="shared" si="19"/>
        <v/>
      </c>
      <c r="BU31" s="38" t="str">
        <f>IFERROR(__xludf.DUMMYFUNCTION("""COMPUTED_VALUE"""),"ac")</f>
        <v>ac</v>
      </c>
      <c r="BV31" s="144">
        <v>46146.0</v>
      </c>
      <c r="BW31" s="167" t="str">
        <f t="shared" si="20"/>
        <v>Day 2</v>
      </c>
      <c r="BX31" s="168" t="str">
        <f t="shared" si="108"/>
        <v/>
      </c>
      <c r="BY31" s="169" t="str">
        <f t="shared" si="100"/>
        <v/>
      </c>
      <c r="BZ31" s="172" t="str">
        <f t="shared" si="109"/>
        <v/>
      </c>
      <c r="CA31" s="171" t="str">
        <f t="array" ref="CA31">IFERROR(IF(BU31="ac"+ISNUMBER(SEARCH("'",BZ31))+BY31="","", IF(ISNUMBER(SEARCH("lw",BZ31)), BM31 + SUBSTITUTE(BZ31,"lw+",""), MROUND(SWITCH(BU31,"sq",BY$7,"bn",BZ$7,"dl",CA$7,"")*IF(BZ31&gt;10, BZ31/100, VLOOKUP(BZ31, _rpe,SUBSTITUTE(BY31,"+","")+1,0)), IF( SWITCH(BU31,"sq",BY$7,"bn",BZ$7,"dl", CA$7,"")&lt; IF(_uom="lbs", 175, 80), 1.25, IF(_uom="lbs",5,2.5))))), "")</f>
        <v/>
      </c>
      <c r="CB31" s="148"/>
      <c r="CC31" s="33"/>
      <c r="CD31" s="171"/>
      <c r="CE31" s="124" t="str">
        <f>IFERROR(__xludf.DUMMYFUNCTION("IF(CA31=MAX(FILTER(CA$10:CA$199,LOOKUP(ROW(BU$10:BU$199),FILTER(ROW(BU$10:BU$199),BU$10:BU$199&lt;&gt;BU$9:BU$198))=LOOKUP(ROW(BU31),FILTER(ROW(BU$10:BU$199),BU$10:BU$199&lt;&gt;BU$9:BU$198)))),CB31,)"),"")</f>
        <v/>
      </c>
      <c r="CF31" s="122"/>
      <c r="CG31" s="38"/>
      <c r="CH31" s="143" t="str">
        <f t="shared" si="21"/>
        <v/>
      </c>
      <c r="CI31" s="38" t="str">
        <f>IFERROR(__xludf.DUMMYFUNCTION("""COMPUTED_VALUE"""),"ac")</f>
        <v>ac</v>
      </c>
      <c r="CJ31" s="144">
        <v>46153.0</v>
      </c>
      <c r="CK31" s="167" t="str">
        <f t="shared" si="27"/>
        <v>Day 2</v>
      </c>
      <c r="CL31" s="168" t="str">
        <f t="shared" si="91"/>
        <v/>
      </c>
      <c r="CM31" s="169" t="str">
        <f t="shared" si="101"/>
        <v/>
      </c>
      <c r="CN31" s="172" t="str">
        <f t="shared" si="110"/>
        <v/>
      </c>
      <c r="CO31" s="171" t="str">
        <f t="array" ref="CO31">IFERROR(IF(CI31="ac"+ISNUMBER(SEARCH("'",CN31))+CM31="","", IF(ISNUMBER(SEARCH("lw",CN31)), CA31 + SUBSTITUTE(CN31,"lw+",""), MROUND(SWITCH(CI31,"sq",CM$7,"bn",CN$7,"dl",CO$7,"")*IF(CN31&gt;10, CN31/100, VLOOKUP(CN31, _rpe,SUBSTITUTE(CM31,"+","")+1,0)), IF( SWITCH(CI31,"sq",CM$7,"bn",CN$7,"dl", CO$7,"")&lt; IF(_uom="lbs", 175, 80), 1.25, IF(_uom="lbs",5,2.5))))), "")</f>
        <v/>
      </c>
      <c r="CP31" s="148"/>
      <c r="CQ31" s="33"/>
      <c r="CR31" s="171"/>
      <c r="CS31" s="124" t="str">
        <f>IFERROR(__xludf.DUMMYFUNCTION("IF(CO31=MAX(FILTER(CO$10:CO$199,LOOKUP(ROW(CI$10:CI$199),FILTER(ROW(CI$10:CI$199),CI$10:CI$199&lt;&gt;CI$9:CI$198))=LOOKUP(ROW(CI31),FILTER(ROW(CI$10:CI$199),CI$10:CI$199&lt;&gt;CI$9:CI$198)))),CP31,)"),"")</f>
        <v/>
      </c>
      <c r="CT31" s="122"/>
      <c r="CU31" s="38"/>
      <c r="CV31" s="143" t="str">
        <f t="shared" si="22"/>
        <v/>
      </c>
      <c r="CW31" s="38" t="str">
        <f>IFERROR(__xludf.DUMMYFUNCTION("""COMPUTED_VALUE"""),"ac")</f>
        <v>ac</v>
      </c>
      <c r="CX31" s="144">
        <v>46160.0</v>
      </c>
      <c r="CY31" s="167" t="str">
        <f t="shared" si="28"/>
        <v>Day 2</v>
      </c>
      <c r="CZ31" s="168" t="str">
        <f t="shared" si="94"/>
        <v/>
      </c>
      <c r="DA31" s="169" t="str">
        <f t="shared" si="102"/>
        <v/>
      </c>
      <c r="DB31" s="172" t="str">
        <f t="shared" si="96"/>
        <v/>
      </c>
      <c r="DC31" s="171" t="str">
        <f t="array" ref="DC31">IFERROR(IF(CW31="ac"+ISNUMBER(SEARCH("'",DB31))+DA31="","", IF(ISNUMBER(SEARCH("lw",DB31)), CO31 + SUBSTITUTE(DB31,"lw+",""), MROUND(SWITCH(CW31,"sq",DA$7,"bn",DB$7,"dl",DC$7,"")*IF(DB31&gt;10, DB31/100, VLOOKUP(DB31, _rpe,SUBSTITUTE(DA31,"+","")+1,0)), IF( SWITCH(CW31,"sq",DA$7,"bn",DB$7,"dl", DC$7,"")&lt; IF(_uom="lbs", 175, 80), 1.25, IF(_uom="lbs",5,2.5))))), "")</f>
        <v/>
      </c>
      <c r="DD31" s="148"/>
      <c r="DE31" s="33"/>
      <c r="DF31" s="171"/>
      <c r="DG31" s="124" t="str">
        <f>IFERROR(__xludf.DUMMYFUNCTION("IF(DC31=MAX(FILTER(DC$10:DC$199,LOOKUP(ROW(CW$10:CW$199),FILTER(ROW(CW$10:CW$199),CW$10:CW$199&lt;&gt;CW$9:CW$198))=LOOKUP(ROW(CW31),FILTER(ROW(CW$10:CW$199),CW$10:CW$199&lt;&gt;CW$9:CW$198)))),DD31,)"),"")</f>
        <v/>
      </c>
      <c r="DH31" s="122"/>
      <c r="DI31" s="38"/>
      <c r="DJ31" s="143" t="str">
        <f t="shared" si="23"/>
        <v/>
      </c>
      <c r="DK31" s="38" t="str">
        <f>IFERROR(__xludf.DUMMYFUNCTION("""COMPUTED_VALUE"""),"ac")</f>
        <v>ac</v>
      </c>
      <c r="DL31" s="144">
        <v>46167.0</v>
      </c>
      <c r="DM31" s="167" t="str">
        <f t="shared" ref="DM31:DN31" si="127">IF(ISBLANK(CY31),"",CY31)</f>
        <v>Day 2</v>
      </c>
      <c r="DN31" s="168" t="str">
        <f t="shared" si="127"/>
        <v/>
      </c>
      <c r="DO31" s="169" t="str">
        <f t="shared" si="104"/>
        <v/>
      </c>
      <c r="DP31" s="172" t="str">
        <f t="shared" si="112"/>
        <v/>
      </c>
      <c r="DQ31" s="171" t="str">
        <f t="array" ref="DQ31">IFERROR(IF(DK31="ac"+ISNUMBER(SEARCH("'",DP31))+DO31="","", IF(ISNUMBER(SEARCH("lw",DP31)), DC31 + SUBSTITUTE(DP31,"lw+",""), MROUND(SWITCH(DK31,"sq",DO$7,"bn",DP$7,"dl",DQ$7,"")*IF(DP31&gt;10, DP31/100, VLOOKUP(DP31, _rpe,SUBSTITUTE(DO31,"+","")+1,0)), IF( SWITCH(DK31,"sq",DO$7,"bn",DP$7,"dl", DQ$7,"")&lt; IF(_uom="lbs", 175, 80), 1.25, IF(_uom="lbs",5,2.5))))), "")</f>
        <v/>
      </c>
      <c r="DR31" s="148"/>
      <c r="DS31" s="33"/>
      <c r="DT31" s="171"/>
      <c r="DU31" s="124" t="str">
        <f>IFERROR(__xludf.DUMMYFUNCTION("IF(DQ31=MAX(FILTER(DQ$10:DQ$199,LOOKUP(ROW(DK$10:DK$199),FILTER(ROW(DK$10:DK$199),DK$10:DK$199&lt;&gt;DK$9:DK$198))=LOOKUP(ROW(DK31),FILTER(ROW(DK$10:DK$199),DK$10:DK$199&lt;&gt;DK$9:DK$198)))),DR31,)"),"")</f>
        <v/>
      </c>
      <c r="DV31" s="122"/>
      <c r="DW31" s="38"/>
      <c r="DX31" s="143"/>
      <c r="DY31" s="38"/>
      <c r="DZ31" s="144"/>
      <c r="EA31" s="150"/>
      <c r="EB31" s="174"/>
      <c r="EC31" s="175"/>
      <c r="ED31" s="176"/>
      <c r="EE31" s="155"/>
      <c r="EF31" s="148"/>
      <c r="EG31" s="33"/>
      <c r="EH31" s="155"/>
      <c r="EI31" s="148"/>
      <c r="EJ31" s="33"/>
      <c r="EK31" s="38"/>
      <c r="EL31" s="143"/>
      <c r="EM31" s="38"/>
      <c r="EN31" s="144"/>
      <c r="EO31" s="150"/>
      <c r="EP31" s="174"/>
      <c r="EQ31" s="175"/>
      <c r="ER31" s="176"/>
      <c r="ES31" s="155"/>
      <c r="ET31" s="148"/>
      <c r="EU31" s="33"/>
      <c r="EV31" s="155"/>
      <c r="EW31" s="148"/>
      <c r="EX31" s="33"/>
      <c r="EY31" s="38"/>
      <c r="EZ31" s="143"/>
      <c r="FA31" s="38"/>
      <c r="FB31" s="144"/>
      <c r="FC31" s="150"/>
      <c r="FD31" s="174"/>
      <c r="FE31" s="175"/>
      <c r="FF31" s="176"/>
      <c r="FG31" s="155"/>
      <c r="FH31" s="148"/>
      <c r="FI31" s="33"/>
      <c r="FJ31" s="155"/>
      <c r="FK31" s="148"/>
      <c r="FL31" s="33"/>
      <c r="FM31" s="38"/>
      <c r="FN31" s="143"/>
      <c r="FO31" s="38"/>
      <c r="FP31" s="144"/>
      <c r="FQ31" s="150"/>
      <c r="FR31" s="174"/>
      <c r="FS31" s="175"/>
      <c r="FT31" s="176"/>
      <c r="FU31" s="155"/>
      <c r="FV31" s="148"/>
      <c r="FW31" s="33"/>
      <c r="FX31" s="155"/>
      <c r="FY31" s="148"/>
      <c r="FZ31" s="33"/>
      <c r="GA31" s="38"/>
      <c r="GB31" s="143"/>
      <c r="GC31" s="38"/>
      <c r="GD31" s="144"/>
      <c r="GE31" s="150"/>
      <c r="GF31" s="174"/>
      <c r="GG31" s="175"/>
      <c r="GH31" s="176"/>
      <c r="GI31" s="155"/>
      <c r="GJ31" s="148"/>
      <c r="GK31" s="33"/>
      <c r="GL31" s="155"/>
      <c r="GM31" s="148"/>
      <c r="GN31" s="33"/>
      <c r="GO31" s="38"/>
      <c r="GP31" s="143"/>
      <c r="GQ31" s="38"/>
      <c r="GR31" s="144"/>
      <c r="GS31" s="150"/>
      <c r="GT31" s="174"/>
      <c r="GU31" s="175"/>
      <c r="GV31" s="176"/>
      <c r="GW31" s="155"/>
      <c r="GX31" s="148"/>
      <c r="GY31" s="33"/>
      <c r="GZ31" s="155"/>
      <c r="HA31" s="148"/>
      <c r="HB31" s="33"/>
      <c r="HC31" s="38"/>
      <c r="HD31" s="143"/>
      <c r="HE31" s="38"/>
      <c r="HF31" s="144"/>
      <c r="HG31" s="150"/>
      <c r="HH31" s="174"/>
      <c r="HI31" s="175"/>
      <c r="HJ31" s="176"/>
      <c r="HK31" s="155"/>
      <c r="HL31" s="148"/>
      <c r="HM31" s="33"/>
      <c r="HN31" s="155"/>
      <c r="HO31" s="148"/>
      <c r="HP31" s="33"/>
      <c r="HQ31" s="38"/>
      <c r="HR31" s="143"/>
      <c r="HS31" s="38"/>
      <c r="HT31" s="144"/>
      <c r="HU31" s="150"/>
      <c r="HV31" s="174"/>
      <c r="HW31" s="175"/>
      <c r="HX31" s="176"/>
      <c r="HY31" s="155"/>
      <c r="HZ31" s="148"/>
      <c r="IA31" s="33"/>
      <c r="IB31" s="155"/>
      <c r="IC31" s="148"/>
      <c r="ID31" s="33"/>
      <c r="IE31" s="38"/>
      <c r="IF31" s="143"/>
      <c r="IG31" s="38"/>
      <c r="IH31" s="144"/>
      <c r="II31" s="150"/>
      <c r="IJ31" s="174"/>
      <c r="IK31" s="175"/>
      <c r="IL31" s="176"/>
      <c r="IM31" s="155"/>
      <c r="IN31" s="148"/>
      <c r="IO31" s="33"/>
      <c r="IP31" s="155"/>
      <c r="IQ31" s="148"/>
      <c r="IR31" s="33"/>
      <c r="IS31" s="38"/>
      <c r="IT31" s="143"/>
      <c r="IU31" s="38"/>
      <c r="IV31" s="144"/>
      <c r="IW31" s="143" t="str">
        <f t="shared" si="24"/>
        <v>#REF!</v>
      </c>
      <c r="IX31" s="38"/>
      <c r="IY31" s="144" t="e">
        <v>#REF!</v>
      </c>
    </row>
    <row r="32">
      <c r="A32" s="33"/>
      <c r="B32" s="143" t="s">
        <v>321</v>
      </c>
      <c r="C32" s="38" t="str">
        <f>IFERROR(__xludf.DUMMYFUNCTION("""COMPUTED_VALUE"""),"dl")</f>
        <v>dl</v>
      </c>
      <c r="D32" s="144">
        <v>46111.0</v>
      </c>
      <c r="E32" s="167" t="s">
        <v>75</v>
      </c>
      <c r="F32" s="168">
        <v>4.0</v>
      </c>
      <c r="G32" s="169">
        <v>5.0</v>
      </c>
      <c r="H32" s="170">
        <v>74.0</v>
      </c>
      <c r="I32" s="171">
        <f t="array" ref="I32">IFERROR(IF(C32="ac"+ISNUMBER(SEARCH("'",H32))+G32="","", MROUND(SWITCH(C32,"sq",'Personal Info'!$O$15,"bn",'Personal Info'!$S$15,"dl",'Personal Info'!$W$15,"")*IF(H32&gt;10, H32/100, VLOOKUP(H32, _rpe,SUBSTITUTE(G32,"+","")+1,0)), IF( SWITCH(C32:C210,"sq",'Personal Info'!$O$15,"bn",'Personal Info'!$S$15,"dl", 'Personal Info'!$W$15,"")&lt; IF(_uom="lbs", 175, 80), 1.25, IF(_uom="lbs",5,2.5)))),"")</f>
        <v>165</v>
      </c>
      <c r="J32" s="148"/>
      <c r="K32" s="33"/>
      <c r="L32" s="171"/>
      <c r="M32" s="124" t="str">
        <f>IFERROR(__xludf.DUMMYFUNCTION("IF(I32=MAX(FILTER(I$10:I$199,LOOKUP(ROW(C$10:C$199),FILTER(ROW(C$10:C$199),C$10:C$199&lt;&gt;C$9:C$198))=LOOKUP(ROW(C32),FILTER(ROW(C$10:C$199),C$10:C$199&lt;&gt;C$9:C$198)))),J32,)"),"")</f>
        <v/>
      </c>
      <c r="N32" s="122"/>
      <c r="O32" s="38"/>
      <c r="P32" s="143" t="str">
        <f t="shared" si="12"/>
        <v>DL 1: main</v>
      </c>
      <c r="Q32" s="38" t="str">
        <f>IFERROR(__xludf.DUMMYFUNCTION("""COMPUTED_VALUE"""),"dl")</f>
        <v>dl</v>
      </c>
      <c r="R32" s="144">
        <v>46118.0</v>
      </c>
      <c r="S32" s="167" t="str">
        <f t="shared" si="13"/>
        <v>Deadlift</v>
      </c>
      <c r="T32" s="168">
        <v>5.0</v>
      </c>
      <c r="U32" s="169">
        <f t="shared" si="114"/>
        <v>5</v>
      </c>
      <c r="V32" s="172">
        <v>77.0</v>
      </c>
      <c r="W32" s="171">
        <f t="array" ref="W32">IFERROR(IF(Q32="ac"+ISNUMBER(SEARCH("'",V32))+U32="","", IF(ISNUMBER(SEARCH("lw",V32)), I32 + SUBSTITUTE(V32,"lw+",""), MROUND(SWITCH(Q32,"sq",U$7,"bn",V$7,"dl",W$7,"")*IF(V32&gt;10, V32/100, VLOOKUP(V32, _rpe,SUBSTITUTE(U32,"+","")+1,0)), IF( SWITCH(Q32,"sq",U$7,"bn",V$7,"dl", W$7,"")&lt; IF(_uom="lbs", 175, 80), 1.25, IF(_uom="lbs",5,2.5))))), "")</f>
        <v>175</v>
      </c>
      <c r="X32" s="148"/>
      <c r="Y32" s="33"/>
      <c r="Z32" s="171"/>
      <c r="AA32" s="124" t="str">
        <f>IFERROR(__xludf.DUMMYFUNCTION("IF(W32=MAX(FILTER(W$10:W$199,LOOKUP(ROW(Q$10:Q$199),FILTER(ROW(Q$10:Q$199),Q$10:Q$199&lt;&gt;Q$9:Q$198))=LOOKUP(ROW(Q32),FILTER(ROW(Q$10:Q$199),Q$10:Q$199&lt;&gt;Q$9:Q$198)))),X32,)"),"")</f>
        <v/>
      </c>
      <c r="AB32" s="122"/>
      <c r="AC32" s="38"/>
      <c r="AD32" s="143" t="str">
        <f t="shared" si="14"/>
        <v>DL 1: main</v>
      </c>
      <c r="AE32" s="38" t="str">
        <f>IFERROR(__xludf.DUMMYFUNCTION("""COMPUTED_VALUE"""),"dl")</f>
        <v>dl</v>
      </c>
      <c r="AF32" s="144">
        <v>46125.0</v>
      </c>
      <c r="AG32" s="167" t="str">
        <f t="shared" si="54"/>
        <v>Deadlift</v>
      </c>
      <c r="AH32" s="168">
        <v>5.0</v>
      </c>
      <c r="AI32" s="169">
        <v>4.0</v>
      </c>
      <c r="AJ32" s="172">
        <v>79.0</v>
      </c>
      <c r="AK32" s="171">
        <f t="array" ref="AK32">IFERROR(IF(AE32="ac"+ISNUMBER(SEARCH("'",AJ32))+AI32="","", IF(ISNUMBER(SEARCH("lw",AJ32)), W32 + SUBSTITUTE(AJ32,"lw+",""), MROUND(SWITCH(AE32,"sq",AI$7,"bn",AJ$7,"dl",AK$7,"")*IF(AJ32&gt;10, AJ32/100, VLOOKUP(AJ32, _rpe,SUBSTITUTE(AI32,"+","")+1,0)), IF( SWITCH(AE32,"sq",AI$7,"bn",AJ$7,"dl", AK$7,"")&lt; IF(_uom="lbs", 175, 80), 1.25, IF(_uom="lbs",5,2.5))))), "")</f>
        <v>180</v>
      </c>
      <c r="AL32" s="148"/>
      <c r="AM32" s="33"/>
      <c r="AN32" s="171"/>
      <c r="AO32" s="124" t="str">
        <f>IFERROR(__xludf.DUMMYFUNCTION("IF(AK32=MAX(FILTER(AK$10:AK$199,LOOKUP(ROW(AE$10:AE$199),FILTER(ROW(AE$10:AE$199),AE$10:AE$199&lt;&gt;AE$9:AE$198))=LOOKUP(ROW(AE32),FILTER(ROW(AE$10:AE$199),AE$10:AE$199&lt;&gt;AE$9:AE$198)))),AL32,)"),"")</f>
        <v/>
      </c>
      <c r="AP32" s="122"/>
      <c r="AQ32" s="38"/>
      <c r="AR32" s="143" t="str">
        <f t="shared" si="16"/>
        <v>DL 1: main</v>
      </c>
      <c r="AS32" s="38" t="str">
        <f>IFERROR(__xludf.DUMMYFUNCTION("""COMPUTED_VALUE"""),"dl")</f>
        <v>dl</v>
      </c>
      <c r="AT32" s="144">
        <v>46132.0</v>
      </c>
      <c r="AU32" s="167" t="str">
        <f t="shared" si="26"/>
        <v>Deadlift</v>
      </c>
      <c r="AV32" s="168">
        <v>6.0</v>
      </c>
      <c r="AW32" s="169">
        <f t="shared" si="120"/>
        <v>4</v>
      </c>
      <c r="AX32" s="172">
        <v>81.0</v>
      </c>
      <c r="AY32" s="171">
        <f t="array" ref="AY32">IFERROR(IF(AS32="ac"+ISNUMBER(SEARCH("'",AX32))+AW32="","", IF(ISNUMBER(SEARCH("lw",AX32)), AK32 + SUBSTITUTE(AX32,"lw+",""), MROUND(SWITCH(AS32,"sq",AW$7,"bn",AX$7,"dl",AY$7,"")*IF(AX32&gt;10, AX32/100, VLOOKUP(AX32, _rpe,SUBSTITUTE(AW32,"+","")+1,0)), IF( SWITCH(AS32,"sq",AW$7,"bn",AX$7,"dl", AY$7,"")&lt; IF(_uom="lbs", 175, 80), 1.25, IF(_uom="lbs",5,2.5))))), "")</f>
        <v>180</v>
      </c>
      <c r="AZ32" s="148"/>
      <c r="BA32" s="33"/>
      <c r="BB32" s="171"/>
      <c r="BC32" s="124" t="str">
        <f>IFERROR(__xludf.DUMMYFUNCTION("IF(AY32=MAX(FILTER(AY$10:AY$199,LOOKUP(ROW(AS$10:AS$199),FILTER(ROW(AS$10:AS$199),AS$10:AS$199&lt;&gt;AS$9:AS$198))=LOOKUP(ROW(AS32),FILTER(ROW(AS$10:AS$199),AS$10:AS$199&lt;&gt;AS$9:AS$198)))),AZ32,)"),"")</f>
        <v/>
      </c>
      <c r="BD32" s="122"/>
      <c r="BE32" s="38"/>
      <c r="BF32" s="143" t="str">
        <f t="shared" si="17"/>
        <v>DL 1: main</v>
      </c>
      <c r="BG32" s="38" t="str">
        <f>IFERROR(__xludf.DUMMYFUNCTION("""COMPUTED_VALUE"""),"dl")</f>
        <v>dl</v>
      </c>
      <c r="BH32" s="144">
        <v>46139.0</v>
      </c>
      <c r="BI32" s="167" t="str">
        <f t="shared" si="18"/>
        <v>Deadlift</v>
      </c>
      <c r="BJ32" s="168">
        <v>4.0</v>
      </c>
      <c r="BK32" s="169">
        <v>3.0</v>
      </c>
      <c r="BL32" s="172">
        <v>79.0</v>
      </c>
      <c r="BM32" s="171">
        <f t="array" ref="BM32">IFERROR(IF(BG32="ac"+ISNUMBER(SEARCH("'",BL32))+BK32="","", IF(ISNUMBER(SEARCH("lw",BL32)), AY32 + SUBSTITUTE(BL32,"lw+",""), MROUND(SWITCH(BG32,"sq",BK$7,"bn",BL$7,"dl",BM$7,"")*IF(BL32&gt;10, BL32/100, VLOOKUP(BL32, _rpe,SUBSTITUTE(BK32,"+","")+1,0)), IF( SWITCH(BG32,"sq",BK$7,"bn",BL$7,"dl", BM$7,"")&lt; IF(_uom="lbs", 175, 80), 1.25, IF(_uom="lbs",5,2.5))))), "")</f>
        <v>180</v>
      </c>
      <c r="BN32" s="148"/>
      <c r="BO32" s="33"/>
      <c r="BP32" s="171"/>
      <c r="BQ32" s="124" t="str">
        <f>IFERROR(__xludf.DUMMYFUNCTION("IF(BM32=MAX(FILTER(BM$10:BM$199,LOOKUP(ROW(BG$10:BG$199),FILTER(ROW(BG$10:BG$199),BG$10:BG$199&lt;&gt;BG$9:BG$198))=LOOKUP(ROW(BG32),FILTER(ROW(BG$10:BG$199),BG$10:BG$199&lt;&gt;BG$9:BG$198)))),BN32,)"),"")</f>
        <v/>
      </c>
      <c r="BR32" s="122"/>
      <c r="BS32" s="38"/>
      <c r="BT32" s="143" t="str">
        <f t="shared" si="19"/>
        <v>DL 1: main</v>
      </c>
      <c r="BU32" s="38" t="str">
        <f>IFERROR(__xludf.DUMMYFUNCTION("""COMPUTED_VALUE"""),"dl")</f>
        <v>dl</v>
      </c>
      <c r="BV32" s="144">
        <v>46146.0</v>
      </c>
      <c r="BW32" s="167" t="str">
        <f t="shared" si="20"/>
        <v>Deadlift</v>
      </c>
      <c r="BX32" s="168">
        <v>1.0</v>
      </c>
      <c r="BY32" s="169">
        <v>2.0</v>
      </c>
      <c r="BZ32" s="173" t="s">
        <v>312</v>
      </c>
      <c r="CA32" s="171" t="str">
        <f t="array" ref="CA32">IFERROR(IF(BU32="ac"+ISNUMBER(SEARCH("'",BZ32))+BY32="","", IF(ISNUMBER(SEARCH("lw",BZ32)), BM32 + SUBSTITUTE(BZ32,"lw+",""), MROUND(SWITCH(BU32,"sq",BY$7,"bn",BZ$7,"dl",CA$7,"")*IF(BZ32&gt;10, BZ32/100, VLOOKUP(BZ32, _rpe,SUBSTITUTE(BY32,"+","")+1,0)), IF( SWITCH(BU32,"sq",BY$7,"bn",BZ$7,"dl", CA$7,"")&lt; IF(_uom="lbs", 175, 80), 1.25, IF(_uom="lbs",5,2.5))))), "")</f>
        <v/>
      </c>
      <c r="CB32" s="148"/>
      <c r="CC32" s="33"/>
      <c r="CD32" s="171"/>
      <c r="CE32" s="124" t="str">
        <f>IFERROR(__xludf.DUMMYFUNCTION("IF(CA32=MAX(FILTER(CA$10:CA$199,LOOKUP(ROW(BU$10:BU$199),FILTER(ROW(BU$10:BU$199),BU$10:BU$199&lt;&gt;BU$9:BU$198))=LOOKUP(ROW(BU32),FILTER(ROW(BU$10:BU$199),BU$10:BU$199&lt;&gt;BU$9:BU$198)))),CB32,)"),"")</f>
        <v/>
      </c>
      <c r="CF32" s="122"/>
      <c r="CG32" s="38"/>
      <c r="CH32" s="143" t="str">
        <f t="shared" si="21"/>
        <v>DL 1: main</v>
      </c>
      <c r="CI32" s="38" t="str">
        <f>IFERROR(__xludf.DUMMYFUNCTION("""COMPUTED_VALUE"""),"dl")</f>
        <v>dl</v>
      </c>
      <c r="CJ32" s="144">
        <v>46153.0</v>
      </c>
      <c r="CK32" s="167" t="str">
        <f t="shared" si="27"/>
        <v>Deadlift</v>
      </c>
      <c r="CL32" s="168">
        <v>1.0</v>
      </c>
      <c r="CM32" s="169">
        <v>1.0</v>
      </c>
      <c r="CN32" s="173" t="s">
        <v>313</v>
      </c>
      <c r="CO32" s="171" t="str">
        <f t="array" ref="CO32">IFERROR(IF(CI32="ac"+ISNUMBER(SEARCH("'",CN32))+CM32="","", IF(ISNUMBER(SEARCH("lw",CN32)), CA32 + SUBSTITUTE(CN32,"lw+",""), MROUND(SWITCH(CI32,"sq",CM$7,"bn",CN$7,"dl",CO$7,"")*IF(CN32&gt;10, CN32/100, VLOOKUP(CN32, _rpe,SUBSTITUTE(CM32,"+","")+1,0)), IF( SWITCH(CI32,"sq",CM$7,"bn",CN$7,"dl", CO$7,"")&lt; IF(_uom="lbs", 175, 80), 1.25, IF(_uom="lbs",5,2.5))))), "")</f>
        <v/>
      </c>
      <c r="CP32" s="148"/>
      <c r="CQ32" s="33"/>
      <c r="CR32" s="171"/>
      <c r="CS32" s="124" t="str">
        <f>IFERROR(__xludf.DUMMYFUNCTION("IF(CO32=MAX(FILTER(CO$10:CO$199,LOOKUP(ROW(CI$10:CI$199),FILTER(ROW(CI$10:CI$199),CI$10:CI$199&lt;&gt;CI$9:CI$198))=LOOKUP(ROW(CI32),FILTER(ROW(CI$10:CI$199),CI$10:CI$199&lt;&gt;CI$9:CI$198)))),CP32,)"),"")</f>
        <v/>
      </c>
      <c r="CT32" s="122"/>
      <c r="CU32" s="38"/>
      <c r="CV32" s="143" t="str">
        <f t="shared" si="22"/>
        <v>DL 1: main</v>
      </c>
      <c r="CW32" s="38" t="str">
        <f>IFERROR(__xludf.DUMMYFUNCTION("""COMPUTED_VALUE"""),"dl")</f>
        <v>dl</v>
      </c>
      <c r="CX32" s="144">
        <v>46160.0</v>
      </c>
      <c r="CY32" s="167" t="str">
        <f t="shared" si="28"/>
        <v>Deadlift</v>
      </c>
      <c r="CZ32" s="168">
        <v>1.0</v>
      </c>
      <c r="DA32" s="169">
        <v>1.0</v>
      </c>
      <c r="DB32" s="173" t="s">
        <v>308</v>
      </c>
      <c r="DC32" s="171" t="str">
        <f t="array" ref="DC32">IFERROR(IF(CW32="ac"+ISNUMBER(SEARCH("'",DB32))+DA32="","", IF(ISNUMBER(SEARCH("lw",DB32)), CO32 + SUBSTITUTE(DB32,"lw+",""), MROUND(SWITCH(CW32,"sq",DA$7,"bn",DB$7,"dl",DC$7,"")*IF(DB32&gt;10, DB32/100, VLOOKUP(DB32, _rpe,SUBSTITUTE(DA32,"+","")+1,0)), IF( SWITCH(CW32,"sq",DA$7,"bn",DB$7,"dl", DC$7,"")&lt; IF(_uom="lbs", 175, 80), 1.25, IF(_uom="lbs",5,2.5))))), "")</f>
        <v/>
      </c>
      <c r="DD32" s="148"/>
      <c r="DE32" s="33"/>
      <c r="DF32" s="171"/>
      <c r="DG32" s="124" t="str">
        <f>IFERROR(__xludf.DUMMYFUNCTION("IF(DC32=MAX(FILTER(DC$10:DC$199,LOOKUP(ROW(CW$10:CW$199),FILTER(ROW(CW$10:CW$199),CW$10:CW$199&lt;&gt;CW$9:CW$198))=LOOKUP(ROW(CW32),FILTER(ROW(CW$10:CW$199),CW$10:CW$199&lt;&gt;CW$9:CW$198)))),DD32,)"),"")</f>
        <v/>
      </c>
      <c r="DH32" s="122"/>
      <c r="DI32" s="38"/>
      <c r="DJ32" s="143" t="str">
        <f t="shared" si="23"/>
        <v>DL 1: main</v>
      </c>
      <c r="DK32" s="38" t="str">
        <f>IFERROR(__xludf.DUMMYFUNCTION("""COMPUTED_VALUE"""),"bn")</f>
        <v>bn</v>
      </c>
      <c r="DL32" s="144">
        <v>46167.0</v>
      </c>
      <c r="DM32" s="167" t="s">
        <v>77</v>
      </c>
      <c r="DN32" s="168">
        <v>1.0</v>
      </c>
      <c r="DO32" s="169">
        <v>1.0</v>
      </c>
      <c r="DP32" s="172">
        <v>86.0</v>
      </c>
      <c r="DQ32" s="171">
        <f t="array" ref="DQ32">IFERROR(IF(DK32="ac"+ISNUMBER(SEARCH("'",DP32))+DO32="","", IF(ISNUMBER(SEARCH("lw",DP32)), DC32 + SUBSTITUTE(DP32,"lw+",""), MROUND(SWITCH(DK32,"sq",DO$7,"bn",DP$7,"dl",DQ$7,"")*IF(DP32&gt;10, DP32/100, VLOOKUP(DP32, _rpe,SUBSTITUTE(DO32,"+","")+1,0)), IF( SWITCH(DK32,"sq",DO$7,"bn",DP$7,"dl", DQ$7,"")&lt; IF(_uom="lbs", 175, 80), 1.25, IF(_uom="lbs",5,2.5))))), "")</f>
        <v>103.75</v>
      </c>
      <c r="DR32" s="148"/>
      <c r="DS32" s="33"/>
      <c r="DT32" s="171"/>
      <c r="DU32" s="124" t="str">
        <f>IFERROR(__xludf.DUMMYFUNCTION("IF(DQ32=MAX(FILTER(DQ$10:DQ$199,LOOKUP(ROW(DK$10:DK$199),FILTER(ROW(DK$10:DK$199),DK$10:DK$199&lt;&gt;DK$9:DK$198))=LOOKUP(ROW(DK32),FILTER(ROW(DK$10:DK$199),DK$10:DK$199&lt;&gt;DK$9:DK$198)))),DR32,)"),"")</f>
        <v/>
      </c>
      <c r="DV32" s="122"/>
      <c r="DW32" s="38"/>
      <c r="DX32" s="143"/>
      <c r="DY32" s="38"/>
      <c r="DZ32" s="144"/>
      <c r="EA32" s="150"/>
      <c r="EB32" s="174"/>
      <c r="EC32" s="175"/>
      <c r="ED32" s="176"/>
      <c r="EE32" s="155"/>
      <c r="EF32" s="148"/>
      <c r="EG32" s="33"/>
      <c r="EH32" s="155"/>
      <c r="EI32" s="148"/>
      <c r="EJ32" s="33"/>
      <c r="EK32" s="38"/>
      <c r="EL32" s="143"/>
      <c r="EM32" s="38"/>
      <c r="EN32" s="144"/>
      <c r="EO32" s="150"/>
      <c r="EP32" s="174"/>
      <c r="EQ32" s="175"/>
      <c r="ER32" s="176"/>
      <c r="ES32" s="155"/>
      <c r="ET32" s="148"/>
      <c r="EU32" s="33"/>
      <c r="EV32" s="155"/>
      <c r="EW32" s="148"/>
      <c r="EX32" s="33"/>
      <c r="EY32" s="38"/>
      <c r="EZ32" s="143"/>
      <c r="FA32" s="38"/>
      <c r="FB32" s="144"/>
      <c r="FC32" s="150"/>
      <c r="FD32" s="174"/>
      <c r="FE32" s="175"/>
      <c r="FF32" s="176"/>
      <c r="FG32" s="155"/>
      <c r="FH32" s="148"/>
      <c r="FI32" s="33"/>
      <c r="FJ32" s="155"/>
      <c r="FK32" s="148"/>
      <c r="FL32" s="33"/>
      <c r="FM32" s="38"/>
      <c r="FN32" s="143"/>
      <c r="FO32" s="38"/>
      <c r="FP32" s="144"/>
      <c r="FQ32" s="150"/>
      <c r="FR32" s="174"/>
      <c r="FS32" s="175"/>
      <c r="FT32" s="176"/>
      <c r="FU32" s="155"/>
      <c r="FV32" s="148"/>
      <c r="FW32" s="33"/>
      <c r="FX32" s="155"/>
      <c r="FY32" s="148"/>
      <c r="FZ32" s="33"/>
      <c r="GA32" s="38"/>
      <c r="GB32" s="143"/>
      <c r="GC32" s="38"/>
      <c r="GD32" s="144"/>
      <c r="GE32" s="150"/>
      <c r="GF32" s="174"/>
      <c r="GG32" s="175"/>
      <c r="GH32" s="176"/>
      <c r="GI32" s="155"/>
      <c r="GJ32" s="148"/>
      <c r="GK32" s="33"/>
      <c r="GL32" s="155"/>
      <c r="GM32" s="148"/>
      <c r="GN32" s="33"/>
      <c r="GO32" s="38"/>
      <c r="GP32" s="143"/>
      <c r="GQ32" s="38"/>
      <c r="GR32" s="144"/>
      <c r="GS32" s="150"/>
      <c r="GT32" s="174"/>
      <c r="GU32" s="175"/>
      <c r="GV32" s="176"/>
      <c r="GW32" s="155"/>
      <c r="GX32" s="148"/>
      <c r="GY32" s="33"/>
      <c r="GZ32" s="155"/>
      <c r="HA32" s="148"/>
      <c r="HB32" s="33"/>
      <c r="HC32" s="38"/>
      <c r="HD32" s="143"/>
      <c r="HE32" s="38"/>
      <c r="HF32" s="144"/>
      <c r="HG32" s="150"/>
      <c r="HH32" s="174"/>
      <c r="HI32" s="175"/>
      <c r="HJ32" s="176"/>
      <c r="HK32" s="155"/>
      <c r="HL32" s="148"/>
      <c r="HM32" s="33"/>
      <c r="HN32" s="155"/>
      <c r="HO32" s="148"/>
      <c r="HP32" s="33"/>
      <c r="HQ32" s="38"/>
      <c r="HR32" s="143"/>
      <c r="HS32" s="38"/>
      <c r="HT32" s="144"/>
      <c r="HU32" s="150"/>
      <c r="HV32" s="174"/>
      <c r="HW32" s="175"/>
      <c r="HX32" s="176"/>
      <c r="HY32" s="155"/>
      <c r="HZ32" s="148"/>
      <c r="IA32" s="33"/>
      <c r="IB32" s="155"/>
      <c r="IC32" s="148"/>
      <c r="ID32" s="33"/>
      <c r="IE32" s="38"/>
      <c r="IF32" s="143"/>
      <c r="IG32" s="38"/>
      <c r="IH32" s="144"/>
      <c r="II32" s="150"/>
      <c r="IJ32" s="174"/>
      <c r="IK32" s="175"/>
      <c r="IL32" s="176"/>
      <c r="IM32" s="155"/>
      <c r="IN32" s="148"/>
      <c r="IO32" s="33"/>
      <c r="IP32" s="155"/>
      <c r="IQ32" s="148"/>
      <c r="IR32" s="33"/>
      <c r="IS32" s="38"/>
      <c r="IT32" s="143"/>
      <c r="IU32" s="38"/>
      <c r="IV32" s="144"/>
      <c r="IW32" s="143" t="str">
        <f t="shared" si="24"/>
        <v>#REF!</v>
      </c>
      <c r="IX32" s="38"/>
      <c r="IY32" s="144" t="e">
        <v>#REF!</v>
      </c>
    </row>
    <row r="33" outlineLevel="1">
      <c r="A33" s="33"/>
      <c r="B33" s="143"/>
      <c r="C33" s="38" t="str">
        <f>IFERROR(__xludf.DUMMYFUNCTION("""COMPUTED_VALUE"""),"dl")</f>
        <v>dl</v>
      </c>
      <c r="D33" s="144">
        <v>46111.0</v>
      </c>
      <c r="E33" s="167" t="s">
        <v>309</v>
      </c>
      <c r="F33" s="168"/>
      <c r="G33" s="169"/>
      <c r="H33" s="171"/>
      <c r="I33" s="171" t="str">
        <f t="array" ref="I33">IFERROR(IF(C33="ac"+ISNUMBER(SEARCH("'",H33))+G33="","", MROUND(SWITCH(C33,"sq",'Personal Info'!$O$15,"bn",'Personal Info'!$S$15,"dl",'Personal Info'!$W$15,"")*IF(H33&gt;10, H33/100, VLOOKUP(H33, _rpe,SUBSTITUTE(G33,"+","")+1,0)), IF( SWITCH(C33:C210,"sq",'Personal Info'!$O$15,"bn",'Personal Info'!$S$15,"dl", 'Personal Info'!$W$15,"")&lt; IF(_uom="lbs", 175, 80), 1.25, IF(_uom="lbs",5,2.5)))),"")</f>
        <v/>
      </c>
      <c r="J33" s="148"/>
      <c r="K33" s="33"/>
      <c r="L33" s="171"/>
      <c r="M33" s="124" t="str">
        <f>IFERROR(__xludf.DUMMYFUNCTION("IF(I33=MAX(FILTER(I$10:I$199,LOOKUP(ROW(C$10:C$199),FILTER(ROW(C$10:C$199),C$10:C$199&lt;&gt;C$9:C$198))=LOOKUP(ROW(C33),FILTER(ROW(C$10:C$199),C$10:C$199&lt;&gt;C$9:C$198)))),J33,)"),"")</f>
        <v/>
      </c>
      <c r="N33" s="122"/>
      <c r="O33" s="38"/>
      <c r="P33" s="143" t="str">
        <f t="shared" si="12"/>
        <v/>
      </c>
      <c r="Q33" s="38" t="str">
        <f>IFERROR(__xludf.DUMMYFUNCTION("""COMPUTED_VALUE"""),"dl")</f>
        <v>dl</v>
      </c>
      <c r="R33" s="144">
        <v>46118.0</v>
      </c>
      <c r="S33" s="167" t="str">
        <f t="shared" si="13"/>
        <v>-</v>
      </c>
      <c r="T33" s="168" t="str">
        <f t="shared" ref="T33:T35" si="128">IF(ISBLANK(F33),"",F33)</f>
        <v/>
      </c>
      <c r="U33" s="169" t="str">
        <f t="shared" si="114"/>
        <v/>
      </c>
      <c r="V33" s="172" t="str">
        <f t="shared" ref="V33:V35" si="129">IF(ISBLANK(H33),"",H33)</f>
        <v/>
      </c>
      <c r="W33" s="171" t="str">
        <f t="array" ref="W33">IFERROR(IF(Q33="ac"+ISNUMBER(SEARCH("'",V33))+U33="","", IF(ISNUMBER(SEARCH("lw",V33)), I33 + SUBSTITUTE(V33,"lw+",""), MROUND(SWITCH(Q33,"sq",U$7,"bn",V$7,"dl",W$7,"")*IF(V33&gt;10, V33/100, VLOOKUP(V33, _rpe,SUBSTITUTE(U33,"+","")+1,0)), IF( SWITCH(Q33,"sq",U$7,"bn",V$7,"dl", W$7,"")&lt; IF(_uom="lbs", 175, 80), 1.25, IF(_uom="lbs",5,2.5))))), "")</f>
        <v/>
      </c>
      <c r="X33" s="148"/>
      <c r="Y33" s="33"/>
      <c r="Z33" s="171"/>
      <c r="AA33" s="124" t="str">
        <f>IFERROR(__xludf.DUMMYFUNCTION("IF(W33=MAX(FILTER(W$10:W$199,LOOKUP(ROW(Q$10:Q$199),FILTER(ROW(Q$10:Q$199),Q$10:Q$199&lt;&gt;Q$9:Q$198))=LOOKUP(ROW(Q33),FILTER(ROW(Q$10:Q$199),Q$10:Q$199&lt;&gt;Q$9:Q$198)))),X33,)"),"")</f>
        <v/>
      </c>
      <c r="AB33" s="122"/>
      <c r="AC33" s="38"/>
      <c r="AD33" s="143" t="str">
        <f t="shared" si="14"/>
        <v/>
      </c>
      <c r="AE33" s="38" t="str">
        <f>IFERROR(__xludf.DUMMYFUNCTION("""COMPUTED_VALUE"""),"dl")</f>
        <v>dl</v>
      </c>
      <c r="AF33" s="144">
        <v>46125.0</v>
      </c>
      <c r="AG33" s="167" t="str">
        <f t="shared" si="54"/>
        <v>-</v>
      </c>
      <c r="AH33" s="168" t="str">
        <f t="shared" ref="AH33:AH35" si="130">IF(ISBLANK(T33),"",T33)</f>
        <v/>
      </c>
      <c r="AI33" s="169" t="str">
        <f t="shared" ref="AI33:AI39" si="131">IF( OR(ISBLANK(U33),U33=""),"", U33)</f>
        <v/>
      </c>
      <c r="AJ33" s="172" t="str">
        <f t="shared" ref="AJ33:AJ35" si="132">IF(ISBLANK(V33),"",V33)</f>
        <v/>
      </c>
      <c r="AK33" s="171" t="str">
        <f t="array" ref="AK33">IFERROR(IF(AE33="ac"+ISNUMBER(SEARCH("'",AJ33))+AI33="","", IF(ISNUMBER(SEARCH("lw",AJ33)), W33 + SUBSTITUTE(AJ33,"lw+",""), MROUND(SWITCH(AE33,"sq",AI$7,"bn",AJ$7,"dl",AK$7,"")*IF(AJ33&gt;10, AJ33/100, VLOOKUP(AJ33, _rpe,SUBSTITUTE(AI33,"+","")+1,0)), IF( SWITCH(AE33,"sq",AI$7,"bn",AJ$7,"dl", AK$7,"")&lt; IF(_uom="lbs", 175, 80), 1.25, IF(_uom="lbs",5,2.5))))), "")</f>
        <v/>
      </c>
      <c r="AL33" s="148"/>
      <c r="AM33" s="33"/>
      <c r="AN33" s="171"/>
      <c r="AO33" s="124" t="str">
        <f>IFERROR(__xludf.DUMMYFUNCTION("IF(AK33=MAX(FILTER(AK$10:AK$199,LOOKUP(ROW(AE$10:AE$199),FILTER(ROW(AE$10:AE$199),AE$10:AE$199&lt;&gt;AE$9:AE$198))=LOOKUP(ROW(AE33),FILTER(ROW(AE$10:AE$199),AE$10:AE$199&lt;&gt;AE$9:AE$198)))),AL33,)"),"")</f>
        <v/>
      </c>
      <c r="AP33" s="122"/>
      <c r="AQ33" s="38"/>
      <c r="AR33" s="143" t="str">
        <f t="shared" si="16"/>
        <v/>
      </c>
      <c r="AS33" s="38" t="str">
        <f>IFERROR(__xludf.DUMMYFUNCTION("""COMPUTED_VALUE"""),"dl")</f>
        <v>dl</v>
      </c>
      <c r="AT33" s="144">
        <v>46132.0</v>
      </c>
      <c r="AU33" s="167" t="str">
        <f t="shared" si="26"/>
        <v>-</v>
      </c>
      <c r="AV33" s="168" t="str">
        <f t="shared" ref="AV33:AV35" si="133">IF(ISBLANK(AH33),"",AH33)</f>
        <v/>
      </c>
      <c r="AW33" s="169" t="str">
        <f t="shared" si="120"/>
        <v/>
      </c>
      <c r="AX33" s="172" t="str">
        <f t="shared" ref="AX33:AX35" si="134">IF(ISBLANK(AJ33),"",AJ33)</f>
        <v/>
      </c>
      <c r="AY33" s="171" t="str">
        <f t="array" ref="AY33">IFERROR(IF(AS33="ac"+ISNUMBER(SEARCH("'",AX33))+AW33="","", IF(ISNUMBER(SEARCH("lw",AX33)), AK33 + SUBSTITUTE(AX33,"lw+",""), MROUND(SWITCH(AS33,"sq",AW$7,"bn",AX$7,"dl",AY$7,"")*IF(AX33&gt;10, AX33/100, VLOOKUP(AX33, _rpe,SUBSTITUTE(AW33,"+","")+1,0)), IF( SWITCH(AS33,"sq",AW$7,"bn",AX$7,"dl", AY$7,"")&lt; IF(_uom="lbs", 175, 80), 1.25, IF(_uom="lbs",5,2.5))))), "")</f>
        <v/>
      </c>
      <c r="AZ33" s="148"/>
      <c r="BA33" s="33"/>
      <c r="BB33" s="171"/>
      <c r="BC33" s="124" t="str">
        <f>IFERROR(__xludf.DUMMYFUNCTION("IF(AY33=MAX(FILTER(AY$10:AY$199,LOOKUP(ROW(AS$10:AS$199),FILTER(ROW(AS$10:AS$199),AS$10:AS$199&lt;&gt;AS$9:AS$198))=LOOKUP(ROW(AS33),FILTER(ROW(AS$10:AS$199),AS$10:AS$199&lt;&gt;AS$9:AS$198)))),AZ33,)"),"")</f>
        <v/>
      </c>
      <c r="BD33" s="122"/>
      <c r="BE33" s="38"/>
      <c r="BF33" s="143" t="str">
        <f t="shared" si="17"/>
        <v/>
      </c>
      <c r="BG33" s="38" t="str">
        <f>IFERROR(__xludf.DUMMYFUNCTION("""COMPUTED_VALUE"""),"dl")</f>
        <v>dl</v>
      </c>
      <c r="BH33" s="144">
        <v>46139.0</v>
      </c>
      <c r="BI33" s="167" t="str">
        <f t="shared" si="18"/>
        <v>-</v>
      </c>
      <c r="BJ33" s="168" t="str">
        <f t="shared" ref="BJ33:BJ35" si="135">IF(ISBLANK(AV33),"",AV33)</f>
        <v/>
      </c>
      <c r="BK33" s="169" t="str">
        <f t="shared" ref="BK33:BK35" si="136">IF( OR(ISBLANK(AW33),AW33=""),"", AW33)</f>
        <v/>
      </c>
      <c r="BL33" s="172" t="str">
        <f t="shared" ref="BL33:BL35" si="137">IF(ISBLANK(AX33),"",AX33)</f>
        <v/>
      </c>
      <c r="BM33" s="171" t="str">
        <f t="array" ref="BM33">IFERROR(IF(BG33="ac"+ISNUMBER(SEARCH("'",BL33))+BK33="","", IF(ISNUMBER(SEARCH("lw",BL33)), AY33 + SUBSTITUTE(BL33,"lw+",""), MROUND(SWITCH(BG33,"sq",BK$7,"bn",BL$7,"dl",BM$7,"")*IF(BL33&gt;10, BL33/100, VLOOKUP(BL33, _rpe,SUBSTITUTE(BK33,"+","")+1,0)), IF( SWITCH(BG33,"sq",BK$7,"bn",BL$7,"dl", BM$7,"")&lt; IF(_uom="lbs", 175, 80), 1.25, IF(_uom="lbs",5,2.5))))), "")</f>
        <v/>
      </c>
      <c r="BN33" s="148"/>
      <c r="BO33" s="33"/>
      <c r="BP33" s="171"/>
      <c r="BQ33" s="124" t="str">
        <f>IFERROR(__xludf.DUMMYFUNCTION("IF(BM33=MAX(FILTER(BM$10:BM$199,LOOKUP(ROW(BG$10:BG$199),FILTER(ROW(BG$10:BG$199),BG$10:BG$199&lt;&gt;BG$9:BG$198))=LOOKUP(ROW(BG33),FILTER(ROW(BG$10:BG$199),BG$10:BG$199&lt;&gt;BG$9:BG$198)))),BN33,)"),"")</f>
        <v/>
      </c>
      <c r="BR33" s="122"/>
      <c r="BS33" s="38"/>
      <c r="BT33" s="143" t="str">
        <f t="shared" si="19"/>
        <v/>
      </c>
      <c r="BU33" s="38" t="str">
        <f>IFERROR(__xludf.DUMMYFUNCTION("""COMPUTED_VALUE"""),"dl")</f>
        <v>dl</v>
      </c>
      <c r="BV33" s="144">
        <v>46146.0</v>
      </c>
      <c r="BW33" s="167" t="str">
        <f t="shared" si="20"/>
        <v>-</v>
      </c>
      <c r="BX33" s="168">
        <v>4.0</v>
      </c>
      <c r="BY33" s="169">
        <v>3.0</v>
      </c>
      <c r="BZ33" s="172">
        <v>82.0</v>
      </c>
      <c r="CA33" s="171">
        <f t="array" ref="CA33">IFERROR(IF(BU33="ac"+ISNUMBER(SEARCH("'",BZ33))+BY33="","", IF(ISNUMBER(SEARCH("lw",BZ33)), BM33 + SUBSTITUTE(BZ33,"lw+",""), MROUND(SWITCH(BU33,"sq",BY$7,"bn",BZ$7,"dl",CA$7,"")*IF(BZ33&gt;10, BZ33/100, VLOOKUP(BZ33, _rpe,SUBSTITUTE(BY33,"+","")+1,0)), IF( SWITCH(BU33,"sq",BY$7,"bn",BZ$7,"dl", CA$7,"")&lt; IF(_uom="lbs", 175, 80), 1.25, IF(_uom="lbs",5,2.5))))), "")</f>
        <v>185</v>
      </c>
      <c r="CB33" s="148"/>
      <c r="CC33" s="33"/>
      <c r="CD33" s="171"/>
      <c r="CE33" s="124" t="str">
        <f>IFERROR(__xludf.DUMMYFUNCTION("IF(CA33=MAX(FILTER(CA$10:CA$199,LOOKUP(ROW(BU$10:BU$199),FILTER(ROW(BU$10:BU$199),BU$10:BU$199&lt;&gt;BU$9:BU$198))=LOOKUP(ROW(BU33),FILTER(ROW(BU$10:BU$199),BU$10:BU$199&lt;&gt;BU$9:BU$198)))),CB33,)"),"")</f>
        <v/>
      </c>
      <c r="CF33" s="122"/>
      <c r="CG33" s="38"/>
      <c r="CH33" s="143" t="str">
        <f t="shared" si="21"/>
        <v/>
      </c>
      <c r="CI33" s="38" t="str">
        <f>IFERROR(__xludf.DUMMYFUNCTION("""COMPUTED_VALUE"""),"dl")</f>
        <v>dl</v>
      </c>
      <c r="CJ33" s="144">
        <v>46153.0</v>
      </c>
      <c r="CK33" s="167" t="str">
        <f t="shared" si="27"/>
        <v>-</v>
      </c>
      <c r="CL33" s="168">
        <v>5.0</v>
      </c>
      <c r="CM33" s="169">
        <v>2.0</v>
      </c>
      <c r="CN33" s="172">
        <v>84.0</v>
      </c>
      <c r="CO33" s="171">
        <f t="array" ref="CO33">IFERROR(IF(CI33="ac"+ISNUMBER(SEARCH("'",CN33))+CM33="","", IF(ISNUMBER(SEARCH("lw",CN33)), CA33 + SUBSTITUTE(CN33,"lw+",""), MROUND(SWITCH(CI33,"sq",CM$7,"bn",CN$7,"dl",CO$7,"")*IF(CN33&gt;10, CN33/100, VLOOKUP(CN33, _rpe,SUBSTITUTE(CM33,"+","")+1,0)), IF( SWITCH(CI33,"sq",CM$7,"bn",CN$7,"dl", CO$7,"")&lt; IF(_uom="lbs", 175, 80), 1.25, IF(_uom="lbs",5,2.5))))), "")</f>
        <v>190</v>
      </c>
      <c r="CP33" s="148"/>
      <c r="CQ33" s="33"/>
      <c r="CR33" s="171"/>
      <c r="CS33" s="124" t="str">
        <f>IFERROR(__xludf.DUMMYFUNCTION("IF(CO33=MAX(FILTER(CO$10:CO$199,LOOKUP(ROW(CI$10:CI$199),FILTER(ROW(CI$10:CI$199),CI$10:CI$199&lt;&gt;CI$9:CI$198))=LOOKUP(ROW(CI33),FILTER(ROW(CI$10:CI$199),CI$10:CI$199&lt;&gt;CI$9:CI$198)))),CP33,)"),"")</f>
        <v/>
      </c>
      <c r="CT33" s="122"/>
      <c r="CU33" s="38"/>
      <c r="CV33" s="143" t="str">
        <f t="shared" si="22"/>
        <v/>
      </c>
      <c r="CW33" s="38" t="str">
        <f>IFERROR(__xludf.DUMMYFUNCTION("""COMPUTED_VALUE"""),"dl")</f>
        <v>dl</v>
      </c>
      <c r="CX33" s="144">
        <v>46160.0</v>
      </c>
      <c r="CY33" s="167" t="str">
        <f t="shared" si="28"/>
        <v>-</v>
      </c>
      <c r="CZ33" s="168">
        <v>4.0</v>
      </c>
      <c r="DA33" s="169">
        <v>2.0</v>
      </c>
      <c r="DB33" s="172">
        <v>86.0</v>
      </c>
      <c r="DC33" s="171">
        <f t="array" ref="DC33">IFERROR(IF(CW33="ac"+ISNUMBER(SEARCH("'",DB33))+DA33="","", IF(ISNUMBER(SEARCH("lw",DB33)), CO33 + SUBSTITUTE(DB33,"lw+",""), MROUND(SWITCH(CW33,"sq",DA$7,"bn",DB$7,"dl",DC$7,"")*IF(DB33&gt;10, DB33/100, VLOOKUP(DB33, _rpe,SUBSTITUTE(DA33,"+","")+1,0)), IF( SWITCH(CW33,"sq",DA$7,"bn",DB$7,"dl", DC$7,"")&lt; IF(_uom="lbs", 175, 80), 1.25, IF(_uom="lbs",5,2.5))))), "")</f>
        <v>195</v>
      </c>
      <c r="DD33" s="148"/>
      <c r="DE33" s="33"/>
      <c r="DF33" s="171"/>
      <c r="DG33" s="124" t="str">
        <f>IFERROR(__xludf.DUMMYFUNCTION("IF(DC33=MAX(FILTER(DC$10:DC$199,LOOKUP(ROW(CW$10:CW$199),FILTER(ROW(CW$10:CW$199),CW$10:CW$199&lt;&gt;CW$9:CW$198))=LOOKUP(ROW(CW33),FILTER(ROW(CW$10:CW$199),CW$10:CW$199&lt;&gt;CW$9:CW$198)))),DD33,)"),"")</f>
        <v/>
      </c>
      <c r="DH33" s="122"/>
      <c r="DI33" s="38"/>
      <c r="DJ33" s="143" t="str">
        <f t="shared" si="23"/>
        <v/>
      </c>
      <c r="DK33" s="38" t="str">
        <f>IFERROR(__xludf.DUMMYFUNCTION("""COMPUTED_VALUE"""),"bn")</f>
        <v>bn</v>
      </c>
      <c r="DL33" s="144">
        <v>46167.0</v>
      </c>
      <c r="DM33" s="167" t="str">
        <f t="shared" ref="DM33:DM35" si="138">IF(ISBLANK(CY33),"",CY33)</f>
        <v>-</v>
      </c>
      <c r="DN33" s="168">
        <v>5.0</v>
      </c>
      <c r="DO33" s="169">
        <v>3.0</v>
      </c>
      <c r="DP33" s="172">
        <v>78.0</v>
      </c>
      <c r="DQ33" s="171">
        <f t="array" ref="DQ33">IFERROR(IF(DK33="ac"+ISNUMBER(SEARCH("'",DP33))+DO33="","", IF(ISNUMBER(SEARCH("lw",DP33)), DC33 + SUBSTITUTE(DP33,"lw+",""), MROUND(SWITCH(DK33,"sq",DO$7,"bn",DP$7,"dl",DQ$7,"")*IF(DP33&gt;10, DP33/100, VLOOKUP(DP33, _rpe,SUBSTITUTE(DO33,"+","")+1,0)), IF( SWITCH(DK33,"sq",DO$7,"bn",DP$7,"dl", DQ$7,"")&lt; IF(_uom="lbs", 175, 80), 1.25, IF(_uom="lbs",5,2.5))))), "")</f>
        <v>93.75</v>
      </c>
      <c r="DR33" s="148"/>
      <c r="DS33" s="33"/>
      <c r="DT33" s="171"/>
      <c r="DU33" s="124" t="str">
        <f>IFERROR(__xludf.DUMMYFUNCTION("IF(DQ33=MAX(FILTER(DQ$10:DQ$199,LOOKUP(ROW(DK$10:DK$199),FILTER(ROW(DK$10:DK$199),DK$10:DK$199&lt;&gt;DK$9:DK$198))=LOOKUP(ROW(DK33),FILTER(ROW(DK$10:DK$199),DK$10:DK$199&lt;&gt;DK$9:DK$198)))),DR33,)"),"")</f>
        <v/>
      </c>
      <c r="DV33" s="122"/>
      <c r="DW33" s="38"/>
      <c r="DX33" s="143"/>
      <c r="DY33" s="38"/>
      <c r="DZ33" s="144"/>
      <c r="EA33" s="150"/>
      <c r="EB33" s="174"/>
      <c r="EC33" s="175"/>
      <c r="ED33" s="176"/>
      <c r="EE33" s="155"/>
      <c r="EF33" s="148"/>
      <c r="EG33" s="33"/>
      <c r="EH33" s="155"/>
      <c r="EI33" s="148"/>
      <c r="EJ33" s="33"/>
      <c r="EK33" s="38"/>
      <c r="EL33" s="143"/>
      <c r="EM33" s="38"/>
      <c r="EN33" s="144"/>
      <c r="EO33" s="150"/>
      <c r="EP33" s="174"/>
      <c r="EQ33" s="175"/>
      <c r="ER33" s="176"/>
      <c r="ES33" s="155"/>
      <c r="ET33" s="148"/>
      <c r="EU33" s="33"/>
      <c r="EV33" s="155"/>
      <c r="EW33" s="148"/>
      <c r="EX33" s="33"/>
      <c r="EY33" s="38"/>
      <c r="EZ33" s="143"/>
      <c r="FA33" s="38"/>
      <c r="FB33" s="144"/>
      <c r="FC33" s="150"/>
      <c r="FD33" s="174"/>
      <c r="FE33" s="175"/>
      <c r="FF33" s="176"/>
      <c r="FG33" s="155"/>
      <c r="FH33" s="148"/>
      <c r="FI33" s="33"/>
      <c r="FJ33" s="155"/>
      <c r="FK33" s="148"/>
      <c r="FL33" s="33"/>
      <c r="FM33" s="38"/>
      <c r="FN33" s="143"/>
      <c r="FO33" s="38"/>
      <c r="FP33" s="144"/>
      <c r="FQ33" s="150"/>
      <c r="FR33" s="174"/>
      <c r="FS33" s="175"/>
      <c r="FT33" s="176"/>
      <c r="FU33" s="155"/>
      <c r="FV33" s="148"/>
      <c r="FW33" s="33"/>
      <c r="FX33" s="155"/>
      <c r="FY33" s="148"/>
      <c r="FZ33" s="33"/>
      <c r="GA33" s="38"/>
      <c r="GB33" s="143"/>
      <c r="GC33" s="38"/>
      <c r="GD33" s="144"/>
      <c r="GE33" s="150"/>
      <c r="GF33" s="174"/>
      <c r="GG33" s="175"/>
      <c r="GH33" s="176"/>
      <c r="GI33" s="155"/>
      <c r="GJ33" s="148"/>
      <c r="GK33" s="33"/>
      <c r="GL33" s="155"/>
      <c r="GM33" s="148"/>
      <c r="GN33" s="33"/>
      <c r="GO33" s="38"/>
      <c r="GP33" s="143"/>
      <c r="GQ33" s="38"/>
      <c r="GR33" s="144"/>
      <c r="GS33" s="150"/>
      <c r="GT33" s="174"/>
      <c r="GU33" s="175"/>
      <c r="GV33" s="176"/>
      <c r="GW33" s="155"/>
      <c r="GX33" s="148"/>
      <c r="GY33" s="33"/>
      <c r="GZ33" s="155"/>
      <c r="HA33" s="148"/>
      <c r="HB33" s="33"/>
      <c r="HC33" s="38"/>
      <c r="HD33" s="143"/>
      <c r="HE33" s="38"/>
      <c r="HF33" s="144"/>
      <c r="HG33" s="150"/>
      <c r="HH33" s="174"/>
      <c r="HI33" s="175"/>
      <c r="HJ33" s="176"/>
      <c r="HK33" s="155"/>
      <c r="HL33" s="148"/>
      <c r="HM33" s="33"/>
      <c r="HN33" s="155"/>
      <c r="HO33" s="148"/>
      <c r="HP33" s="33"/>
      <c r="HQ33" s="38"/>
      <c r="HR33" s="143"/>
      <c r="HS33" s="38"/>
      <c r="HT33" s="144"/>
      <c r="HU33" s="150"/>
      <c r="HV33" s="174"/>
      <c r="HW33" s="175"/>
      <c r="HX33" s="176"/>
      <c r="HY33" s="155"/>
      <c r="HZ33" s="148"/>
      <c r="IA33" s="33"/>
      <c r="IB33" s="155"/>
      <c r="IC33" s="148"/>
      <c r="ID33" s="33"/>
      <c r="IE33" s="38"/>
      <c r="IF33" s="143"/>
      <c r="IG33" s="38"/>
      <c r="IH33" s="144"/>
      <c r="II33" s="150"/>
      <c r="IJ33" s="174"/>
      <c r="IK33" s="175"/>
      <c r="IL33" s="176"/>
      <c r="IM33" s="155"/>
      <c r="IN33" s="148"/>
      <c r="IO33" s="33"/>
      <c r="IP33" s="155"/>
      <c r="IQ33" s="148"/>
      <c r="IR33" s="33"/>
      <c r="IS33" s="38"/>
      <c r="IT33" s="143"/>
      <c r="IU33" s="38"/>
      <c r="IV33" s="144"/>
      <c r="IW33" s="143" t="str">
        <f t="shared" si="24"/>
        <v>#REF!</v>
      </c>
      <c r="IX33" s="38"/>
      <c r="IY33" s="144" t="e">
        <v>#REF!</v>
      </c>
    </row>
    <row r="34" hidden="1" outlineLevel="1">
      <c r="A34" s="33"/>
      <c r="B34" s="143"/>
      <c r="C34" s="38" t="str">
        <f>IFERROR(__xludf.DUMMYFUNCTION("""COMPUTED_VALUE"""),"")</f>
        <v/>
      </c>
      <c r="D34" s="144">
        <v>46111.0</v>
      </c>
      <c r="E34" s="167"/>
      <c r="F34" s="168"/>
      <c r="G34" s="169"/>
      <c r="H34" s="170"/>
      <c r="I34" s="171" t="str">
        <f t="array" ref="I34">IFERROR(IF(C34="ac"+ISNUMBER(SEARCH("'",H34))+G34="","", MROUND(SWITCH(C34,"sq",'Personal Info'!$O$15,"bn",'Personal Info'!$S$15,"dl",'Personal Info'!$W$15,"")*IF(H34&gt;10, H34/100, VLOOKUP(H34, _rpe,SUBSTITUTE(G34,"+","")+1,0)), IF( SWITCH(C34:C210,"sq",'Personal Info'!$O$15,"bn",'Personal Info'!$S$15,"dl", 'Personal Info'!$W$15,"")&lt; IF(_uom="lbs", 175, 80), 1.25, IF(_uom="lbs",5,2.5)))),"")</f>
        <v/>
      </c>
      <c r="J34" s="148"/>
      <c r="K34" s="33"/>
      <c r="L34" s="171"/>
      <c r="M34" s="124" t="str">
        <f>IFERROR(__xludf.DUMMYFUNCTION("IF(I34=MAX(FILTER(I$10:I$199,LOOKUP(ROW(C$10:C$199),FILTER(ROW(C$10:C$199),C$10:C$199&lt;&gt;C$9:C$198))=LOOKUP(ROW(C34),FILTER(ROW(C$10:C$199),C$10:C$199&lt;&gt;C$9:C$198)))),J34,)"),"")</f>
        <v/>
      </c>
      <c r="N34" s="122"/>
      <c r="O34" s="38"/>
      <c r="P34" s="143" t="str">
        <f t="shared" si="12"/>
        <v/>
      </c>
      <c r="Q34" s="38" t="str">
        <f>IFERROR(__xludf.DUMMYFUNCTION("""COMPUTED_VALUE"""),"")</f>
        <v/>
      </c>
      <c r="R34" s="144">
        <v>46118.0</v>
      </c>
      <c r="S34" s="167" t="str">
        <f t="shared" si="13"/>
        <v/>
      </c>
      <c r="T34" s="168" t="str">
        <f t="shared" si="128"/>
        <v/>
      </c>
      <c r="U34" s="169" t="str">
        <f t="shared" si="114"/>
        <v/>
      </c>
      <c r="V34" s="172" t="str">
        <f t="shared" si="129"/>
        <v/>
      </c>
      <c r="W34" s="171" t="str">
        <f t="array" ref="W34">IFERROR(IF(Q34="ac"+ISNUMBER(SEARCH("'",V34))+U34="","", IF(ISNUMBER(SEARCH("lw",V34)), I34 + SUBSTITUTE(V34,"lw+",""), MROUND(SWITCH(Q34,"sq",U$7,"bn",V$7,"dl",W$7,"")*IF(V34&gt;10, V34/100, VLOOKUP(V34, _rpe,SUBSTITUTE(U34,"+","")+1,0)), IF( SWITCH(Q34,"sq",U$7,"bn",V$7,"dl", W$7,"")&lt; IF(_uom="lbs", 175, 80), 1.25, IF(_uom="lbs",5,2.5))))), "")</f>
        <v/>
      </c>
      <c r="X34" s="148"/>
      <c r="Y34" s="33"/>
      <c r="Z34" s="171"/>
      <c r="AA34" s="124" t="str">
        <f>IFERROR(__xludf.DUMMYFUNCTION("IF(W34=MAX(FILTER(W$10:W$199,LOOKUP(ROW(Q$10:Q$199),FILTER(ROW(Q$10:Q$199),Q$10:Q$199&lt;&gt;Q$9:Q$198))=LOOKUP(ROW(Q34),FILTER(ROW(Q$10:Q$199),Q$10:Q$199&lt;&gt;Q$9:Q$198)))),X34,)"),"")</f>
        <v/>
      </c>
      <c r="AB34" s="122"/>
      <c r="AC34" s="38"/>
      <c r="AD34" s="143" t="str">
        <f t="shared" si="14"/>
        <v/>
      </c>
      <c r="AE34" s="38" t="str">
        <f>IFERROR(__xludf.DUMMYFUNCTION("""COMPUTED_VALUE"""),"")</f>
        <v/>
      </c>
      <c r="AF34" s="144">
        <v>46125.0</v>
      </c>
      <c r="AG34" s="167" t="str">
        <f t="shared" si="54"/>
        <v/>
      </c>
      <c r="AH34" s="168" t="str">
        <f t="shared" si="130"/>
        <v/>
      </c>
      <c r="AI34" s="169" t="str">
        <f t="shared" si="131"/>
        <v/>
      </c>
      <c r="AJ34" s="172" t="str">
        <f t="shared" si="132"/>
        <v/>
      </c>
      <c r="AK34" s="171" t="str">
        <f t="array" ref="AK34">IFERROR(IF(AE34="ac"+ISNUMBER(SEARCH("'",AJ34))+AI34="","", IF(ISNUMBER(SEARCH("lw",AJ34)), W34 + SUBSTITUTE(AJ34,"lw+",""), MROUND(SWITCH(AE34,"sq",AI$7,"bn",AJ$7,"dl",AK$7,"")*IF(AJ34&gt;10, AJ34/100, VLOOKUP(AJ34, _rpe,SUBSTITUTE(AI34,"+","")+1,0)), IF( SWITCH(AE34,"sq",AI$7,"bn",AJ$7,"dl", AK$7,"")&lt; IF(_uom="lbs", 175, 80), 1.25, IF(_uom="lbs",5,2.5))))), "")</f>
        <v/>
      </c>
      <c r="AL34" s="148"/>
      <c r="AM34" s="33"/>
      <c r="AN34" s="171"/>
      <c r="AO34" s="124" t="str">
        <f>IFERROR(__xludf.DUMMYFUNCTION("IF(AK34=MAX(FILTER(AK$10:AK$199,LOOKUP(ROW(AE$10:AE$199),FILTER(ROW(AE$10:AE$199),AE$10:AE$199&lt;&gt;AE$9:AE$198))=LOOKUP(ROW(AE34),FILTER(ROW(AE$10:AE$199),AE$10:AE$199&lt;&gt;AE$9:AE$198)))),AL34,)"),"")</f>
        <v/>
      </c>
      <c r="AP34" s="122"/>
      <c r="AQ34" s="38"/>
      <c r="AR34" s="143" t="str">
        <f t="shared" si="16"/>
        <v/>
      </c>
      <c r="AS34" s="38" t="str">
        <f>IFERROR(__xludf.DUMMYFUNCTION("""COMPUTED_VALUE"""),"")</f>
        <v/>
      </c>
      <c r="AT34" s="144">
        <v>46132.0</v>
      </c>
      <c r="AU34" s="167" t="str">
        <f t="shared" si="26"/>
        <v/>
      </c>
      <c r="AV34" s="168" t="str">
        <f t="shared" si="133"/>
        <v/>
      </c>
      <c r="AW34" s="169" t="str">
        <f t="shared" si="120"/>
        <v/>
      </c>
      <c r="AX34" s="172" t="str">
        <f t="shared" si="134"/>
        <v/>
      </c>
      <c r="AY34" s="171" t="str">
        <f t="array" ref="AY34">IFERROR(IF(AS34="ac"+ISNUMBER(SEARCH("'",AX34))+AW34="","", IF(ISNUMBER(SEARCH("lw",AX34)), AK34 + SUBSTITUTE(AX34,"lw+",""), MROUND(SWITCH(AS34,"sq",AW$7,"bn",AX$7,"dl",AY$7,"")*IF(AX34&gt;10, AX34/100, VLOOKUP(AX34, _rpe,SUBSTITUTE(AW34,"+","")+1,0)), IF( SWITCH(AS34,"sq",AW$7,"bn",AX$7,"dl", AY$7,"")&lt; IF(_uom="lbs", 175, 80), 1.25, IF(_uom="lbs",5,2.5))))), "")</f>
        <v/>
      </c>
      <c r="AZ34" s="148"/>
      <c r="BA34" s="33"/>
      <c r="BB34" s="171"/>
      <c r="BC34" s="124" t="str">
        <f>IFERROR(__xludf.DUMMYFUNCTION("IF(AY34=MAX(FILTER(AY$10:AY$199,LOOKUP(ROW(AS$10:AS$199),FILTER(ROW(AS$10:AS$199),AS$10:AS$199&lt;&gt;AS$9:AS$198))=LOOKUP(ROW(AS34),FILTER(ROW(AS$10:AS$199),AS$10:AS$199&lt;&gt;AS$9:AS$198)))),AZ34,)"),"")</f>
        <v/>
      </c>
      <c r="BD34" s="122"/>
      <c r="BE34" s="38"/>
      <c r="BF34" s="143" t="str">
        <f t="shared" si="17"/>
        <v/>
      </c>
      <c r="BG34" s="38" t="str">
        <f>IFERROR(__xludf.DUMMYFUNCTION("""COMPUTED_VALUE"""),"")</f>
        <v/>
      </c>
      <c r="BH34" s="144">
        <v>46139.0</v>
      </c>
      <c r="BI34" s="167" t="str">
        <f t="shared" si="18"/>
        <v/>
      </c>
      <c r="BJ34" s="168" t="str">
        <f t="shared" si="135"/>
        <v/>
      </c>
      <c r="BK34" s="169" t="str">
        <f t="shared" si="136"/>
        <v/>
      </c>
      <c r="BL34" s="172" t="str">
        <f t="shared" si="137"/>
        <v/>
      </c>
      <c r="BM34" s="171" t="str">
        <f t="array" ref="BM34">IFERROR(IF(BG34="ac"+ISNUMBER(SEARCH("'",BL34))+BK34="","", IF(ISNUMBER(SEARCH("lw",BL34)), AY34 + SUBSTITUTE(BL34,"lw+",""), MROUND(SWITCH(BG34,"sq",BK$7,"bn",BL$7,"dl",BM$7,"")*IF(BL34&gt;10, BL34/100, VLOOKUP(BL34, _rpe,SUBSTITUTE(BK34,"+","")+1,0)), IF( SWITCH(BG34,"sq",BK$7,"bn",BL$7,"dl", BM$7,"")&lt; IF(_uom="lbs", 175, 80), 1.25, IF(_uom="lbs",5,2.5))))), "")</f>
        <v/>
      </c>
      <c r="BN34" s="148"/>
      <c r="BO34" s="33"/>
      <c r="BP34" s="171"/>
      <c r="BQ34" s="124" t="str">
        <f>IFERROR(__xludf.DUMMYFUNCTION("IF(BM34=MAX(FILTER(BM$10:BM$199,LOOKUP(ROW(BG$10:BG$199),FILTER(ROW(BG$10:BG$199),BG$10:BG$199&lt;&gt;BG$9:BG$198))=LOOKUP(ROW(BG34),FILTER(ROW(BG$10:BG$199),BG$10:BG$199&lt;&gt;BG$9:BG$198)))),BN34,)"),"")</f>
        <v/>
      </c>
      <c r="BR34" s="122"/>
      <c r="BS34" s="38"/>
      <c r="BT34" s="143" t="str">
        <f t="shared" si="19"/>
        <v/>
      </c>
      <c r="BU34" s="38" t="str">
        <f>IFERROR(__xludf.DUMMYFUNCTION("""COMPUTED_VALUE"""),"")</f>
        <v/>
      </c>
      <c r="BV34" s="144">
        <v>46146.0</v>
      </c>
      <c r="BW34" s="167" t="str">
        <f t="shared" si="20"/>
        <v/>
      </c>
      <c r="BX34" s="168" t="str">
        <f t="shared" ref="BX34:BX35" si="139">IF(ISBLANK(BJ34),"",BJ34)</f>
        <v/>
      </c>
      <c r="BY34" s="169" t="str">
        <f t="shared" ref="BY34:BY35" si="140">IF( OR(ISBLANK(BK34),BK34=""),"", BK34)</f>
        <v/>
      </c>
      <c r="BZ34" s="172" t="str">
        <f t="shared" ref="BZ34:BZ35" si="141">IF(ISBLANK(BL34),"",BL34)</f>
        <v/>
      </c>
      <c r="CA34" s="171" t="str">
        <f t="array" ref="CA34">IFERROR(IF(BU34="ac"+ISNUMBER(SEARCH("'",BZ34))+BY34="","", IF(ISNUMBER(SEARCH("lw",BZ34)), BM34 + SUBSTITUTE(BZ34,"lw+",""), MROUND(SWITCH(BU34,"sq",BY$7,"bn",BZ$7,"dl",CA$7,"")*IF(BZ34&gt;10, BZ34/100, VLOOKUP(BZ34, _rpe,SUBSTITUTE(BY34,"+","")+1,0)), IF( SWITCH(BU34,"sq",BY$7,"bn",BZ$7,"dl", CA$7,"")&lt; IF(_uom="lbs", 175, 80), 1.25, IF(_uom="lbs",5,2.5))))), "")</f>
        <v/>
      </c>
      <c r="CB34" s="148"/>
      <c r="CC34" s="33"/>
      <c r="CD34" s="171"/>
      <c r="CE34" s="124" t="str">
        <f>IFERROR(__xludf.DUMMYFUNCTION("IF(CA34=MAX(FILTER(CA$10:CA$199,LOOKUP(ROW(BU$10:BU$199),FILTER(ROW(BU$10:BU$199),BU$10:BU$199&lt;&gt;BU$9:BU$198))=LOOKUP(ROW(BU34),FILTER(ROW(BU$10:BU$199),BU$10:BU$199&lt;&gt;BU$9:BU$198)))),CB34,)"),"")</f>
        <v/>
      </c>
      <c r="CF34" s="122"/>
      <c r="CG34" s="38"/>
      <c r="CH34" s="143" t="str">
        <f t="shared" si="21"/>
        <v/>
      </c>
      <c r="CI34" s="38" t="str">
        <f>IFERROR(__xludf.DUMMYFUNCTION("""COMPUTED_VALUE"""),"")</f>
        <v/>
      </c>
      <c r="CJ34" s="144">
        <v>46153.0</v>
      </c>
      <c r="CK34" s="167" t="str">
        <f t="shared" si="27"/>
        <v/>
      </c>
      <c r="CL34" s="168" t="str">
        <f t="shared" ref="CL34:CL35" si="142">IF(ISBLANK(BX34),"",BX34)</f>
        <v/>
      </c>
      <c r="CM34" s="169" t="str">
        <f t="shared" ref="CM34:CM35" si="143">IF( OR(ISBLANK(BY34),BY34=""),"", BY34)</f>
        <v/>
      </c>
      <c r="CN34" s="172" t="str">
        <f t="shared" ref="CN34:CN35" si="144">IF(ISBLANK(BZ34),"",BZ34)</f>
        <v/>
      </c>
      <c r="CO34" s="171" t="str">
        <f t="array" ref="CO34">IFERROR(IF(CI34="ac"+ISNUMBER(SEARCH("'",CN34))+CM34="","", IF(ISNUMBER(SEARCH("lw",CN34)), CA34 + SUBSTITUTE(CN34,"lw+",""), MROUND(SWITCH(CI34,"sq",CM$7,"bn",CN$7,"dl",CO$7,"")*IF(CN34&gt;10, CN34/100, VLOOKUP(CN34, _rpe,SUBSTITUTE(CM34,"+","")+1,0)), IF( SWITCH(CI34,"sq",CM$7,"bn",CN$7,"dl", CO$7,"")&lt; IF(_uom="lbs", 175, 80), 1.25, IF(_uom="lbs",5,2.5))))), "")</f>
        <v/>
      </c>
      <c r="CP34" s="148"/>
      <c r="CQ34" s="33"/>
      <c r="CR34" s="171"/>
      <c r="CS34" s="124" t="str">
        <f>IFERROR(__xludf.DUMMYFUNCTION("IF(CO34=MAX(FILTER(CO$10:CO$199,LOOKUP(ROW(CI$10:CI$199),FILTER(ROW(CI$10:CI$199),CI$10:CI$199&lt;&gt;CI$9:CI$198))=LOOKUP(ROW(CI34),FILTER(ROW(CI$10:CI$199),CI$10:CI$199&lt;&gt;CI$9:CI$198)))),CP34,)"),"")</f>
        <v/>
      </c>
      <c r="CT34" s="122"/>
      <c r="CU34" s="38"/>
      <c r="CV34" s="143" t="str">
        <f t="shared" si="22"/>
        <v/>
      </c>
      <c r="CW34" s="38" t="str">
        <f>IFERROR(__xludf.DUMMYFUNCTION("""COMPUTED_VALUE"""),"")</f>
        <v/>
      </c>
      <c r="CX34" s="144">
        <v>46160.0</v>
      </c>
      <c r="CY34" s="167" t="str">
        <f t="shared" si="28"/>
        <v/>
      </c>
      <c r="CZ34" s="168" t="str">
        <f t="shared" ref="CZ34:CZ35" si="145">IF(ISBLANK(CL34),"",CL34)</f>
        <v/>
      </c>
      <c r="DA34" s="169" t="str">
        <f t="shared" ref="DA34:DA35" si="146">IF( OR(ISBLANK(CM34),CM34=""),"", CM34)</f>
        <v/>
      </c>
      <c r="DB34" s="172" t="str">
        <f t="shared" ref="DB34:DB35" si="147">IF(ISBLANK(CN34),"",CN34)</f>
        <v/>
      </c>
      <c r="DC34" s="171" t="str">
        <f t="array" ref="DC34">IFERROR(IF(CW34="ac"+ISNUMBER(SEARCH("'",DB34))+DA34="","", IF(ISNUMBER(SEARCH("lw",DB34)), CO34 + SUBSTITUTE(DB34,"lw+",""), MROUND(SWITCH(CW34,"sq",DA$7,"bn",DB$7,"dl",DC$7,"")*IF(DB34&gt;10, DB34/100, VLOOKUP(DB34, _rpe,SUBSTITUTE(DA34,"+","")+1,0)), IF( SWITCH(CW34,"sq",DA$7,"bn",DB$7,"dl", DC$7,"")&lt; IF(_uom="lbs", 175, 80), 1.25, IF(_uom="lbs",5,2.5))))), "")</f>
        <v/>
      </c>
      <c r="DD34" s="148"/>
      <c r="DE34" s="33"/>
      <c r="DF34" s="171"/>
      <c r="DG34" s="124" t="str">
        <f>IFERROR(__xludf.DUMMYFUNCTION("IF(DC34=MAX(FILTER(DC$10:DC$199,LOOKUP(ROW(CW$10:CW$199),FILTER(ROW(CW$10:CW$199),CW$10:CW$199&lt;&gt;CW$9:CW$198))=LOOKUP(ROW(CW34),FILTER(ROW(CW$10:CW$199),CW$10:CW$199&lt;&gt;CW$9:CW$198)))),DD34,)"),"")</f>
        <v/>
      </c>
      <c r="DH34" s="122"/>
      <c r="DI34" s="38"/>
      <c r="DJ34" s="143" t="str">
        <f t="shared" si="23"/>
        <v/>
      </c>
      <c r="DK34" s="38" t="str">
        <f>IFERROR(__xludf.DUMMYFUNCTION("""COMPUTED_VALUE"""),"")</f>
        <v/>
      </c>
      <c r="DL34" s="144">
        <v>46167.0</v>
      </c>
      <c r="DM34" s="167" t="str">
        <f t="shared" si="138"/>
        <v/>
      </c>
      <c r="DN34" s="168" t="str">
        <f t="shared" ref="DN34:DN35" si="148">IF(ISBLANK(CZ34),"",CZ34)</f>
        <v/>
      </c>
      <c r="DO34" s="169" t="str">
        <f t="shared" ref="DO34:DO35" si="149">IF( OR(ISBLANK(DA34),DA34=""),"", DA34)</f>
        <v/>
      </c>
      <c r="DP34" s="172" t="str">
        <f t="shared" ref="DP34:DP35" si="150">IF(ISBLANK(DB34),"",DB34)</f>
        <v/>
      </c>
      <c r="DQ34" s="171" t="str">
        <f t="array" ref="DQ34">IFERROR(IF(DK34="ac"+ISNUMBER(SEARCH("'",DP34))+DO34="","", IF(ISNUMBER(SEARCH("lw",DP34)), DC34 + SUBSTITUTE(DP34,"lw+",""), MROUND(SWITCH(DK34,"sq",DO$7,"bn",DP$7,"dl",DQ$7,"")*IF(DP34&gt;10, DP34/100, VLOOKUP(DP34, _rpe,SUBSTITUTE(DO34,"+","")+1,0)), IF( SWITCH(DK34,"sq",DO$7,"bn",DP$7,"dl", DQ$7,"")&lt; IF(_uom="lbs", 175, 80), 1.25, IF(_uom="lbs",5,2.5))))), "")</f>
        <v/>
      </c>
      <c r="DR34" s="148"/>
      <c r="DS34" s="33"/>
      <c r="DT34" s="171"/>
      <c r="DU34" s="124" t="str">
        <f>IFERROR(__xludf.DUMMYFUNCTION("IF(DQ34=MAX(FILTER(DQ$10:DQ$199,LOOKUP(ROW(DK$10:DK$199),FILTER(ROW(DK$10:DK$199),DK$10:DK$199&lt;&gt;DK$9:DK$198))=LOOKUP(ROW(DK34),FILTER(ROW(DK$10:DK$199),DK$10:DK$199&lt;&gt;DK$9:DK$198)))),DR34,)"),"")</f>
        <v/>
      </c>
      <c r="DV34" s="122"/>
      <c r="DW34" s="38"/>
      <c r="DX34" s="143"/>
      <c r="DY34" s="38"/>
      <c r="DZ34" s="144"/>
      <c r="EA34" s="150"/>
      <c r="EB34" s="174"/>
      <c r="EC34" s="175"/>
      <c r="ED34" s="176"/>
      <c r="EE34" s="155"/>
      <c r="EF34" s="148"/>
      <c r="EG34" s="33"/>
      <c r="EH34" s="155"/>
      <c r="EI34" s="148"/>
      <c r="EJ34" s="33"/>
      <c r="EK34" s="38"/>
      <c r="EL34" s="143"/>
      <c r="EM34" s="38"/>
      <c r="EN34" s="144"/>
      <c r="EO34" s="150"/>
      <c r="EP34" s="174"/>
      <c r="EQ34" s="175"/>
      <c r="ER34" s="176"/>
      <c r="ES34" s="155"/>
      <c r="ET34" s="148"/>
      <c r="EU34" s="33"/>
      <c r="EV34" s="155"/>
      <c r="EW34" s="148"/>
      <c r="EX34" s="33"/>
      <c r="EY34" s="38"/>
      <c r="EZ34" s="143"/>
      <c r="FA34" s="38"/>
      <c r="FB34" s="144"/>
      <c r="FC34" s="150"/>
      <c r="FD34" s="174"/>
      <c r="FE34" s="175"/>
      <c r="FF34" s="176"/>
      <c r="FG34" s="155"/>
      <c r="FH34" s="148"/>
      <c r="FI34" s="33"/>
      <c r="FJ34" s="155"/>
      <c r="FK34" s="148"/>
      <c r="FL34" s="33"/>
      <c r="FM34" s="38"/>
      <c r="FN34" s="143"/>
      <c r="FO34" s="38"/>
      <c r="FP34" s="144"/>
      <c r="FQ34" s="150"/>
      <c r="FR34" s="174"/>
      <c r="FS34" s="175"/>
      <c r="FT34" s="176"/>
      <c r="FU34" s="155"/>
      <c r="FV34" s="148"/>
      <c r="FW34" s="33"/>
      <c r="FX34" s="155"/>
      <c r="FY34" s="148"/>
      <c r="FZ34" s="33"/>
      <c r="GA34" s="38"/>
      <c r="GB34" s="143"/>
      <c r="GC34" s="38"/>
      <c r="GD34" s="144"/>
      <c r="GE34" s="150"/>
      <c r="GF34" s="174"/>
      <c r="GG34" s="175"/>
      <c r="GH34" s="176"/>
      <c r="GI34" s="155"/>
      <c r="GJ34" s="148"/>
      <c r="GK34" s="33"/>
      <c r="GL34" s="155"/>
      <c r="GM34" s="148"/>
      <c r="GN34" s="33"/>
      <c r="GO34" s="38"/>
      <c r="GP34" s="143"/>
      <c r="GQ34" s="38"/>
      <c r="GR34" s="144"/>
      <c r="GS34" s="150"/>
      <c r="GT34" s="174"/>
      <c r="GU34" s="175"/>
      <c r="GV34" s="176"/>
      <c r="GW34" s="155"/>
      <c r="GX34" s="148"/>
      <c r="GY34" s="33"/>
      <c r="GZ34" s="155"/>
      <c r="HA34" s="148"/>
      <c r="HB34" s="33"/>
      <c r="HC34" s="38"/>
      <c r="HD34" s="143"/>
      <c r="HE34" s="38"/>
      <c r="HF34" s="144"/>
      <c r="HG34" s="150"/>
      <c r="HH34" s="174"/>
      <c r="HI34" s="175"/>
      <c r="HJ34" s="176"/>
      <c r="HK34" s="155"/>
      <c r="HL34" s="148"/>
      <c r="HM34" s="33"/>
      <c r="HN34" s="155"/>
      <c r="HO34" s="148"/>
      <c r="HP34" s="33"/>
      <c r="HQ34" s="38"/>
      <c r="HR34" s="143"/>
      <c r="HS34" s="38"/>
      <c r="HT34" s="144"/>
      <c r="HU34" s="150"/>
      <c r="HV34" s="174"/>
      <c r="HW34" s="175"/>
      <c r="HX34" s="176"/>
      <c r="HY34" s="155"/>
      <c r="HZ34" s="148"/>
      <c r="IA34" s="33"/>
      <c r="IB34" s="155"/>
      <c r="IC34" s="148"/>
      <c r="ID34" s="33"/>
      <c r="IE34" s="38"/>
      <c r="IF34" s="143"/>
      <c r="IG34" s="38"/>
      <c r="IH34" s="144"/>
      <c r="II34" s="150"/>
      <c r="IJ34" s="174"/>
      <c r="IK34" s="175"/>
      <c r="IL34" s="176"/>
      <c r="IM34" s="155"/>
      <c r="IN34" s="148"/>
      <c r="IO34" s="33"/>
      <c r="IP34" s="155"/>
      <c r="IQ34" s="148"/>
      <c r="IR34" s="33"/>
      <c r="IS34" s="38"/>
      <c r="IT34" s="143"/>
      <c r="IU34" s="38"/>
      <c r="IV34" s="144"/>
      <c r="IW34" s="143" t="str">
        <f t="shared" si="24"/>
        <v>#REF!</v>
      </c>
      <c r="IX34" s="38"/>
      <c r="IY34" s="144" t="e">
        <v>#REF!</v>
      </c>
    </row>
    <row r="35" hidden="1" outlineLevel="1">
      <c r="A35" s="33"/>
      <c r="B35" s="143"/>
      <c r="C35" s="38" t="str">
        <f>IFERROR(__xludf.DUMMYFUNCTION("""COMPUTED_VALUE"""),"")</f>
        <v/>
      </c>
      <c r="D35" s="144">
        <v>46111.0</v>
      </c>
      <c r="E35" s="167"/>
      <c r="F35" s="168"/>
      <c r="G35" s="169"/>
      <c r="H35" s="170"/>
      <c r="I35" s="171" t="str">
        <f t="array" ref="I35">IFERROR(IF(C35="ac"+ISNUMBER(SEARCH("'",H35))+G35="","", MROUND(SWITCH(C35,"sq",'Personal Info'!$O$15,"bn",'Personal Info'!$S$15,"dl",'Personal Info'!$W$15,"")*IF(H35&gt;10, H35/100, VLOOKUP(H35, _rpe,SUBSTITUTE(G35,"+","")+1,0)), IF( SWITCH(C35:C210,"sq",'Personal Info'!$O$15,"bn",'Personal Info'!$S$15,"dl", 'Personal Info'!$W$15,"")&lt; IF(_uom="lbs", 175, 80), 1.25, IF(_uom="lbs",5,2.5)))),"")</f>
        <v/>
      </c>
      <c r="J35" s="148"/>
      <c r="K35" s="33"/>
      <c r="L35" s="171"/>
      <c r="M35" s="124" t="str">
        <f>IFERROR(__xludf.DUMMYFUNCTION("IF(I35=MAX(FILTER(I$10:I$199,LOOKUP(ROW(C$10:C$199),FILTER(ROW(C$10:C$199),C$10:C$199&lt;&gt;C$9:C$198))=LOOKUP(ROW(C35),FILTER(ROW(C$10:C$199),C$10:C$199&lt;&gt;C$9:C$198)))),J35,)"),"")</f>
        <v/>
      </c>
      <c r="N35" s="122"/>
      <c r="O35" s="38"/>
      <c r="P35" s="143" t="str">
        <f t="shared" si="12"/>
        <v/>
      </c>
      <c r="Q35" s="38" t="str">
        <f>IFERROR(__xludf.DUMMYFUNCTION("""COMPUTED_VALUE"""),"")</f>
        <v/>
      </c>
      <c r="R35" s="144">
        <v>46118.0</v>
      </c>
      <c r="S35" s="167" t="str">
        <f t="shared" si="13"/>
        <v/>
      </c>
      <c r="T35" s="168" t="str">
        <f t="shared" si="128"/>
        <v/>
      </c>
      <c r="U35" s="169" t="str">
        <f t="shared" si="114"/>
        <v/>
      </c>
      <c r="V35" s="172" t="str">
        <f t="shared" si="129"/>
        <v/>
      </c>
      <c r="W35" s="171" t="str">
        <f t="array" ref="W35">IFERROR(IF(Q35="ac"+ISNUMBER(SEARCH("'",V35))+U35="","", IF(ISNUMBER(SEARCH("lw",V35)), I35 + SUBSTITUTE(V35,"lw+",""), MROUND(SWITCH(Q35,"sq",U$7,"bn",V$7,"dl",W$7,"")*IF(V35&gt;10, V35/100, VLOOKUP(V35, _rpe,SUBSTITUTE(U35,"+","")+1,0)), IF( SWITCH(Q35,"sq",U$7,"bn",V$7,"dl", W$7,"")&lt; IF(_uom="lbs", 175, 80), 1.25, IF(_uom="lbs",5,2.5))))), "")</f>
        <v/>
      </c>
      <c r="X35" s="148"/>
      <c r="Y35" s="33"/>
      <c r="Z35" s="171"/>
      <c r="AA35" s="124" t="str">
        <f>IFERROR(__xludf.DUMMYFUNCTION("IF(W35=MAX(FILTER(W$10:W$199,LOOKUP(ROW(Q$10:Q$199),FILTER(ROW(Q$10:Q$199),Q$10:Q$199&lt;&gt;Q$9:Q$198))=LOOKUP(ROW(Q35),FILTER(ROW(Q$10:Q$199),Q$10:Q$199&lt;&gt;Q$9:Q$198)))),X35,)"),"")</f>
        <v/>
      </c>
      <c r="AB35" s="122"/>
      <c r="AC35" s="38"/>
      <c r="AD35" s="143" t="str">
        <f t="shared" si="14"/>
        <v/>
      </c>
      <c r="AE35" s="38" t="str">
        <f>IFERROR(__xludf.DUMMYFUNCTION("""COMPUTED_VALUE"""),"")</f>
        <v/>
      </c>
      <c r="AF35" s="144">
        <v>46125.0</v>
      </c>
      <c r="AG35" s="167" t="str">
        <f t="shared" si="54"/>
        <v/>
      </c>
      <c r="AH35" s="168" t="str">
        <f t="shared" si="130"/>
        <v/>
      </c>
      <c r="AI35" s="169" t="str">
        <f t="shared" si="131"/>
        <v/>
      </c>
      <c r="AJ35" s="172" t="str">
        <f t="shared" si="132"/>
        <v/>
      </c>
      <c r="AK35" s="171" t="str">
        <f t="array" ref="AK35">IFERROR(IF(AE35="ac"+ISNUMBER(SEARCH("'",AJ35))+AI35="","", IF(ISNUMBER(SEARCH("lw",AJ35)), W35 + SUBSTITUTE(AJ35,"lw+",""), MROUND(SWITCH(AE35,"sq",AI$7,"bn",AJ$7,"dl",AK$7,"")*IF(AJ35&gt;10, AJ35/100, VLOOKUP(AJ35, _rpe,SUBSTITUTE(AI35,"+","")+1,0)), IF( SWITCH(AE35,"sq",AI$7,"bn",AJ$7,"dl", AK$7,"")&lt; IF(_uom="lbs", 175, 80), 1.25, IF(_uom="lbs",5,2.5))))), "")</f>
        <v/>
      </c>
      <c r="AL35" s="148"/>
      <c r="AM35" s="33"/>
      <c r="AN35" s="171"/>
      <c r="AO35" s="124" t="str">
        <f>IFERROR(__xludf.DUMMYFUNCTION("IF(AK35=MAX(FILTER(AK$10:AK$199,LOOKUP(ROW(AE$10:AE$199),FILTER(ROW(AE$10:AE$199),AE$10:AE$199&lt;&gt;AE$9:AE$198))=LOOKUP(ROW(AE35),FILTER(ROW(AE$10:AE$199),AE$10:AE$199&lt;&gt;AE$9:AE$198)))),AL35,)"),"")</f>
        <v/>
      </c>
      <c r="AP35" s="122"/>
      <c r="AQ35" s="38"/>
      <c r="AR35" s="143" t="str">
        <f t="shared" si="16"/>
        <v/>
      </c>
      <c r="AS35" s="38" t="str">
        <f>IFERROR(__xludf.DUMMYFUNCTION("""COMPUTED_VALUE"""),"")</f>
        <v/>
      </c>
      <c r="AT35" s="144">
        <v>46132.0</v>
      </c>
      <c r="AU35" s="167" t="str">
        <f t="shared" si="26"/>
        <v/>
      </c>
      <c r="AV35" s="168" t="str">
        <f t="shared" si="133"/>
        <v/>
      </c>
      <c r="AW35" s="169" t="str">
        <f t="shared" si="120"/>
        <v/>
      </c>
      <c r="AX35" s="172" t="str">
        <f t="shared" si="134"/>
        <v/>
      </c>
      <c r="AY35" s="171" t="str">
        <f t="array" ref="AY35">IFERROR(IF(AS35="ac"+ISNUMBER(SEARCH("'",AX35))+AW35="","", IF(ISNUMBER(SEARCH("lw",AX35)), AK35 + SUBSTITUTE(AX35,"lw+",""), MROUND(SWITCH(AS35,"sq",AW$7,"bn",AX$7,"dl",AY$7,"")*IF(AX35&gt;10, AX35/100, VLOOKUP(AX35, _rpe,SUBSTITUTE(AW35,"+","")+1,0)), IF( SWITCH(AS35,"sq",AW$7,"bn",AX$7,"dl", AY$7,"")&lt; IF(_uom="lbs", 175, 80), 1.25, IF(_uom="lbs",5,2.5))))), "")</f>
        <v/>
      </c>
      <c r="AZ35" s="148"/>
      <c r="BA35" s="33"/>
      <c r="BB35" s="171"/>
      <c r="BC35" s="124" t="str">
        <f>IFERROR(__xludf.DUMMYFUNCTION("IF(AY35=MAX(FILTER(AY$10:AY$199,LOOKUP(ROW(AS$10:AS$199),FILTER(ROW(AS$10:AS$199),AS$10:AS$199&lt;&gt;AS$9:AS$198))=LOOKUP(ROW(AS35),FILTER(ROW(AS$10:AS$199),AS$10:AS$199&lt;&gt;AS$9:AS$198)))),AZ35,)"),"")</f>
        <v/>
      </c>
      <c r="BD35" s="122"/>
      <c r="BE35" s="38"/>
      <c r="BF35" s="143" t="str">
        <f t="shared" si="17"/>
        <v/>
      </c>
      <c r="BG35" s="38" t="str">
        <f>IFERROR(__xludf.DUMMYFUNCTION("""COMPUTED_VALUE"""),"")</f>
        <v/>
      </c>
      <c r="BH35" s="144">
        <v>46139.0</v>
      </c>
      <c r="BI35" s="167" t="str">
        <f t="shared" si="18"/>
        <v/>
      </c>
      <c r="BJ35" s="168" t="str">
        <f t="shared" si="135"/>
        <v/>
      </c>
      <c r="BK35" s="169" t="str">
        <f t="shared" si="136"/>
        <v/>
      </c>
      <c r="BL35" s="172" t="str">
        <f t="shared" si="137"/>
        <v/>
      </c>
      <c r="BM35" s="171" t="str">
        <f t="array" ref="BM35">IFERROR(IF(BG35="ac"+ISNUMBER(SEARCH("'",BL35))+BK35="","", IF(ISNUMBER(SEARCH("lw",BL35)), AY35 + SUBSTITUTE(BL35,"lw+",""), MROUND(SWITCH(BG35,"sq",BK$7,"bn",BL$7,"dl",BM$7,"")*IF(BL35&gt;10, BL35/100, VLOOKUP(BL35, _rpe,SUBSTITUTE(BK35,"+","")+1,0)), IF( SWITCH(BG35,"sq",BK$7,"bn",BL$7,"dl", BM$7,"")&lt; IF(_uom="lbs", 175, 80), 1.25, IF(_uom="lbs",5,2.5))))), "")</f>
        <v/>
      </c>
      <c r="BN35" s="148"/>
      <c r="BO35" s="33"/>
      <c r="BP35" s="171"/>
      <c r="BQ35" s="124" t="str">
        <f>IFERROR(__xludf.DUMMYFUNCTION("IF(BM35=MAX(FILTER(BM$10:BM$199,LOOKUP(ROW(BG$10:BG$199),FILTER(ROW(BG$10:BG$199),BG$10:BG$199&lt;&gt;BG$9:BG$198))=LOOKUP(ROW(BG35),FILTER(ROW(BG$10:BG$199),BG$10:BG$199&lt;&gt;BG$9:BG$198)))),BN35,)"),"")</f>
        <v/>
      </c>
      <c r="BR35" s="122"/>
      <c r="BS35" s="38"/>
      <c r="BT35" s="143" t="str">
        <f t="shared" si="19"/>
        <v/>
      </c>
      <c r="BU35" s="38" t="str">
        <f>IFERROR(__xludf.DUMMYFUNCTION("""COMPUTED_VALUE"""),"")</f>
        <v/>
      </c>
      <c r="BV35" s="144">
        <v>46146.0</v>
      </c>
      <c r="BW35" s="167" t="str">
        <f t="shared" si="20"/>
        <v/>
      </c>
      <c r="BX35" s="168" t="str">
        <f t="shared" si="139"/>
        <v/>
      </c>
      <c r="BY35" s="169" t="str">
        <f t="shared" si="140"/>
        <v/>
      </c>
      <c r="BZ35" s="172" t="str">
        <f t="shared" si="141"/>
        <v/>
      </c>
      <c r="CA35" s="171" t="str">
        <f t="array" ref="CA35">IFERROR(IF(BU35="ac"+ISNUMBER(SEARCH("'",BZ35))+BY35="","", IF(ISNUMBER(SEARCH("lw",BZ35)), BM35 + SUBSTITUTE(BZ35,"lw+",""), MROUND(SWITCH(BU35,"sq",BY$7,"bn",BZ$7,"dl",CA$7,"")*IF(BZ35&gt;10, BZ35/100, VLOOKUP(BZ35, _rpe,SUBSTITUTE(BY35,"+","")+1,0)), IF( SWITCH(BU35,"sq",BY$7,"bn",BZ$7,"dl", CA$7,"")&lt; IF(_uom="lbs", 175, 80), 1.25, IF(_uom="lbs",5,2.5))))), "")</f>
        <v/>
      </c>
      <c r="CB35" s="148"/>
      <c r="CC35" s="33"/>
      <c r="CD35" s="171"/>
      <c r="CE35" s="124" t="str">
        <f>IFERROR(__xludf.DUMMYFUNCTION("IF(CA35=MAX(FILTER(CA$10:CA$199,LOOKUP(ROW(BU$10:BU$199),FILTER(ROW(BU$10:BU$199),BU$10:BU$199&lt;&gt;BU$9:BU$198))=LOOKUP(ROW(BU35),FILTER(ROW(BU$10:BU$199),BU$10:BU$199&lt;&gt;BU$9:BU$198)))),CB35,)"),"")</f>
        <v/>
      </c>
      <c r="CF35" s="122"/>
      <c r="CG35" s="38"/>
      <c r="CH35" s="143" t="str">
        <f t="shared" si="21"/>
        <v/>
      </c>
      <c r="CI35" s="38" t="str">
        <f>IFERROR(__xludf.DUMMYFUNCTION("""COMPUTED_VALUE"""),"")</f>
        <v/>
      </c>
      <c r="CJ35" s="144">
        <v>46153.0</v>
      </c>
      <c r="CK35" s="167" t="str">
        <f t="shared" si="27"/>
        <v/>
      </c>
      <c r="CL35" s="168" t="str">
        <f t="shared" si="142"/>
        <v/>
      </c>
      <c r="CM35" s="169" t="str">
        <f t="shared" si="143"/>
        <v/>
      </c>
      <c r="CN35" s="172" t="str">
        <f t="shared" si="144"/>
        <v/>
      </c>
      <c r="CO35" s="171" t="str">
        <f t="array" ref="CO35">IFERROR(IF(CI35="ac"+ISNUMBER(SEARCH("'",CN35))+CM35="","", IF(ISNUMBER(SEARCH("lw",CN35)), CA35 + SUBSTITUTE(CN35,"lw+",""), MROUND(SWITCH(CI35,"sq",CM$7,"bn",CN$7,"dl",CO$7,"")*IF(CN35&gt;10, CN35/100, VLOOKUP(CN35, _rpe,SUBSTITUTE(CM35,"+","")+1,0)), IF( SWITCH(CI35,"sq",CM$7,"bn",CN$7,"dl", CO$7,"")&lt; IF(_uom="lbs", 175, 80), 1.25, IF(_uom="lbs",5,2.5))))), "")</f>
        <v/>
      </c>
      <c r="CP35" s="148"/>
      <c r="CQ35" s="33"/>
      <c r="CR35" s="171"/>
      <c r="CS35" s="124" t="str">
        <f>IFERROR(__xludf.DUMMYFUNCTION("IF(CO35=MAX(FILTER(CO$10:CO$199,LOOKUP(ROW(CI$10:CI$199),FILTER(ROW(CI$10:CI$199),CI$10:CI$199&lt;&gt;CI$9:CI$198))=LOOKUP(ROW(CI35),FILTER(ROW(CI$10:CI$199),CI$10:CI$199&lt;&gt;CI$9:CI$198)))),CP35,)"),"")</f>
        <v/>
      </c>
      <c r="CT35" s="122"/>
      <c r="CU35" s="38"/>
      <c r="CV35" s="143" t="str">
        <f t="shared" si="22"/>
        <v/>
      </c>
      <c r="CW35" s="38" t="str">
        <f>IFERROR(__xludf.DUMMYFUNCTION("""COMPUTED_VALUE"""),"")</f>
        <v/>
      </c>
      <c r="CX35" s="144">
        <v>46160.0</v>
      </c>
      <c r="CY35" s="167" t="str">
        <f t="shared" si="28"/>
        <v/>
      </c>
      <c r="CZ35" s="168" t="str">
        <f t="shared" si="145"/>
        <v/>
      </c>
      <c r="DA35" s="169" t="str">
        <f t="shared" si="146"/>
        <v/>
      </c>
      <c r="DB35" s="172" t="str">
        <f t="shared" si="147"/>
        <v/>
      </c>
      <c r="DC35" s="171" t="str">
        <f t="array" ref="DC35">IFERROR(IF(CW35="ac"+ISNUMBER(SEARCH("'",DB35))+DA35="","", IF(ISNUMBER(SEARCH("lw",DB35)), CO35 + SUBSTITUTE(DB35,"lw+",""), MROUND(SWITCH(CW35,"sq",DA$7,"bn",DB$7,"dl",DC$7,"")*IF(DB35&gt;10, DB35/100, VLOOKUP(DB35, _rpe,SUBSTITUTE(DA35,"+","")+1,0)), IF( SWITCH(CW35,"sq",DA$7,"bn",DB$7,"dl", DC$7,"")&lt; IF(_uom="lbs", 175, 80), 1.25, IF(_uom="lbs",5,2.5))))), "")</f>
        <v/>
      </c>
      <c r="DD35" s="148"/>
      <c r="DE35" s="33"/>
      <c r="DF35" s="171"/>
      <c r="DG35" s="124" t="str">
        <f>IFERROR(__xludf.DUMMYFUNCTION("IF(DC35=MAX(FILTER(DC$10:DC$199,LOOKUP(ROW(CW$10:CW$199),FILTER(ROW(CW$10:CW$199),CW$10:CW$199&lt;&gt;CW$9:CW$198))=LOOKUP(ROW(CW35),FILTER(ROW(CW$10:CW$199),CW$10:CW$199&lt;&gt;CW$9:CW$198)))),DD35,)"),"")</f>
        <v/>
      </c>
      <c r="DH35" s="122"/>
      <c r="DI35" s="38"/>
      <c r="DJ35" s="143" t="str">
        <f t="shared" si="23"/>
        <v/>
      </c>
      <c r="DK35" s="38" t="str">
        <f>IFERROR(__xludf.DUMMYFUNCTION("""COMPUTED_VALUE"""),"")</f>
        <v/>
      </c>
      <c r="DL35" s="144">
        <v>46167.0</v>
      </c>
      <c r="DM35" s="167" t="str">
        <f t="shared" si="138"/>
        <v/>
      </c>
      <c r="DN35" s="168" t="str">
        <f t="shared" si="148"/>
        <v/>
      </c>
      <c r="DO35" s="169" t="str">
        <f t="shared" si="149"/>
        <v/>
      </c>
      <c r="DP35" s="172" t="str">
        <f t="shared" si="150"/>
        <v/>
      </c>
      <c r="DQ35" s="171" t="str">
        <f t="array" ref="DQ35">IFERROR(IF(DK35="ac"+ISNUMBER(SEARCH("'",DP35))+DO35="","", IF(ISNUMBER(SEARCH("lw",DP35)), DC35 + SUBSTITUTE(DP35,"lw+",""), MROUND(SWITCH(DK35,"sq",DO$7,"bn",DP$7,"dl",DQ$7,"")*IF(DP35&gt;10, DP35/100, VLOOKUP(DP35, _rpe,SUBSTITUTE(DO35,"+","")+1,0)), IF( SWITCH(DK35,"sq",DO$7,"bn",DP$7,"dl", DQ$7,"")&lt; IF(_uom="lbs", 175, 80), 1.25, IF(_uom="lbs",5,2.5))))), "")</f>
        <v/>
      </c>
      <c r="DR35" s="148"/>
      <c r="DS35" s="33"/>
      <c r="DT35" s="171"/>
      <c r="DU35" s="124" t="str">
        <f>IFERROR(__xludf.DUMMYFUNCTION("IF(DQ35=MAX(FILTER(DQ$10:DQ$199,LOOKUP(ROW(DK$10:DK$199),FILTER(ROW(DK$10:DK$199),DK$10:DK$199&lt;&gt;DK$9:DK$198))=LOOKUP(ROW(DK35),FILTER(ROW(DK$10:DK$199),DK$10:DK$199&lt;&gt;DK$9:DK$198)))),DR35,)"),"")</f>
        <v/>
      </c>
      <c r="DV35" s="122"/>
      <c r="DW35" s="38"/>
      <c r="DX35" s="143"/>
      <c r="DY35" s="38"/>
      <c r="DZ35" s="144"/>
      <c r="EA35" s="150"/>
      <c r="EB35" s="174"/>
      <c r="EC35" s="175"/>
      <c r="ED35" s="176"/>
      <c r="EE35" s="155"/>
      <c r="EF35" s="148"/>
      <c r="EG35" s="33"/>
      <c r="EH35" s="155"/>
      <c r="EI35" s="148"/>
      <c r="EJ35" s="33"/>
      <c r="EK35" s="38"/>
      <c r="EL35" s="143"/>
      <c r="EM35" s="38"/>
      <c r="EN35" s="144"/>
      <c r="EO35" s="150"/>
      <c r="EP35" s="174"/>
      <c r="EQ35" s="175"/>
      <c r="ER35" s="176"/>
      <c r="ES35" s="155"/>
      <c r="ET35" s="148"/>
      <c r="EU35" s="33"/>
      <c r="EV35" s="155"/>
      <c r="EW35" s="148"/>
      <c r="EX35" s="33"/>
      <c r="EY35" s="38"/>
      <c r="EZ35" s="143"/>
      <c r="FA35" s="38"/>
      <c r="FB35" s="144"/>
      <c r="FC35" s="150"/>
      <c r="FD35" s="174"/>
      <c r="FE35" s="175"/>
      <c r="FF35" s="176"/>
      <c r="FG35" s="155"/>
      <c r="FH35" s="148"/>
      <c r="FI35" s="33"/>
      <c r="FJ35" s="155"/>
      <c r="FK35" s="148"/>
      <c r="FL35" s="33"/>
      <c r="FM35" s="38"/>
      <c r="FN35" s="143"/>
      <c r="FO35" s="38"/>
      <c r="FP35" s="144"/>
      <c r="FQ35" s="150"/>
      <c r="FR35" s="174"/>
      <c r="FS35" s="175"/>
      <c r="FT35" s="176"/>
      <c r="FU35" s="155"/>
      <c r="FV35" s="148"/>
      <c r="FW35" s="33"/>
      <c r="FX35" s="155"/>
      <c r="FY35" s="148"/>
      <c r="FZ35" s="33"/>
      <c r="GA35" s="38"/>
      <c r="GB35" s="143"/>
      <c r="GC35" s="38"/>
      <c r="GD35" s="144"/>
      <c r="GE35" s="150"/>
      <c r="GF35" s="174"/>
      <c r="GG35" s="175"/>
      <c r="GH35" s="176"/>
      <c r="GI35" s="155"/>
      <c r="GJ35" s="148"/>
      <c r="GK35" s="33"/>
      <c r="GL35" s="155"/>
      <c r="GM35" s="148"/>
      <c r="GN35" s="33"/>
      <c r="GO35" s="38"/>
      <c r="GP35" s="143"/>
      <c r="GQ35" s="38"/>
      <c r="GR35" s="144"/>
      <c r="GS35" s="150"/>
      <c r="GT35" s="174"/>
      <c r="GU35" s="175"/>
      <c r="GV35" s="176"/>
      <c r="GW35" s="155"/>
      <c r="GX35" s="148"/>
      <c r="GY35" s="33"/>
      <c r="GZ35" s="155"/>
      <c r="HA35" s="148"/>
      <c r="HB35" s="33"/>
      <c r="HC35" s="38"/>
      <c r="HD35" s="143"/>
      <c r="HE35" s="38"/>
      <c r="HF35" s="144"/>
      <c r="HG35" s="150"/>
      <c r="HH35" s="174"/>
      <c r="HI35" s="175"/>
      <c r="HJ35" s="176"/>
      <c r="HK35" s="155"/>
      <c r="HL35" s="148"/>
      <c r="HM35" s="33"/>
      <c r="HN35" s="155"/>
      <c r="HO35" s="148"/>
      <c r="HP35" s="33"/>
      <c r="HQ35" s="38"/>
      <c r="HR35" s="143"/>
      <c r="HS35" s="38"/>
      <c r="HT35" s="144"/>
      <c r="HU35" s="150"/>
      <c r="HV35" s="174"/>
      <c r="HW35" s="175"/>
      <c r="HX35" s="176"/>
      <c r="HY35" s="155"/>
      <c r="HZ35" s="148"/>
      <c r="IA35" s="33"/>
      <c r="IB35" s="155"/>
      <c r="IC35" s="148"/>
      <c r="ID35" s="33"/>
      <c r="IE35" s="38"/>
      <c r="IF35" s="143"/>
      <c r="IG35" s="38"/>
      <c r="IH35" s="144"/>
      <c r="II35" s="150"/>
      <c r="IJ35" s="174"/>
      <c r="IK35" s="175"/>
      <c r="IL35" s="176"/>
      <c r="IM35" s="155"/>
      <c r="IN35" s="148"/>
      <c r="IO35" s="33"/>
      <c r="IP35" s="155"/>
      <c r="IQ35" s="148"/>
      <c r="IR35" s="33"/>
      <c r="IS35" s="38"/>
      <c r="IT35" s="143"/>
      <c r="IU35" s="38"/>
      <c r="IV35" s="144"/>
      <c r="IW35" s="143" t="str">
        <f t="shared" si="24"/>
        <v>#REF!</v>
      </c>
      <c r="IX35" s="38"/>
      <c r="IY35" s="144" t="e">
        <v>#REF!</v>
      </c>
    </row>
    <row r="36" collapsed="1">
      <c r="A36" s="33"/>
      <c r="B36" s="143" t="s">
        <v>322</v>
      </c>
      <c r="C36" s="38" t="str">
        <f>IFERROR(__xludf.DUMMYFUNCTION("""COMPUTED_VALUE"""),"bn")</f>
        <v>bn</v>
      </c>
      <c r="D36" s="144">
        <v>46111.0</v>
      </c>
      <c r="E36" s="167" t="s">
        <v>77</v>
      </c>
      <c r="F36" s="168">
        <f>IF(OR(gen="SELECT",gen="MALE"), 5,6)</f>
        <v>5</v>
      </c>
      <c r="G36" s="169">
        <v>4.0</v>
      </c>
      <c r="H36" s="172">
        <v>72.0</v>
      </c>
      <c r="I36" s="171">
        <f t="array" ref="I36">IFERROR(IF(C36="ac"+ISNUMBER(SEARCH("'",H36))+G36="","", MROUND(SWITCH(C36,"sq",'Personal Info'!$O$15,"bn",'Personal Info'!$S$15,"dl",'Personal Info'!$W$15,"")*IF(H36&gt;10, H36/100, VLOOKUP(H36, _rpe,SUBSTITUTE(G36,"+","")+1,0)), IF( SWITCH(C36:C210,"sq",'Personal Info'!$O$15,"bn",'Personal Info'!$S$15,"dl", 'Personal Info'!$W$15,"")&lt; IF(_uom="lbs", 175, 80), 1.25, IF(_uom="lbs",5,2.5)))),"")</f>
        <v>86.25</v>
      </c>
      <c r="J36" s="148"/>
      <c r="K36" s="33"/>
      <c r="L36" s="171"/>
      <c r="M36" s="124" t="str">
        <f>IFERROR(__xludf.DUMMYFUNCTION("IF(I36=MAX(FILTER(I$10:I$199,LOOKUP(ROW(C$10:C$199),FILTER(ROW(C$10:C$199),C$10:C$199&lt;&gt;C$9:C$198))=LOOKUP(ROW(C36),FILTER(ROW(C$10:C$199),C$10:C$199&lt;&gt;C$9:C$198)))),J36,)"),"")</f>
        <v/>
      </c>
      <c r="N36" s="122"/>
      <c r="O36" s="38"/>
      <c r="P36" s="143" t="str">
        <f t="shared" si="12"/>
        <v>BN 2: power</v>
      </c>
      <c r="Q36" s="38" t="str">
        <f>IFERROR(__xludf.DUMMYFUNCTION("""COMPUTED_VALUE"""),"bn")</f>
        <v>bn</v>
      </c>
      <c r="R36" s="144">
        <v>46118.0</v>
      </c>
      <c r="S36" s="167" t="str">
        <f t="shared" si="13"/>
        <v>Bench Press</v>
      </c>
      <c r="T36" s="168">
        <f>IF(OR(gen="SELECT",gen="MALE"), 5,6)</f>
        <v>5</v>
      </c>
      <c r="U36" s="169">
        <v>4.0</v>
      </c>
      <c r="V36" s="172">
        <v>74.0</v>
      </c>
      <c r="W36" s="171">
        <f t="array" ref="W36">IFERROR(IF(Q36="ac"+ISNUMBER(SEARCH("'",V36))+U36="","", IF(ISNUMBER(SEARCH("lw",V36)), I36 + SUBSTITUTE(V36,"lw+",""), MROUND(SWITCH(Q36,"sq",U$7,"bn",V$7,"dl",W$7,"")*IF(V36&gt;10, V36/100, VLOOKUP(V36, _rpe,SUBSTITUTE(U36,"+","")+1,0)), IF( SWITCH(Q36,"sq",U$7,"bn",V$7,"dl", W$7,"")&lt; IF(_uom="lbs", 175, 80), 1.25, IF(_uom="lbs",5,2.5))))), "")</f>
        <v>88.75</v>
      </c>
      <c r="X36" s="148"/>
      <c r="Y36" s="33"/>
      <c r="Z36" s="171"/>
      <c r="AA36" s="124" t="str">
        <f>IFERROR(__xludf.DUMMYFUNCTION("IF(W36=MAX(FILTER(W$10:W$199,LOOKUP(ROW(Q$10:Q$199),FILTER(ROW(Q$10:Q$199),Q$10:Q$199&lt;&gt;Q$9:Q$198))=LOOKUP(ROW(Q36),FILTER(ROW(Q$10:Q$199),Q$10:Q$199&lt;&gt;Q$9:Q$198)))),X36,)"),"")</f>
        <v/>
      </c>
      <c r="AB36" s="122"/>
      <c r="AC36" s="38"/>
      <c r="AD36" s="143" t="str">
        <f t="shared" si="14"/>
        <v>BN 2: power</v>
      </c>
      <c r="AE36" s="38" t="str">
        <f>IFERROR(__xludf.DUMMYFUNCTION("""COMPUTED_VALUE"""),"bn")</f>
        <v>bn</v>
      </c>
      <c r="AF36" s="144">
        <v>46125.0</v>
      </c>
      <c r="AG36" s="167" t="str">
        <f t="shared" si="54"/>
        <v>Bench Press</v>
      </c>
      <c r="AH36" s="168">
        <f>IF(OR(gen="SELECT",gen="MALE"), 5,6)</f>
        <v>5</v>
      </c>
      <c r="AI36" s="169">
        <f t="shared" si="131"/>
        <v>4</v>
      </c>
      <c r="AJ36" s="172">
        <v>76.0</v>
      </c>
      <c r="AK36" s="171">
        <f t="array" ref="AK36">IFERROR(IF(AE36="ac"+ISNUMBER(SEARCH("'",AJ36))+AI36="","", IF(ISNUMBER(SEARCH("lw",AJ36)), W36 + SUBSTITUTE(AJ36,"lw+",""), MROUND(SWITCH(AE36,"sq",AI$7,"bn",AJ$7,"dl",AK$7,"")*IF(AJ36&gt;10, AJ36/100, VLOOKUP(AJ36, _rpe,SUBSTITUTE(AI36,"+","")+1,0)), IF( SWITCH(AE36,"sq",AI$7,"bn",AJ$7,"dl", AK$7,"")&lt; IF(_uom="lbs", 175, 80), 1.25, IF(_uom="lbs",5,2.5))))), "")</f>
        <v>91.25</v>
      </c>
      <c r="AL36" s="148"/>
      <c r="AM36" s="33"/>
      <c r="AN36" s="171"/>
      <c r="AO36" s="124" t="str">
        <f>IFERROR(__xludf.DUMMYFUNCTION("IF(AK36=MAX(FILTER(AK$10:AK$199,LOOKUP(ROW(AE$10:AE$199),FILTER(ROW(AE$10:AE$199),AE$10:AE$199&lt;&gt;AE$9:AE$198))=LOOKUP(ROW(AE36),FILTER(ROW(AE$10:AE$199),AE$10:AE$199&lt;&gt;AE$9:AE$198)))),AL36,)"),"")</f>
        <v/>
      </c>
      <c r="AP36" s="122"/>
      <c r="AQ36" s="38"/>
      <c r="AR36" s="143" t="str">
        <f t="shared" si="16"/>
        <v>BN 2: power</v>
      </c>
      <c r="AS36" s="38" t="str">
        <f>IFERROR(__xludf.DUMMYFUNCTION("""COMPUTED_VALUE"""),"bn")</f>
        <v>bn</v>
      </c>
      <c r="AT36" s="144">
        <v>46132.0</v>
      </c>
      <c r="AU36" s="167" t="str">
        <f t="shared" si="26"/>
        <v>Bench Press</v>
      </c>
      <c r="AV36" s="168">
        <f>IF(OR(gen="SELECT",gen="MALE"), 5,6)</f>
        <v>5</v>
      </c>
      <c r="AW36" s="169">
        <f t="shared" si="120"/>
        <v>4</v>
      </c>
      <c r="AX36" s="172">
        <v>78.0</v>
      </c>
      <c r="AY36" s="171">
        <f t="array" ref="AY36">IFERROR(IF(AS36="ac"+ISNUMBER(SEARCH("'",AX36))+AW36="","", IF(ISNUMBER(SEARCH("lw",AX36)), AK36 + SUBSTITUTE(AX36,"lw+",""), MROUND(SWITCH(AS36,"sq",AW$7,"bn",AX$7,"dl",AY$7,"")*IF(AX36&gt;10, AX36/100, VLOOKUP(AX36, _rpe,SUBSTITUTE(AW36,"+","")+1,0)), IF( SWITCH(AS36,"sq",AW$7,"bn",AX$7,"dl", AY$7,"")&lt; IF(_uom="lbs", 175, 80), 1.25, IF(_uom="lbs",5,2.5))))), "")</f>
        <v>93.75</v>
      </c>
      <c r="AZ36" s="148"/>
      <c r="BA36" s="33"/>
      <c r="BB36" s="171"/>
      <c r="BC36" s="124" t="str">
        <f>IFERROR(__xludf.DUMMYFUNCTION("IF(AY36=MAX(FILTER(AY$10:AY$199,LOOKUP(ROW(AS$10:AS$199),FILTER(ROW(AS$10:AS$199),AS$10:AS$199&lt;&gt;AS$9:AS$198))=LOOKUP(ROW(AS36),FILTER(ROW(AS$10:AS$199),AS$10:AS$199&lt;&gt;AS$9:AS$198)))),AZ36,)"),"")</f>
        <v/>
      </c>
      <c r="BD36" s="122"/>
      <c r="BE36" s="38"/>
      <c r="BF36" s="143" t="str">
        <f t="shared" si="17"/>
        <v>BN 2: power</v>
      </c>
      <c r="BG36" s="38" t="str">
        <f>IFERROR(__xludf.DUMMYFUNCTION("""COMPUTED_VALUE"""),"bn")</f>
        <v>bn</v>
      </c>
      <c r="BH36" s="144">
        <v>46139.0</v>
      </c>
      <c r="BI36" s="167" t="str">
        <f t="shared" si="18"/>
        <v>Bench Press</v>
      </c>
      <c r="BJ36" s="168">
        <f>IF(OR(gen="SELECT",gen="MALE"), 5,6)</f>
        <v>5</v>
      </c>
      <c r="BK36" s="169">
        <v>4.0</v>
      </c>
      <c r="BL36" s="172">
        <v>78.0</v>
      </c>
      <c r="BM36" s="171">
        <f t="array" ref="BM36">IFERROR(IF(BG36="ac"+ISNUMBER(SEARCH("'",BL36))+BK36="","", IF(ISNUMBER(SEARCH("lw",BL36)), AY36 + SUBSTITUTE(BL36,"lw+",""), MROUND(SWITCH(BG36,"sq",BK$7,"bn",BL$7,"dl",BM$7,"")*IF(BL36&gt;10, BL36/100, VLOOKUP(BL36, _rpe,SUBSTITUTE(BK36,"+","")+1,0)), IF( SWITCH(BG36,"sq",BK$7,"bn",BL$7,"dl", BM$7,"")&lt; IF(_uom="lbs", 175, 80), 1.25, IF(_uom="lbs",5,2.5))))), "")</f>
        <v>93.75</v>
      </c>
      <c r="BN36" s="148"/>
      <c r="BO36" s="33"/>
      <c r="BP36" s="171"/>
      <c r="BQ36" s="124" t="str">
        <f>IFERROR(__xludf.DUMMYFUNCTION("IF(BM36=MAX(FILTER(BM$10:BM$199,LOOKUP(ROW(BG$10:BG$199),FILTER(ROW(BG$10:BG$199),BG$10:BG$199&lt;&gt;BG$9:BG$198))=LOOKUP(ROW(BG36),FILTER(ROW(BG$10:BG$199),BG$10:BG$199&lt;&gt;BG$9:BG$198)))),BN36,)"),"")</f>
        <v/>
      </c>
      <c r="BR36" s="122"/>
      <c r="BS36" s="38"/>
      <c r="BT36" s="143" t="str">
        <f t="shared" si="19"/>
        <v>BN 2: power</v>
      </c>
      <c r="BU36" s="38" t="str">
        <f>IFERROR(__xludf.DUMMYFUNCTION("""COMPUTED_VALUE"""),"bn")</f>
        <v>bn</v>
      </c>
      <c r="BV36" s="144">
        <v>46146.0</v>
      </c>
      <c r="BW36" s="167" t="str">
        <f t="shared" si="20"/>
        <v>Bench Press</v>
      </c>
      <c r="BX36" s="168">
        <f>IF(OR(gen="SELECT",gen="MALE"), 5,6)</f>
        <v>5</v>
      </c>
      <c r="BY36" s="169">
        <v>4.0</v>
      </c>
      <c r="BZ36" s="172">
        <v>80.0</v>
      </c>
      <c r="CA36" s="171">
        <f t="array" ref="CA36">IFERROR(IF(BU36="ac"+ISNUMBER(SEARCH("'",BZ36))+BY36="","", IF(ISNUMBER(SEARCH("lw",BZ36)), BM36 + SUBSTITUTE(BZ36,"lw+",""), MROUND(SWITCH(BU36,"sq",BY$7,"bn",BZ$7,"dl",CA$7,"")*IF(BZ36&gt;10, BZ36/100, VLOOKUP(BZ36, _rpe,SUBSTITUTE(BY36,"+","")+1,0)), IF( SWITCH(BU36,"sq",BY$7,"bn",BZ$7,"dl", CA$7,"")&lt; IF(_uom="lbs", 175, 80), 1.25, IF(_uom="lbs",5,2.5))))), "")</f>
        <v>96.25</v>
      </c>
      <c r="CB36" s="148"/>
      <c r="CC36" s="33"/>
      <c r="CD36" s="171"/>
      <c r="CE36" s="124" t="str">
        <f>IFERROR(__xludf.DUMMYFUNCTION("IF(CA36=MAX(FILTER(CA$10:CA$199,LOOKUP(ROW(BU$10:BU$199),FILTER(ROW(BU$10:BU$199),BU$10:BU$199&lt;&gt;BU$9:BU$198))=LOOKUP(ROW(BU36),FILTER(ROW(BU$10:BU$199),BU$10:BU$199&lt;&gt;BU$9:BU$198)))),CB36,)"),"")</f>
        <v/>
      </c>
      <c r="CF36" s="122"/>
      <c r="CG36" s="38"/>
      <c r="CH36" s="143" t="str">
        <f t="shared" si="21"/>
        <v>BN 2: power</v>
      </c>
      <c r="CI36" s="38" t="str">
        <f>IFERROR(__xludf.DUMMYFUNCTION("""COMPUTED_VALUE"""),"bn")</f>
        <v>bn</v>
      </c>
      <c r="CJ36" s="144">
        <v>46153.0</v>
      </c>
      <c r="CK36" s="167" t="str">
        <f t="shared" si="27"/>
        <v>Bench Press</v>
      </c>
      <c r="CL36" s="168">
        <f>IF(OR(gen="SELECT",gen="MALE"), 5,6)</f>
        <v>5</v>
      </c>
      <c r="CM36" s="169">
        <v>4.0</v>
      </c>
      <c r="CN36" s="172">
        <v>82.0</v>
      </c>
      <c r="CO36" s="171">
        <f t="array" ref="CO36">IFERROR(IF(CI36="ac"+ISNUMBER(SEARCH("'",CN36))+CM36="","", IF(ISNUMBER(SEARCH("lw",CN36)), CA36 + SUBSTITUTE(CN36,"lw+",""), MROUND(SWITCH(CI36,"sq",CM$7,"bn",CN$7,"dl",CO$7,"")*IF(CN36&gt;10, CN36/100, VLOOKUP(CN36, _rpe,SUBSTITUTE(CM36,"+","")+1,0)), IF( SWITCH(CI36,"sq",CM$7,"bn",CN$7,"dl", CO$7,"")&lt; IF(_uom="lbs", 175, 80), 1.25, IF(_uom="lbs",5,2.5))))), "")</f>
        <v>98.75</v>
      </c>
      <c r="CP36" s="148"/>
      <c r="CQ36" s="33"/>
      <c r="CR36" s="171"/>
      <c r="CS36" s="124" t="str">
        <f>IFERROR(__xludf.DUMMYFUNCTION("IF(CO36=MAX(FILTER(CO$10:CO$199,LOOKUP(ROW(CI$10:CI$199),FILTER(ROW(CI$10:CI$199),CI$10:CI$199&lt;&gt;CI$9:CI$198))=LOOKUP(ROW(CI36),FILTER(ROW(CI$10:CI$199),CI$10:CI$199&lt;&gt;CI$9:CI$198)))),CP36,)"),"")</f>
        <v/>
      </c>
      <c r="CT36" s="122"/>
      <c r="CU36" s="38"/>
      <c r="CV36" s="143" t="str">
        <f t="shared" si="22"/>
        <v>BN 2: power</v>
      </c>
      <c r="CW36" s="38" t="str">
        <f>IFERROR(__xludf.DUMMYFUNCTION("""COMPUTED_VALUE"""),"bn")</f>
        <v>bn</v>
      </c>
      <c r="CX36" s="144">
        <v>46160.0</v>
      </c>
      <c r="CY36" s="167" t="str">
        <f t="shared" si="28"/>
        <v>Bench Press</v>
      </c>
      <c r="CZ36" s="168">
        <f>IF(OR(gen="SELECT",gen="MALE"), 5,6)</f>
        <v>5</v>
      </c>
      <c r="DA36" s="169">
        <v>3.0</v>
      </c>
      <c r="DB36" s="172">
        <v>84.0</v>
      </c>
      <c r="DC36" s="171">
        <f t="array" ref="DC36">IFERROR(IF(CW36="ac"+ISNUMBER(SEARCH("'",DB36))+DA36="","", IF(ISNUMBER(SEARCH("lw",DB36)), CO36 + SUBSTITUTE(DB36,"lw+",""), MROUND(SWITCH(CW36,"sq",DA$7,"bn",DB$7,"dl",DC$7,"")*IF(DB36&gt;10, DB36/100, VLOOKUP(DB36, _rpe,SUBSTITUTE(DA36,"+","")+1,0)), IF( SWITCH(CW36,"sq",DA$7,"bn",DB$7,"dl", DC$7,"")&lt; IF(_uom="lbs", 175, 80), 1.25, IF(_uom="lbs",5,2.5))))), "")</f>
        <v>101.25</v>
      </c>
      <c r="DD36" s="148"/>
      <c r="DE36" s="33"/>
      <c r="DF36" s="171"/>
      <c r="DG36" s="124" t="str">
        <f>IFERROR(__xludf.DUMMYFUNCTION("IF(DC36=MAX(FILTER(DC$10:DC$199,LOOKUP(ROW(CW$10:CW$199),FILTER(ROW(CW$10:CW$199),CW$10:CW$199&lt;&gt;CW$9:CW$198))=LOOKUP(ROW(CW36),FILTER(ROW(CW$10:CW$199),CW$10:CW$199&lt;&gt;CW$9:CW$198)))),DD36,)"),"")</f>
        <v/>
      </c>
      <c r="DH36" s="122"/>
      <c r="DI36" s="38"/>
      <c r="DJ36" s="143" t="str">
        <f t="shared" si="23"/>
        <v>BN 2: power</v>
      </c>
      <c r="DK36" s="38" t="str">
        <f>IFERROR(__xludf.DUMMYFUNCTION("""COMPUTED_VALUE"""),"")</f>
        <v/>
      </c>
      <c r="DL36" s="144">
        <v>46167.0</v>
      </c>
      <c r="DM36" s="167"/>
      <c r="DN36" s="168"/>
      <c r="DO36" s="169"/>
      <c r="DP36" s="171"/>
      <c r="DQ36" s="171" t="str">
        <f t="array" ref="DQ36">IFERROR(IF(DK36="ac"+ISNUMBER(SEARCH("'",DP36))+DO36="","", IF(ISNUMBER(SEARCH("lw",DP36)), DC36 + SUBSTITUTE(DP36,"lw+",""), MROUND(SWITCH(DK36,"sq",DO$7,"bn",DP$7,"dl",DQ$7,"")*IF(DP36&gt;10, DP36/100, VLOOKUP(DP36, _rpe,SUBSTITUTE(DO36,"+","")+1,0)), IF( SWITCH(DK36,"sq",DO$7,"bn",DP$7,"dl", DQ$7,"")&lt; IF(_uom="lbs", 175, 80), 1.25, IF(_uom="lbs",5,2.5))))), "")</f>
        <v/>
      </c>
      <c r="DR36" s="148"/>
      <c r="DS36" s="33"/>
      <c r="DT36" s="171"/>
      <c r="DU36" s="124" t="str">
        <f>IFERROR(__xludf.DUMMYFUNCTION("IF(DQ36=MAX(FILTER(DQ$10:DQ$199,LOOKUP(ROW(DK$10:DK$199),FILTER(ROW(DK$10:DK$199),DK$10:DK$199&lt;&gt;DK$9:DK$198))=LOOKUP(ROW(DK36),FILTER(ROW(DK$10:DK$199),DK$10:DK$199&lt;&gt;DK$9:DK$198)))),DR36,)"),"")</f>
        <v/>
      </c>
      <c r="DV36" s="122"/>
      <c r="DW36" s="38"/>
      <c r="DX36" s="143"/>
      <c r="DY36" s="38"/>
      <c r="DZ36" s="144"/>
      <c r="EA36" s="150"/>
      <c r="EB36" s="174"/>
      <c r="EC36" s="175"/>
      <c r="ED36" s="176"/>
      <c r="EE36" s="155"/>
      <c r="EF36" s="148"/>
      <c r="EG36" s="33"/>
      <c r="EH36" s="155"/>
      <c r="EI36" s="148"/>
      <c r="EJ36" s="33"/>
      <c r="EK36" s="38"/>
      <c r="EL36" s="143"/>
      <c r="EM36" s="38"/>
      <c r="EN36" s="144"/>
      <c r="EO36" s="150"/>
      <c r="EP36" s="174"/>
      <c r="EQ36" s="175"/>
      <c r="ER36" s="176"/>
      <c r="ES36" s="155"/>
      <c r="ET36" s="148"/>
      <c r="EU36" s="33"/>
      <c r="EV36" s="155"/>
      <c r="EW36" s="148"/>
      <c r="EX36" s="33"/>
      <c r="EY36" s="38"/>
      <c r="EZ36" s="143"/>
      <c r="FA36" s="38"/>
      <c r="FB36" s="144"/>
      <c r="FC36" s="150"/>
      <c r="FD36" s="174"/>
      <c r="FE36" s="175"/>
      <c r="FF36" s="176"/>
      <c r="FG36" s="155"/>
      <c r="FH36" s="148"/>
      <c r="FI36" s="33"/>
      <c r="FJ36" s="155"/>
      <c r="FK36" s="148"/>
      <c r="FL36" s="33"/>
      <c r="FM36" s="38"/>
      <c r="FN36" s="143"/>
      <c r="FO36" s="38"/>
      <c r="FP36" s="144"/>
      <c r="FQ36" s="150"/>
      <c r="FR36" s="174"/>
      <c r="FS36" s="175"/>
      <c r="FT36" s="176"/>
      <c r="FU36" s="155"/>
      <c r="FV36" s="148"/>
      <c r="FW36" s="33"/>
      <c r="FX36" s="155"/>
      <c r="FY36" s="148"/>
      <c r="FZ36" s="33"/>
      <c r="GA36" s="38"/>
      <c r="GB36" s="143"/>
      <c r="GC36" s="38"/>
      <c r="GD36" s="144"/>
      <c r="GE36" s="150"/>
      <c r="GF36" s="174"/>
      <c r="GG36" s="175"/>
      <c r="GH36" s="176"/>
      <c r="GI36" s="155"/>
      <c r="GJ36" s="148"/>
      <c r="GK36" s="33"/>
      <c r="GL36" s="155"/>
      <c r="GM36" s="148"/>
      <c r="GN36" s="33"/>
      <c r="GO36" s="38"/>
      <c r="GP36" s="143"/>
      <c r="GQ36" s="38"/>
      <c r="GR36" s="144"/>
      <c r="GS36" s="150"/>
      <c r="GT36" s="174"/>
      <c r="GU36" s="175"/>
      <c r="GV36" s="176"/>
      <c r="GW36" s="155"/>
      <c r="GX36" s="148"/>
      <c r="GY36" s="33"/>
      <c r="GZ36" s="155"/>
      <c r="HA36" s="148"/>
      <c r="HB36" s="33"/>
      <c r="HC36" s="38"/>
      <c r="HD36" s="143"/>
      <c r="HE36" s="38"/>
      <c r="HF36" s="144"/>
      <c r="HG36" s="150"/>
      <c r="HH36" s="174"/>
      <c r="HI36" s="175"/>
      <c r="HJ36" s="176"/>
      <c r="HK36" s="155"/>
      <c r="HL36" s="148"/>
      <c r="HM36" s="33"/>
      <c r="HN36" s="155"/>
      <c r="HO36" s="148"/>
      <c r="HP36" s="33"/>
      <c r="HQ36" s="38"/>
      <c r="HR36" s="143"/>
      <c r="HS36" s="38"/>
      <c r="HT36" s="144"/>
      <c r="HU36" s="150"/>
      <c r="HV36" s="174"/>
      <c r="HW36" s="175"/>
      <c r="HX36" s="176"/>
      <c r="HY36" s="155"/>
      <c r="HZ36" s="148"/>
      <c r="IA36" s="33"/>
      <c r="IB36" s="155"/>
      <c r="IC36" s="148"/>
      <c r="ID36" s="33"/>
      <c r="IE36" s="38"/>
      <c r="IF36" s="143"/>
      <c r="IG36" s="38"/>
      <c r="IH36" s="144"/>
      <c r="II36" s="150"/>
      <c r="IJ36" s="174"/>
      <c r="IK36" s="175"/>
      <c r="IL36" s="176"/>
      <c r="IM36" s="155"/>
      <c r="IN36" s="148"/>
      <c r="IO36" s="33"/>
      <c r="IP36" s="155"/>
      <c r="IQ36" s="148"/>
      <c r="IR36" s="33"/>
      <c r="IS36" s="38"/>
      <c r="IT36" s="143"/>
      <c r="IU36" s="38"/>
      <c r="IV36" s="144"/>
      <c r="IW36" s="143" t="str">
        <f t="shared" si="24"/>
        <v>#REF!</v>
      </c>
      <c r="IX36" s="38"/>
      <c r="IY36" s="144" t="e">
        <v>#REF!</v>
      </c>
    </row>
    <row r="37" hidden="1" outlineLevel="1">
      <c r="A37" s="33"/>
      <c r="B37" s="143"/>
      <c r="C37" s="38" t="str">
        <f>IFERROR(__xludf.DUMMYFUNCTION("""COMPUTED_VALUE"""),"bn")</f>
        <v>bn</v>
      </c>
      <c r="D37" s="144">
        <v>46111.0</v>
      </c>
      <c r="E37" s="167" t="s">
        <v>309</v>
      </c>
      <c r="F37" s="168"/>
      <c r="G37" s="169"/>
      <c r="H37" s="172"/>
      <c r="I37" s="171" t="str">
        <f t="array" ref="I37">IFERROR(IF(C37="ac"+ISNUMBER(SEARCH("'",H37))+G37="","", MROUND(SWITCH(C37,"sq",'Personal Info'!$O$15,"bn",'Personal Info'!$S$15,"dl",'Personal Info'!$W$15,"")*IF(H37&gt;10, H37/100, VLOOKUP(H37, _rpe,SUBSTITUTE(G37,"+","")+1,0)), IF( SWITCH(C37:C210,"sq",'Personal Info'!$O$15,"bn",'Personal Info'!$S$15,"dl", 'Personal Info'!$W$15,"")&lt; IF(_uom="lbs", 175, 80), 1.25, IF(_uom="lbs",5,2.5)))),"")</f>
        <v/>
      </c>
      <c r="J37" s="148"/>
      <c r="K37" s="33"/>
      <c r="L37" s="171"/>
      <c r="M37" s="124" t="str">
        <f>IFERROR(__xludf.DUMMYFUNCTION("IF(I37=MAX(FILTER(I$10:I$199,LOOKUP(ROW(C$10:C$199),FILTER(ROW(C$10:C$199),C$10:C$199&lt;&gt;C$9:C$198))=LOOKUP(ROW(C37),FILTER(ROW(C$10:C$199),C$10:C$199&lt;&gt;C$9:C$198)))),J37,)"),"")</f>
        <v/>
      </c>
      <c r="N37" s="122"/>
      <c r="O37" s="39"/>
      <c r="P37" s="143" t="str">
        <f t="shared" si="12"/>
        <v/>
      </c>
      <c r="Q37" s="38" t="str">
        <f>IFERROR(__xludf.DUMMYFUNCTION("""COMPUTED_VALUE"""),"bn")</f>
        <v>bn</v>
      </c>
      <c r="R37" s="144">
        <v>46118.0</v>
      </c>
      <c r="S37" s="167" t="str">
        <f t="shared" si="13"/>
        <v>-</v>
      </c>
      <c r="T37" s="168"/>
      <c r="U37" s="169"/>
      <c r="V37" s="172"/>
      <c r="W37" s="171" t="str">
        <f t="array" ref="W37">IFERROR(IF(Q37="ac"+ISNUMBER(SEARCH("'",V37))+U37="","", IF(ISNUMBER(SEARCH("lw",V37)), I37 + SUBSTITUTE(V37,"lw+",""), MROUND(SWITCH(Q37,"sq",U$7,"bn",V$7,"dl",W$7,"")*IF(V37&gt;10, V37/100, VLOOKUP(V37, _rpe,SUBSTITUTE(U37,"+","")+1,0)), IF( SWITCH(Q37,"sq",U$7,"bn",V$7,"dl", W$7,"")&lt; IF(_uom="lbs", 175, 80), 1.25, IF(_uom="lbs",5,2.5))))), "")</f>
        <v/>
      </c>
      <c r="X37" s="148"/>
      <c r="Y37" s="33"/>
      <c r="Z37" s="171"/>
      <c r="AA37" s="124" t="str">
        <f>IFERROR(__xludf.DUMMYFUNCTION("IF(W37=MAX(FILTER(W$10:W$199,LOOKUP(ROW(Q$10:Q$199),FILTER(ROW(Q$10:Q$199),Q$10:Q$199&lt;&gt;Q$9:Q$198))=LOOKUP(ROW(Q37),FILTER(ROW(Q$10:Q$199),Q$10:Q$199&lt;&gt;Q$9:Q$198)))),X37,)"),"")</f>
        <v/>
      </c>
      <c r="AB37" s="122"/>
      <c r="AC37" s="39"/>
      <c r="AD37" s="143" t="str">
        <f t="shared" si="14"/>
        <v/>
      </c>
      <c r="AE37" s="38" t="str">
        <f>IFERROR(__xludf.DUMMYFUNCTION("""COMPUTED_VALUE"""),"bn")</f>
        <v>bn</v>
      </c>
      <c r="AF37" s="144">
        <v>46125.0</v>
      </c>
      <c r="AG37" s="167" t="str">
        <f t="shared" si="54"/>
        <v>-</v>
      </c>
      <c r="AH37" s="168" t="str">
        <f t="shared" ref="AH37:AH66" si="151">IF(ISBLANK(T37),"",T37)</f>
        <v/>
      </c>
      <c r="AI37" s="169" t="str">
        <f t="shared" si="131"/>
        <v/>
      </c>
      <c r="AJ37" s="172"/>
      <c r="AK37" s="171" t="str">
        <f t="array" ref="AK37">IFERROR(IF(AE37="ac"+ISNUMBER(SEARCH("'",AJ37))+AI37="","", IF(ISNUMBER(SEARCH("lw",AJ37)), W37 + SUBSTITUTE(AJ37,"lw+",""), MROUND(SWITCH(AE37,"sq",AI$7,"bn",AJ$7,"dl",AK$7,"")*IF(AJ37&gt;10, AJ37/100, VLOOKUP(AJ37, _rpe,SUBSTITUTE(AI37,"+","")+1,0)), IF( SWITCH(AE37,"sq",AI$7,"bn",AJ$7,"dl", AK$7,"")&lt; IF(_uom="lbs", 175, 80), 1.25, IF(_uom="lbs",5,2.5))))), "")</f>
        <v/>
      </c>
      <c r="AL37" s="148"/>
      <c r="AM37" s="33"/>
      <c r="AN37" s="171"/>
      <c r="AO37" s="124" t="str">
        <f>IFERROR(__xludf.DUMMYFUNCTION("IF(AK37=MAX(FILTER(AK$10:AK$199,LOOKUP(ROW(AE$10:AE$199),FILTER(ROW(AE$10:AE$199),AE$10:AE$199&lt;&gt;AE$9:AE$198))=LOOKUP(ROW(AE37),FILTER(ROW(AE$10:AE$199),AE$10:AE$199&lt;&gt;AE$9:AE$198)))),AL37,)"),"")</f>
        <v/>
      </c>
      <c r="AP37" s="122"/>
      <c r="AQ37" s="39"/>
      <c r="AR37" s="143" t="str">
        <f t="shared" si="16"/>
        <v/>
      </c>
      <c r="AS37" s="38" t="str">
        <f>IFERROR(__xludf.DUMMYFUNCTION("""COMPUTED_VALUE"""),"bn")</f>
        <v>bn</v>
      </c>
      <c r="AT37" s="144">
        <v>46132.0</v>
      </c>
      <c r="AU37" s="167" t="str">
        <f t="shared" si="26"/>
        <v>-</v>
      </c>
      <c r="AV37" s="168" t="str">
        <f t="shared" ref="AV37:AV76" si="152">IF(ISBLANK(AH37),"",AH37)</f>
        <v/>
      </c>
      <c r="AW37" s="169" t="str">
        <f t="shared" si="120"/>
        <v/>
      </c>
      <c r="AX37" s="172"/>
      <c r="AY37" s="171" t="str">
        <f t="array" ref="AY37">IFERROR(IF(AS37="ac"+ISNUMBER(SEARCH("'",AX37))+AW37="","", IF(ISNUMBER(SEARCH("lw",AX37)), AK37 + SUBSTITUTE(AX37,"lw+",""), MROUND(SWITCH(AS37,"sq",AW$7,"bn",AX$7,"dl",AY$7,"")*IF(AX37&gt;10, AX37/100, VLOOKUP(AX37, _rpe,SUBSTITUTE(AW37,"+","")+1,0)), IF( SWITCH(AS37,"sq",AW$7,"bn",AX$7,"dl", AY$7,"")&lt; IF(_uom="lbs", 175, 80), 1.25, IF(_uom="lbs",5,2.5))))), "")</f>
        <v/>
      </c>
      <c r="AZ37" s="148"/>
      <c r="BA37" s="33"/>
      <c r="BB37" s="171"/>
      <c r="BC37" s="124" t="str">
        <f>IFERROR(__xludf.DUMMYFUNCTION("IF(AY37=MAX(FILTER(AY$10:AY$199,LOOKUP(ROW(AS$10:AS$199),FILTER(ROW(AS$10:AS$199),AS$10:AS$199&lt;&gt;AS$9:AS$198))=LOOKUP(ROW(AS37),FILTER(ROW(AS$10:AS$199),AS$10:AS$199&lt;&gt;AS$9:AS$198)))),AZ37,)"),"")</f>
        <v/>
      </c>
      <c r="BD37" s="122"/>
      <c r="BE37" s="39"/>
      <c r="BF37" s="143" t="str">
        <f t="shared" si="17"/>
        <v/>
      </c>
      <c r="BG37" s="38" t="str">
        <f>IFERROR(__xludf.DUMMYFUNCTION("""COMPUTED_VALUE"""),"bn")</f>
        <v>bn</v>
      </c>
      <c r="BH37" s="144">
        <v>46139.0</v>
      </c>
      <c r="BI37" s="167" t="str">
        <f t="shared" si="18"/>
        <v>-</v>
      </c>
      <c r="BJ37" s="168"/>
      <c r="BK37" s="169"/>
      <c r="BL37" s="172"/>
      <c r="BM37" s="171" t="str">
        <f t="array" ref="BM37">IFERROR(IF(BG37="ac"+ISNUMBER(SEARCH("'",BL37))+BK37="","", IF(ISNUMBER(SEARCH("lw",BL37)), AY37 + SUBSTITUTE(BL37,"lw+",""), MROUND(SWITCH(BG37,"sq",BK$7,"bn",BL$7,"dl",BM$7,"")*IF(BL37&gt;10, BL37/100, VLOOKUP(BL37, _rpe,SUBSTITUTE(BK37,"+","")+1,0)), IF( SWITCH(BG37,"sq",BK$7,"bn",BL$7,"dl", BM$7,"")&lt; IF(_uom="lbs", 175, 80), 1.25, IF(_uom="lbs",5,2.5))))), "")</f>
        <v/>
      </c>
      <c r="BN37" s="148"/>
      <c r="BO37" s="33"/>
      <c r="BP37" s="171"/>
      <c r="BQ37" s="124" t="str">
        <f>IFERROR(__xludf.DUMMYFUNCTION("IF(BM37=MAX(FILTER(BM$10:BM$199,LOOKUP(ROW(BG$10:BG$199),FILTER(ROW(BG$10:BG$199),BG$10:BG$199&lt;&gt;BG$9:BG$198))=LOOKUP(ROW(BG37),FILTER(ROW(BG$10:BG$199),BG$10:BG$199&lt;&gt;BG$9:BG$198)))),BN37,)"),"")</f>
        <v/>
      </c>
      <c r="BR37" s="122"/>
      <c r="BS37" s="39"/>
      <c r="BT37" s="143" t="str">
        <f t="shared" si="19"/>
        <v/>
      </c>
      <c r="BU37" s="38" t="str">
        <f>IFERROR(__xludf.DUMMYFUNCTION("""COMPUTED_VALUE"""),"bn")</f>
        <v>bn</v>
      </c>
      <c r="BV37" s="144">
        <v>46146.0</v>
      </c>
      <c r="BW37" s="167" t="str">
        <f t="shared" si="20"/>
        <v>-</v>
      </c>
      <c r="BX37" s="168"/>
      <c r="BY37" s="169"/>
      <c r="BZ37" s="172"/>
      <c r="CA37" s="171" t="str">
        <f t="array" ref="CA37">IFERROR(IF(BU37="ac"+ISNUMBER(SEARCH("'",BZ37))+BY37="","", IF(ISNUMBER(SEARCH("lw",BZ37)), BM37 + SUBSTITUTE(BZ37,"lw+",""), MROUND(SWITCH(BU37,"sq",BY$7,"bn",BZ$7,"dl",CA$7,"")*IF(BZ37&gt;10, BZ37/100, VLOOKUP(BZ37, _rpe,SUBSTITUTE(BY37,"+","")+1,0)), IF( SWITCH(BU37,"sq",BY$7,"bn",BZ$7,"dl", CA$7,"")&lt; IF(_uom="lbs", 175, 80), 1.25, IF(_uom="lbs",5,2.5))))), "")</f>
        <v/>
      </c>
      <c r="CB37" s="148"/>
      <c r="CC37" s="33"/>
      <c r="CD37" s="171"/>
      <c r="CE37" s="124" t="str">
        <f>IFERROR(__xludf.DUMMYFUNCTION("IF(CA37=MAX(FILTER(CA$10:CA$199,LOOKUP(ROW(BU$10:BU$199),FILTER(ROW(BU$10:BU$199),BU$10:BU$199&lt;&gt;BU$9:BU$198))=LOOKUP(ROW(BU37),FILTER(ROW(BU$10:BU$199),BU$10:BU$199&lt;&gt;BU$9:BU$198)))),CB37,)"),"")</f>
        <v/>
      </c>
      <c r="CF37" s="122"/>
      <c r="CG37" s="39"/>
      <c r="CH37" s="143" t="str">
        <f t="shared" si="21"/>
        <v/>
      </c>
      <c r="CI37" s="38" t="str">
        <f>IFERROR(__xludf.DUMMYFUNCTION("""COMPUTED_VALUE"""),"bn")</f>
        <v>bn</v>
      </c>
      <c r="CJ37" s="144">
        <v>46153.0</v>
      </c>
      <c r="CK37" s="167" t="str">
        <f t="shared" si="27"/>
        <v>-</v>
      </c>
      <c r="CL37" s="168"/>
      <c r="CM37" s="169"/>
      <c r="CN37" s="172"/>
      <c r="CO37" s="171" t="str">
        <f t="array" ref="CO37">IFERROR(IF(CI37="ac"+ISNUMBER(SEARCH("'",CN37))+CM37="","", IF(ISNUMBER(SEARCH("lw",CN37)), CA37 + SUBSTITUTE(CN37,"lw+",""), MROUND(SWITCH(CI37,"sq",CM$7,"bn",CN$7,"dl",CO$7,"")*IF(CN37&gt;10, CN37/100, VLOOKUP(CN37, _rpe,SUBSTITUTE(CM37,"+","")+1,0)), IF( SWITCH(CI37,"sq",CM$7,"bn",CN$7,"dl", CO$7,"")&lt; IF(_uom="lbs", 175, 80), 1.25, IF(_uom="lbs",5,2.5))))), "")</f>
        <v/>
      </c>
      <c r="CP37" s="148"/>
      <c r="CQ37" s="33"/>
      <c r="CR37" s="171"/>
      <c r="CS37" s="124" t="str">
        <f>IFERROR(__xludf.DUMMYFUNCTION("IF(CO37=MAX(FILTER(CO$10:CO$199,LOOKUP(ROW(CI$10:CI$199),FILTER(ROW(CI$10:CI$199),CI$10:CI$199&lt;&gt;CI$9:CI$198))=LOOKUP(ROW(CI37),FILTER(ROW(CI$10:CI$199),CI$10:CI$199&lt;&gt;CI$9:CI$198)))),CP37,)"),"")</f>
        <v/>
      </c>
      <c r="CT37" s="122"/>
      <c r="CU37" s="39"/>
      <c r="CV37" s="143" t="str">
        <f t="shared" si="22"/>
        <v/>
      </c>
      <c r="CW37" s="38" t="str">
        <f>IFERROR(__xludf.DUMMYFUNCTION("""COMPUTED_VALUE"""),"bn")</f>
        <v>bn</v>
      </c>
      <c r="CX37" s="144">
        <v>46160.0</v>
      </c>
      <c r="CY37" s="167" t="str">
        <f t="shared" si="28"/>
        <v>-</v>
      </c>
      <c r="CZ37" s="168" t="str">
        <f t="shared" ref="CZ37:CZ39" si="153">IF(ISBLANK(CL37),"",CL37)</f>
        <v/>
      </c>
      <c r="DA37" s="169"/>
      <c r="DB37" s="172"/>
      <c r="DC37" s="171" t="str">
        <f t="array" ref="DC37">IFERROR(IF(CW37="ac"+ISNUMBER(SEARCH("'",DB37))+DA37="","", IF(ISNUMBER(SEARCH("lw",DB37)), CO37 + SUBSTITUTE(DB37,"lw+",""), MROUND(SWITCH(CW37,"sq",DA$7,"bn",DB$7,"dl",DC$7,"")*IF(DB37&gt;10, DB37/100, VLOOKUP(DB37, _rpe,SUBSTITUTE(DA37,"+","")+1,0)), IF( SWITCH(CW37,"sq",DA$7,"bn",DB$7,"dl", DC$7,"")&lt; IF(_uom="lbs", 175, 80), 1.25, IF(_uom="lbs",5,2.5))))), "")</f>
        <v/>
      </c>
      <c r="DD37" s="148"/>
      <c r="DE37" s="33"/>
      <c r="DF37" s="171"/>
      <c r="DG37" s="124" t="str">
        <f>IFERROR(__xludf.DUMMYFUNCTION("IF(DC37=MAX(FILTER(DC$10:DC$199,LOOKUP(ROW(CW$10:CW$199),FILTER(ROW(CW$10:CW$199),CW$10:CW$199&lt;&gt;CW$9:CW$198))=LOOKUP(ROW(CW37),FILTER(ROW(CW$10:CW$199),CW$10:CW$199&lt;&gt;CW$9:CW$198)))),DD37,)"),"")</f>
        <v/>
      </c>
      <c r="DH37" s="122"/>
      <c r="DI37" s="39"/>
      <c r="DJ37" s="143" t="str">
        <f t="shared" si="23"/>
        <v/>
      </c>
      <c r="DK37" s="38" t="str">
        <f>IFERROR(__xludf.DUMMYFUNCTION("""COMPUTED_VALUE"""),"")</f>
        <v/>
      </c>
      <c r="DL37" s="144">
        <v>46167.0</v>
      </c>
      <c r="DM37" s="167"/>
      <c r="DN37" s="168"/>
      <c r="DO37" s="169"/>
      <c r="DP37" s="172"/>
      <c r="DQ37" s="171" t="str">
        <f t="array" ref="DQ37">IFERROR(IF(DK37="ac"+ISNUMBER(SEARCH("'",DP37))+DO37="","", IF(ISNUMBER(SEARCH("lw",DP37)), DC37 + SUBSTITUTE(DP37,"lw+",""), MROUND(SWITCH(DK37,"sq",DO$7,"bn",DP$7,"dl",DQ$7,"")*IF(DP37&gt;10, DP37/100, VLOOKUP(DP37, _rpe,SUBSTITUTE(DO37,"+","")+1,0)), IF( SWITCH(DK37,"sq",DO$7,"bn",DP$7,"dl", DQ$7,"")&lt; IF(_uom="lbs", 175, 80), 1.25, IF(_uom="lbs",5,2.5))))), "")</f>
        <v/>
      </c>
      <c r="DR37" s="148"/>
      <c r="DS37" s="33"/>
      <c r="DT37" s="171"/>
      <c r="DU37" s="124" t="str">
        <f>IFERROR(__xludf.DUMMYFUNCTION("IF(DQ37=MAX(FILTER(DQ$10:DQ$199,LOOKUP(ROW(DK$10:DK$199),FILTER(ROW(DK$10:DK$199),DK$10:DK$199&lt;&gt;DK$9:DK$198))=LOOKUP(ROW(DK37),FILTER(ROW(DK$10:DK$199),DK$10:DK$199&lt;&gt;DK$9:DK$198)))),DR37,)"),"")</f>
        <v/>
      </c>
      <c r="DV37" s="122"/>
      <c r="DW37" s="39"/>
      <c r="DX37" s="143"/>
      <c r="DY37" s="38"/>
      <c r="DZ37" s="144"/>
      <c r="EA37" s="150"/>
      <c r="EB37" s="174"/>
      <c r="EC37" s="175"/>
      <c r="ED37" s="176"/>
      <c r="EE37" s="155"/>
      <c r="EF37" s="148"/>
      <c r="EG37" s="33"/>
      <c r="EH37" s="155"/>
      <c r="EI37" s="148"/>
      <c r="EJ37" s="33"/>
      <c r="EK37" s="39"/>
      <c r="EL37" s="143"/>
      <c r="EM37" s="38"/>
      <c r="EN37" s="144"/>
      <c r="EO37" s="150"/>
      <c r="EP37" s="174"/>
      <c r="EQ37" s="175"/>
      <c r="ER37" s="176"/>
      <c r="ES37" s="155"/>
      <c r="ET37" s="148"/>
      <c r="EU37" s="33"/>
      <c r="EV37" s="155"/>
      <c r="EW37" s="148"/>
      <c r="EX37" s="33"/>
      <c r="EY37" s="39"/>
      <c r="EZ37" s="143"/>
      <c r="FA37" s="38"/>
      <c r="FB37" s="144"/>
      <c r="FC37" s="150"/>
      <c r="FD37" s="174"/>
      <c r="FE37" s="175"/>
      <c r="FF37" s="176"/>
      <c r="FG37" s="155"/>
      <c r="FH37" s="148"/>
      <c r="FI37" s="33"/>
      <c r="FJ37" s="155"/>
      <c r="FK37" s="148"/>
      <c r="FL37" s="33"/>
      <c r="FM37" s="39"/>
      <c r="FN37" s="143"/>
      <c r="FO37" s="38"/>
      <c r="FP37" s="144"/>
      <c r="FQ37" s="150"/>
      <c r="FR37" s="174"/>
      <c r="FS37" s="175"/>
      <c r="FT37" s="176"/>
      <c r="FU37" s="155"/>
      <c r="FV37" s="148"/>
      <c r="FW37" s="33"/>
      <c r="FX37" s="155"/>
      <c r="FY37" s="148"/>
      <c r="FZ37" s="33"/>
      <c r="GA37" s="39"/>
      <c r="GB37" s="143"/>
      <c r="GC37" s="38"/>
      <c r="GD37" s="144"/>
      <c r="GE37" s="150"/>
      <c r="GF37" s="174"/>
      <c r="GG37" s="175"/>
      <c r="GH37" s="176"/>
      <c r="GI37" s="155"/>
      <c r="GJ37" s="148"/>
      <c r="GK37" s="33"/>
      <c r="GL37" s="155"/>
      <c r="GM37" s="148"/>
      <c r="GN37" s="33"/>
      <c r="GO37" s="39"/>
      <c r="GP37" s="143"/>
      <c r="GQ37" s="38"/>
      <c r="GR37" s="144"/>
      <c r="GS37" s="150"/>
      <c r="GT37" s="174"/>
      <c r="GU37" s="175"/>
      <c r="GV37" s="176"/>
      <c r="GW37" s="155"/>
      <c r="GX37" s="148"/>
      <c r="GY37" s="33"/>
      <c r="GZ37" s="155"/>
      <c r="HA37" s="148"/>
      <c r="HB37" s="33"/>
      <c r="HC37" s="39"/>
      <c r="HD37" s="143"/>
      <c r="HE37" s="38"/>
      <c r="HF37" s="144"/>
      <c r="HG37" s="150"/>
      <c r="HH37" s="174"/>
      <c r="HI37" s="175"/>
      <c r="HJ37" s="176"/>
      <c r="HK37" s="155"/>
      <c r="HL37" s="148"/>
      <c r="HM37" s="33"/>
      <c r="HN37" s="155"/>
      <c r="HO37" s="148"/>
      <c r="HP37" s="33"/>
      <c r="HQ37" s="39"/>
      <c r="HR37" s="143"/>
      <c r="HS37" s="38"/>
      <c r="HT37" s="144"/>
      <c r="HU37" s="150"/>
      <c r="HV37" s="174"/>
      <c r="HW37" s="175"/>
      <c r="HX37" s="176"/>
      <c r="HY37" s="155"/>
      <c r="HZ37" s="148"/>
      <c r="IA37" s="33"/>
      <c r="IB37" s="155"/>
      <c r="IC37" s="148"/>
      <c r="ID37" s="33"/>
      <c r="IE37" s="39"/>
      <c r="IF37" s="143"/>
      <c r="IG37" s="38"/>
      <c r="IH37" s="144"/>
      <c r="II37" s="150"/>
      <c r="IJ37" s="174"/>
      <c r="IK37" s="175"/>
      <c r="IL37" s="176"/>
      <c r="IM37" s="155"/>
      <c r="IN37" s="148"/>
      <c r="IO37" s="33"/>
      <c r="IP37" s="155"/>
      <c r="IQ37" s="148"/>
      <c r="IR37" s="33"/>
      <c r="IS37" s="39"/>
      <c r="IT37" s="143"/>
      <c r="IU37" s="38"/>
      <c r="IV37" s="144"/>
      <c r="IW37" s="143" t="str">
        <f t="shared" si="24"/>
        <v>#REF!</v>
      </c>
      <c r="IX37" s="38"/>
      <c r="IY37" s="144" t="e">
        <v>#REF!</v>
      </c>
    </row>
    <row r="38" hidden="1" outlineLevel="1">
      <c r="A38" s="33"/>
      <c r="B38" s="143"/>
      <c r="C38" s="38" t="str">
        <f>IFERROR(__xludf.DUMMYFUNCTION("""COMPUTED_VALUE"""),"")</f>
        <v/>
      </c>
      <c r="D38" s="144">
        <v>46111.0</v>
      </c>
      <c r="E38" s="167"/>
      <c r="F38" s="168"/>
      <c r="G38" s="169"/>
      <c r="H38" s="170"/>
      <c r="I38" s="171" t="str">
        <f t="array" ref="I38">IFERROR(IF(C38="ac"+ISNUMBER(SEARCH("'",H38))+G38="","", MROUND(SWITCH(C38,"sq",'Personal Info'!$O$15,"bn",'Personal Info'!$S$15,"dl",'Personal Info'!$W$15,"")*IF(H38&gt;10, H38/100, VLOOKUP(H38, _rpe,SUBSTITUTE(G38,"+","")+1,0)), IF( SWITCH(C38:C210,"sq",'Personal Info'!$O$15,"bn",'Personal Info'!$S$15,"dl", 'Personal Info'!$W$15,"")&lt; IF(_uom="lbs", 175, 80), 1.25, IF(_uom="lbs",5,2.5)))),"")</f>
        <v/>
      </c>
      <c r="J38" s="148"/>
      <c r="K38" s="33"/>
      <c r="L38" s="171"/>
      <c r="M38" s="124" t="str">
        <f>IFERROR(__xludf.DUMMYFUNCTION("IF(I38=MAX(FILTER(I$10:I$199,LOOKUP(ROW(C$10:C$199),FILTER(ROW(C$10:C$199),C$10:C$199&lt;&gt;C$9:C$198))=LOOKUP(ROW(C38),FILTER(ROW(C$10:C$199),C$10:C$199&lt;&gt;C$9:C$198)))),J38,)"),"")</f>
        <v/>
      </c>
      <c r="N38" s="122"/>
      <c r="O38" s="38"/>
      <c r="P38" s="143" t="str">
        <f t="shared" si="12"/>
        <v/>
      </c>
      <c r="Q38" s="38" t="str">
        <f>IFERROR(__xludf.DUMMYFUNCTION("""COMPUTED_VALUE"""),"")</f>
        <v/>
      </c>
      <c r="R38" s="144">
        <v>46118.0</v>
      </c>
      <c r="S38" s="167" t="str">
        <f t="shared" si="13"/>
        <v/>
      </c>
      <c r="T38" s="168" t="str">
        <f t="shared" ref="T38:T39" si="154">IF(ISBLANK(F38),"",F38)</f>
        <v/>
      </c>
      <c r="U38" s="169" t="str">
        <f t="shared" ref="U38:U39" si="155">IF( OR(ISBLANK(G38),G38=""),"", G38)</f>
        <v/>
      </c>
      <c r="V38" s="172" t="str">
        <f t="shared" ref="V38:V39" si="156">IF(ISBLANK(H38),"",H38)</f>
        <v/>
      </c>
      <c r="W38" s="171" t="str">
        <f t="array" ref="W38">IFERROR(IF(Q38="ac"+ISNUMBER(SEARCH("'",V38))+U38="","", IF(ISNUMBER(SEARCH("lw",V38)), I38 + SUBSTITUTE(V38,"lw+",""), MROUND(SWITCH(Q38,"sq",U$7,"bn",V$7,"dl",W$7,"")*IF(V38&gt;10, V38/100, VLOOKUP(V38, _rpe,SUBSTITUTE(U38,"+","")+1,0)), IF( SWITCH(Q38,"sq",U$7,"bn",V$7,"dl", W$7,"")&lt; IF(_uom="lbs", 175, 80), 1.25, IF(_uom="lbs",5,2.5))))), "")</f>
        <v/>
      </c>
      <c r="X38" s="148"/>
      <c r="Y38" s="33"/>
      <c r="Z38" s="171"/>
      <c r="AA38" s="124" t="str">
        <f>IFERROR(__xludf.DUMMYFUNCTION("IF(W38=MAX(FILTER(W$10:W$199,LOOKUP(ROW(Q$10:Q$199),FILTER(ROW(Q$10:Q$199),Q$10:Q$199&lt;&gt;Q$9:Q$198))=LOOKUP(ROW(Q38),FILTER(ROW(Q$10:Q$199),Q$10:Q$199&lt;&gt;Q$9:Q$198)))),X38,)"),"")</f>
        <v/>
      </c>
      <c r="AB38" s="122"/>
      <c r="AC38" s="38"/>
      <c r="AD38" s="143" t="str">
        <f t="shared" si="14"/>
        <v/>
      </c>
      <c r="AE38" s="38" t="str">
        <f>IFERROR(__xludf.DUMMYFUNCTION("""COMPUTED_VALUE"""),"")</f>
        <v/>
      </c>
      <c r="AF38" s="144">
        <v>46125.0</v>
      </c>
      <c r="AG38" s="167" t="str">
        <f t="shared" si="54"/>
        <v/>
      </c>
      <c r="AH38" s="168" t="str">
        <f t="shared" si="151"/>
        <v/>
      </c>
      <c r="AI38" s="169" t="str">
        <f t="shared" si="131"/>
        <v/>
      </c>
      <c r="AJ38" s="172" t="str">
        <f t="shared" ref="AJ38:AJ44" si="157">IF(ISBLANK(V38),"",V38)</f>
        <v/>
      </c>
      <c r="AK38" s="171" t="str">
        <f t="array" ref="AK38">IFERROR(IF(AE38="ac"+ISNUMBER(SEARCH("'",AJ38))+AI38="","", IF(ISNUMBER(SEARCH("lw",AJ38)), W38 + SUBSTITUTE(AJ38,"lw+",""), MROUND(SWITCH(AE38,"sq",AI$7,"bn",AJ$7,"dl",AK$7,"")*IF(AJ38&gt;10, AJ38/100, VLOOKUP(AJ38, _rpe,SUBSTITUTE(AI38,"+","")+1,0)), IF( SWITCH(AE38,"sq",AI$7,"bn",AJ$7,"dl", AK$7,"")&lt; IF(_uom="lbs", 175, 80), 1.25, IF(_uom="lbs",5,2.5))))), "")</f>
        <v/>
      </c>
      <c r="AL38" s="148"/>
      <c r="AM38" s="33"/>
      <c r="AN38" s="171"/>
      <c r="AO38" s="124" t="str">
        <f>IFERROR(__xludf.DUMMYFUNCTION("IF(AK38=MAX(FILTER(AK$10:AK$199,LOOKUP(ROW(AE$10:AE$199),FILTER(ROW(AE$10:AE$199),AE$10:AE$199&lt;&gt;AE$9:AE$198))=LOOKUP(ROW(AE38),FILTER(ROW(AE$10:AE$199),AE$10:AE$199&lt;&gt;AE$9:AE$198)))),AL38,)"),"")</f>
        <v/>
      </c>
      <c r="AP38" s="122"/>
      <c r="AQ38" s="38"/>
      <c r="AR38" s="143" t="str">
        <f t="shared" si="16"/>
        <v/>
      </c>
      <c r="AS38" s="38" t="str">
        <f>IFERROR(__xludf.DUMMYFUNCTION("""COMPUTED_VALUE"""),"")</f>
        <v/>
      </c>
      <c r="AT38" s="144">
        <v>46132.0</v>
      </c>
      <c r="AU38" s="167" t="str">
        <f t="shared" si="26"/>
        <v/>
      </c>
      <c r="AV38" s="168" t="str">
        <f t="shared" si="152"/>
        <v/>
      </c>
      <c r="AW38" s="169" t="str">
        <f t="shared" si="120"/>
        <v/>
      </c>
      <c r="AX38" s="172" t="str">
        <f t="shared" ref="AX38:AX53" si="158">IF(ISBLANK(AJ38),"",AJ38)</f>
        <v/>
      </c>
      <c r="AY38" s="171" t="str">
        <f t="array" ref="AY38">IFERROR(IF(AS38="ac"+ISNUMBER(SEARCH("'",AX38))+AW38="","", IF(ISNUMBER(SEARCH("lw",AX38)), AK38 + SUBSTITUTE(AX38,"lw+",""), MROUND(SWITCH(AS38,"sq",AW$7,"bn",AX$7,"dl",AY$7,"")*IF(AX38&gt;10, AX38/100, VLOOKUP(AX38, _rpe,SUBSTITUTE(AW38,"+","")+1,0)), IF( SWITCH(AS38,"sq",AW$7,"bn",AX$7,"dl", AY$7,"")&lt; IF(_uom="lbs", 175, 80), 1.25, IF(_uom="lbs",5,2.5))))), "")</f>
        <v/>
      </c>
      <c r="AZ38" s="148"/>
      <c r="BA38" s="33"/>
      <c r="BB38" s="171"/>
      <c r="BC38" s="124" t="str">
        <f>IFERROR(__xludf.DUMMYFUNCTION("IF(AY38=MAX(FILTER(AY$10:AY$199,LOOKUP(ROW(AS$10:AS$199),FILTER(ROW(AS$10:AS$199),AS$10:AS$199&lt;&gt;AS$9:AS$198))=LOOKUP(ROW(AS38),FILTER(ROW(AS$10:AS$199),AS$10:AS$199&lt;&gt;AS$9:AS$198)))),AZ38,)"),"")</f>
        <v/>
      </c>
      <c r="BD38" s="122"/>
      <c r="BE38" s="38"/>
      <c r="BF38" s="143" t="str">
        <f t="shared" si="17"/>
        <v/>
      </c>
      <c r="BG38" s="38" t="str">
        <f>IFERROR(__xludf.DUMMYFUNCTION("""COMPUTED_VALUE"""),"")</f>
        <v/>
      </c>
      <c r="BH38" s="144">
        <v>46139.0</v>
      </c>
      <c r="BI38" s="167" t="str">
        <f t="shared" si="18"/>
        <v/>
      </c>
      <c r="BJ38" s="168" t="str">
        <f t="shared" ref="BJ38:BJ39" si="159">IF(ISBLANK(AV38),"",AV38)</f>
        <v/>
      </c>
      <c r="BK38" s="169" t="str">
        <f t="shared" ref="BK38:BK39" si="160">IF( OR(ISBLANK(AW38),AW38=""),"", AW38)</f>
        <v/>
      </c>
      <c r="BL38" s="172" t="str">
        <f t="shared" ref="BL38:BL39" si="161">IF(ISBLANK(AX38),"",AX38)</f>
        <v/>
      </c>
      <c r="BM38" s="171" t="str">
        <f t="array" ref="BM38">IFERROR(IF(BG38="ac"+ISNUMBER(SEARCH("'",BL38))+BK38="","", IF(ISNUMBER(SEARCH("lw",BL38)), AY38 + SUBSTITUTE(BL38,"lw+",""), MROUND(SWITCH(BG38,"sq",BK$7,"bn",BL$7,"dl",BM$7,"")*IF(BL38&gt;10, BL38/100, VLOOKUP(BL38, _rpe,SUBSTITUTE(BK38,"+","")+1,0)), IF( SWITCH(BG38,"sq",BK$7,"bn",BL$7,"dl", BM$7,"")&lt; IF(_uom="lbs", 175, 80), 1.25, IF(_uom="lbs",5,2.5))))), "")</f>
        <v/>
      </c>
      <c r="BN38" s="148"/>
      <c r="BO38" s="33"/>
      <c r="BP38" s="171"/>
      <c r="BQ38" s="124" t="str">
        <f>IFERROR(__xludf.DUMMYFUNCTION("IF(BM38=MAX(FILTER(BM$10:BM$199,LOOKUP(ROW(BG$10:BG$199),FILTER(ROW(BG$10:BG$199),BG$10:BG$199&lt;&gt;BG$9:BG$198))=LOOKUP(ROW(BG38),FILTER(ROW(BG$10:BG$199),BG$10:BG$199&lt;&gt;BG$9:BG$198)))),BN38,)"),"")</f>
        <v/>
      </c>
      <c r="BR38" s="122"/>
      <c r="BS38" s="38"/>
      <c r="BT38" s="143" t="str">
        <f t="shared" si="19"/>
        <v/>
      </c>
      <c r="BU38" s="38" t="str">
        <f>IFERROR(__xludf.DUMMYFUNCTION("""COMPUTED_VALUE"""),"")</f>
        <v/>
      </c>
      <c r="BV38" s="144">
        <v>46146.0</v>
      </c>
      <c r="BW38" s="167" t="str">
        <f t="shared" si="20"/>
        <v/>
      </c>
      <c r="BX38" s="168" t="str">
        <f t="shared" ref="BX38:BX39" si="162">IF(ISBLANK(BJ38),"",BJ38)</f>
        <v/>
      </c>
      <c r="BY38" s="169" t="str">
        <f t="shared" ref="BY38:BY39" si="163">IF( OR(ISBLANK(BK38),BK38=""),"", BK38)</f>
        <v/>
      </c>
      <c r="BZ38" s="172" t="str">
        <f t="shared" ref="BZ38:BZ39" si="164">IF(ISBLANK(BL38),"",BL38)</f>
        <v/>
      </c>
      <c r="CA38" s="171" t="str">
        <f t="array" ref="CA38">IFERROR(IF(BU38="ac"+ISNUMBER(SEARCH("'",BZ38))+BY38="","", IF(ISNUMBER(SEARCH("lw",BZ38)), BM38 + SUBSTITUTE(BZ38,"lw+",""), MROUND(SWITCH(BU38,"sq",BY$7,"bn",BZ$7,"dl",CA$7,"")*IF(BZ38&gt;10, BZ38/100, VLOOKUP(BZ38, _rpe,SUBSTITUTE(BY38,"+","")+1,0)), IF( SWITCH(BU38,"sq",BY$7,"bn",BZ$7,"dl", CA$7,"")&lt; IF(_uom="lbs", 175, 80), 1.25, IF(_uom="lbs",5,2.5))))), "")</f>
        <v/>
      </c>
      <c r="CB38" s="148"/>
      <c r="CC38" s="33"/>
      <c r="CD38" s="171"/>
      <c r="CE38" s="124" t="str">
        <f>IFERROR(__xludf.DUMMYFUNCTION("IF(CA38=MAX(FILTER(CA$10:CA$199,LOOKUP(ROW(BU$10:BU$199),FILTER(ROW(BU$10:BU$199),BU$10:BU$199&lt;&gt;BU$9:BU$198))=LOOKUP(ROW(BU38),FILTER(ROW(BU$10:BU$199),BU$10:BU$199&lt;&gt;BU$9:BU$198)))),CB38,)"),"")</f>
        <v/>
      </c>
      <c r="CF38" s="122"/>
      <c r="CG38" s="38"/>
      <c r="CH38" s="143" t="str">
        <f t="shared" si="21"/>
        <v/>
      </c>
      <c r="CI38" s="38" t="str">
        <f>IFERROR(__xludf.DUMMYFUNCTION("""COMPUTED_VALUE"""),"")</f>
        <v/>
      </c>
      <c r="CJ38" s="144">
        <v>46153.0</v>
      </c>
      <c r="CK38" s="167" t="str">
        <f t="shared" si="27"/>
        <v/>
      </c>
      <c r="CL38" s="168" t="str">
        <f t="shared" ref="CL38:CL39" si="165">IF(ISBLANK(BX38),"",BX38)</f>
        <v/>
      </c>
      <c r="CM38" s="169" t="str">
        <f t="shared" ref="CM38:CM39" si="166">IF( OR(ISBLANK(BY38),BY38=""),"", BY38)</f>
        <v/>
      </c>
      <c r="CN38" s="172" t="str">
        <f t="shared" ref="CN38:CN39" si="167">IF(ISBLANK(BZ38),"",BZ38)</f>
        <v/>
      </c>
      <c r="CO38" s="171" t="str">
        <f t="array" ref="CO38">IFERROR(IF(CI38="ac"+ISNUMBER(SEARCH("'",CN38))+CM38="","", IF(ISNUMBER(SEARCH("lw",CN38)), CA38 + SUBSTITUTE(CN38,"lw+",""), MROUND(SWITCH(CI38,"sq",CM$7,"bn",CN$7,"dl",CO$7,"")*IF(CN38&gt;10, CN38/100, VLOOKUP(CN38, _rpe,SUBSTITUTE(CM38,"+","")+1,0)), IF( SWITCH(CI38,"sq",CM$7,"bn",CN$7,"dl", CO$7,"")&lt; IF(_uom="lbs", 175, 80), 1.25, IF(_uom="lbs",5,2.5))))), "")</f>
        <v/>
      </c>
      <c r="CP38" s="148"/>
      <c r="CQ38" s="33"/>
      <c r="CR38" s="171"/>
      <c r="CS38" s="124" t="str">
        <f>IFERROR(__xludf.DUMMYFUNCTION("IF(CO38=MAX(FILTER(CO$10:CO$199,LOOKUP(ROW(CI$10:CI$199),FILTER(ROW(CI$10:CI$199),CI$10:CI$199&lt;&gt;CI$9:CI$198))=LOOKUP(ROW(CI38),FILTER(ROW(CI$10:CI$199),CI$10:CI$199&lt;&gt;CI$9:CI$198)))),CP38,)"),"")</f>
        <v/>
      </c>
      <c r="CT38" s="122"/>
      <c r="CU38" s="38"/>
      <c r="CV38" s="143" t="str">
        <f t="shared" si="22"/>
        <v/>
      </c>
      <c r="CW38" s="38" t="str">
        <f>IFERROR(__xludf.DUMMYFUNCTION("""COMPUTED_VALUE"""),"")</f>
        <v/>
      </c>
      <c r="CX38" s="144">
        <v>46160.0</v>
      </c>
      <c r="CY38" s="167" t="str">
        <f t="shared" si="28"/>
        <v/>
      </c>
      <c r="CZ38" s="168" t="str">
        <f t="shared" si="153"/>
        <v/>
      </c>
      <c r="DA38" s="169" t="str">
        <f t="shared" ref="DA38:DA39" si="168">IF( OR(ISBLANK(CM38),CM38=""),"", CM38)</f>
        <v/>
      </c>
      <c r="DB38" s="172" t="str">
        <f t="shared" ref="DB38:DB53" si="169">IF(ISBLANK(CN38),"",CN38)</f>
        <v/>
      </c>
      <c r="DC38" s="171" t="str">
        <f t="array" ref="DC38">IFERROR(IF(CW38="ac"+ISNUMBER(SEARCH("'",DB38))+DA38="","", IF(ISNUMBER(SEARCH("lw",DB38)), CO38 + SUBSTITUTE(DB38,"lw+",""), MROUND(SWITCH(CW38,"sq",DA$7,"bn",DB$7,"dl",DC$7,"")*IF(DB38&gt;10, DB38/100, VLOOKUP(DB38, _rpe,SUBSTITUTE(DA38,"+","")+1,0)), IF( SWITCH(CW38,"sq",DA$7,"bn",DB$7,"dl", DC$7,"")&lt; IF(_uom="lbs", 175, 80), 1.25, IF(_uom="lbs",5,2.5))))), "")</f>
        <v/>
      </c>
      <c r="DD38" s="148"/>
      <c r="DE38" s="33"/>
      <c r="DF38" s="171"/>
      <c r="DG38" s="124" t="str">
        <f>IFERROR(__xludf.DUMMYFUNCTION("IF(DC38=MAX(FILTER(DC$10:DC$199,LOOKUP(ROW(CW$10:CW$199),FILTER(ROW(CW$10:CW$199),CW$10:CW$199&lt;&gt;CW$9:CW$198))=LOOKUP(ROW(CW38),FILTER(ROW(CW$10:CW$199),CW$10:CW$199&lt;&gt;CW$9:CW$198)))),DD38,)"),"")</f>
        <v/>
      </c>
      <c r="DH38" s="122"/>
      <c r="DI38" s="38"/>
      <c r="DJ38" s="143" t="str">
        <f t="shared" si="23"/>
        <v/>
      </c>
      <c r="DK38" s="38" t="str">
        <f>IFERROR(__xludf.DUMMYFUNCTION("""COMPUTED_VALUE"""),"")</f>
        <v/>
      </c>
      <c r="DL38" s="144">
        <v>46167.0</v>
      </c>
      <c r="DM38" s="167"/>
      <c r="DN38" s="168"/>
      <c r="DO38" s="169"/>
      <c r="DP38" s="172"/>
      <c r="DQ38" s="171" t="str">
        <f t="array" ref="DQ38">IFERROR(IF(DK38="ac"+ISNUMBER(SEARCH("'",DP38))+DO38="","", IF(ISNUMBER(SEARCH("lw",DP38)), DC38 + SUBSTITUTE(DP38,"lw+",""), MROUND(SWITCH(DK38,"sq",DO$7,"bn",DP$7,"dl",DQ$7,"")*IF(DP38&gt;10, DP38/100, VLOOKUP(DP38, _rpe,SUBSTITUTE(DO38,"+","")+1,0)), IF( SWITCH(DK38,"sq",DO$7,"bn",DP$7,"dl", DQ$7,"")&lt; IF(_uom="lbs", 175, 80), 1.25, IF(_uom="lbs",5,2.5))))), "")</f>
        <v/>
      </c>
      <c r="DR38" s="148"/>
      <c r="DS38" s="33"/>
      <c r="DT38" s="171"/>
      <c r="DU38" s="124" t="str">
        <f>IFERROR(__xludf.DUMMYFUNCTION("IF(DQ38=MAX(FILTER(DQ$10:DQ$199,LOOKUP(ROW(DK$10:DK$199),FILTER(ROW(DK$10:DK$199),DK$10:DK$199&lt;&gt;DK$9:DK$198))=LOOKUP(ROW(DK38),FILTER(ROW(DK$10:DK$199),DK$10:DK$199&lt;&gt;DK$9:DK$198)))),DR38,)"),"")</f>
        <v/>
      </c>
      <c r="DV38" s="122"/>
      <c r="DW38" s="38"/>
      <c r="DX38" s="143"/>
      <c r="DY38" s="38"/>
      <c r="DZ38" s="144"/>
      <c r="EA38" s="150"/>
      <c r="EB38" s="174"/>
      <c r="EC38" s="175"/>
      <c r="ED38" s="176"/>
      <c r="EE38" s="155"/>
      <c r="EF38" s="148"/>
      <c r="EG38" s="33"/>
      <c r="EH38" s="155"/>
      <c r="EI38" s="148"/>
      <c r="EJ38" s="33"/>
      <c r="EK38" s="38"/>
      <c r="EL38" s="143"/>
      <c r="EM38" s="38"/>
      <c r="EN38" s="144"/>
      <c r="EO38" s="150"/>
      <c r="EP38" s="174"/>
      <c r="EQ38" s="175"/>
      <c r="ER38" s="176"/>
      <c r="ES38" s="155"/>
      <c r="ET38" s="148"/>
      <c r="EU38" s="33"/>
      <c r="EV38" s="155"/>
      <c r="EW38" s="148"/>
      <c r="EX38" s="33"/>
      <c r="EY38" s="38"/>
      <c r="EZ38" s="143"/>
      <c r="FA38" s="38"/>
      <c r="FB38" s="144"/>
      <c r="FC38" s="150"/>
      <c r="FD38" s="174"/>
      <c r="FE38" s="175"/>
      <c r="FF38" s="176"/>
      <c r="FG38" s="155"/>
      <c r="FH38" s="148"/>
      <c r="FI38" s="33"/>
      <c r="FJ38" s="155"/>
      <c r="FK38" s="148"/>
      <c r="FL38" s="33"/>
      <c r="FM38" s="38"/>
      <c r="FN38" s="143"/>
      <c r="FO38" s="38"/>
      <c r="FP38" s="144"/>
      <c r="FQ38" s="150"/>
      <c r="FR38" s="174"/>
      <c r="FS38" s="175"/>
      <c r="FT38" s="176"/>
      <c r="FU38" s="155"/>
      <c r="FV38" s="148"/>
      <c r="FW38" s="33"/>
      <c r="FX38" s="155"/>
      <c r="FY38" s="148"/>
      <c r="FZ38" s="33"/>
      <c r="GA38" s="38"/>
      <c r="GB38" s="143"/>
      <c r="GC38" s="38"/>
      <c r="GD38" s="144"/>
      <c r="GE38" s="150"/>
      <c r="GF38" s="174"/>
      <c r="GG38" s="175"/>
      <c r="GH38" s="176"/>
      <c r="GI38" s="155"/>
      <c r="GJ38" s="148"/>
      <c r="GK38" s="33"/>
      <c r="GL38" s="155"/>
      <c r="GM38" s="148"/>
      <c r="GN38" s="33"/>
      <c r="GO38" s="38"/>
      <c r="GP38" s="143"/>
      <c r="GQ38" s="38"/>
      <c r="GR38" s="144"/>
      <c r="GS38" s="150"/>
      <c r="GT38" s="174"/>
      <c r="GU38" s="175"/>
      <c r="GV38" s="176"/>
      <c r="GW38" s="155"/>
      <c r="GX38" s="148"/>
      <c r="GY38" s="33"/>
      <c r="GZ38" s="155"/>
      <c r="HA38" s="148"/>
      <c r="HB38" s="33"/>
      <c r="HC38" s="38"/>
      <c r="HD38" s="143"/>
      <c r="HE38" s="38"/>
      <c r="HF38" s="144"/>
      <c r="HG38" s="150"/>
      <c r="HH38" s="174"/>
      <c r="HI38" s="175"/>
      <c r="HJ38" s="176"/>
      <c r="HK38" s="155"/>
      <c r="HL38" s="148"/>
      <c r="HM38" s="33"/>
      <c r="HN38" s="155"/>
      <c r="HO38" s="148"/>
      <c r="HP38" s="33"/>
      <c r="HQ38" s="38"/>
      <c r="HR38" s="143"/>
      <c r="HS38" s="38"/>
      <c r="HT38" s="144"/>
      <c r="HU38" s="150"/>
      <c r="HV38" s="174"/>
      <c r="HW38" s="175"/>
      <c r="HX38" s="176"/>
      <c r="HY38" s="155"/>
      <c r="HZ38" s="148"/>
      <c r="IA38" s="33"/>
      <c r="IB38" s="155"/>
      <c r="IC38" s="148"/>
      <c r="ID38" s="33"/>
      <c r="IE38" s="38"/>
      <c r="IF38" s="143"/>
      <c r="IG38" s="38"/>
      <c r="IH38" s="144"/>
      <c r="II38" s="150"/>
      <c r="IJ38" s="174"/>
      <c r="IK38" s="175"/>
      <c r="IL38" s="176"/>
      <c r="IM38" s="155"/>
      <c r="IN38" s="148"/>
      <c r="IO38" s="33"/>
      <c r="IP38" s="155"/>
      <c r="IQ38" s="148"/>
      <c r="IR38" s="33"/>
      <c r="IS38" s="38"/>
      <c r="IT38" s="143"/>
      <c r="IU38" s="38"/>
      <c r="IV38" s="144"/>
      <c r="IW38" s="143" t="str">
        <f t="shared" si="24"/>
        <v>#REF!</v>
      </c>
      <c r="IX38" s="38"/>
      <c r="IY38" s="144" t="e">
        <v>#REF!</v>
      </c>
    </row>
    <row r="39" hidden="1" outlineLevel="1">
      <c r="A39" s="33"/>
      <c r="B39" s="143"/>
      <c r="C39" s="38" t="str">
        <f>IFERROR(__xludf.DUMMYFUNCTION("""COMPUTED_VALUE"""),"")</f>
        <v/>
      </c>
      <c r="D39" s="144">
        <v>46111.0</v>
      </c>
      <c r="E39" s="167"/>
      <c r="F39" s="168"/>
      <c r="G39" s="169"/>
      <c r="H39" s="170"/>
      <c r="I39" s="171" t="str">
        <f t="array" ref="I39">IFERROR(IF(C39="ac"+ISNUMBER(SEARCH("'",H39))+G39="","", MROUND(SWITCH(C39,"sq",'Personal Info'!$O$15,"bn",'Personal Info'!$S$15,"dl",'Personal Info'!$W$15,"")*IF(H39&gt;10, H39/100, VLOOKUP(H39, _rpe,SUBSTITUTE(G39,"+","")+1,0)), IF( SWITCH(C39:C210,"sq",'Personal Info'!$O$15,"bn",'Personal Info'!$S$15,"dl", 'Personal Info'!$W$15,"")&lt; IF(_uom="lbs", 175, 80), 1.25, IF(_uom="lbs",5,2.5)))),"")</f>
        <v/>
      </c>
      <c r="J39" s="148"/>
      <c r="K39" s="33"/>
      <c r="L39" s="171"/>
      <c r="M39" s="124" t="str">
        <f>IFERROR(__xludf.DUMMYFUNCTION("IF(I39=MAX(FILTER(I$10:I$199,LOOKUP(ROW(C$10:C$199),FILTER(ROW(C$10:C$199),C$10:C$199&lt;&gt;C$9:C$198))=LOOKUP(ROW(C39),FILTER(ROW(C$10:C$199),C$10:C$199&lt;&gt;C$9:C$198)))),J39,)"),"")</f>
        <v/>
      </c>
      <c r="N39" s="122"/>
      <c r="O39" s="38"/>
      <c r="P39" s="143" t="str">
        <f t="shared" si="12"/>
        <v/>
      </c>
      <c r="Q39" s="38" t="str">
        <f>IFERROR(__xludf.DUMMYFUNCTION("""COMPUTED_VALUE"""),"")</f>
        <v/>
      </c>
      <c r="R39" s="144">
        <v>46118.0</v>
      </c>
      <c r="S39" s="167" t="str">
        <f t="shared" si="13"/>
        <v/>
      </c>
      <c r="T39" s="168" t="str">
        <f t="shared" si="154"/>
        <v/>
      </c>
      <c r="U39" s="169" t="str">
        <f t="shared" si="155"/>
        <v/>
      </c>
      <c r="V39" s="172" t="str">
        <f t="shared" si="156"/>
        <v/>
      </c>
      <c r="W39" s="171" t="str">
        <f t="array" ref="W39">IFERROR(IF(Q39="ac"+ISNUMBER(SEARCH("'",V39))+U39="","", IF(ISNUMBER(SEARCH("lw",V39)), I39 + SUBSTITUTE(V39,"lw+",""), MROUND(SWITCH(Q39,"sq",U$7,"bn",V$7,"dl",W$7,"")*IF(V39&gt;10, V39/100, VLOOKUP(V39, _rpe,SUBSTITUTE(U39,"+","")+1,0)), IF( SWITCH(Q39,"sq",U$7,"bn",V$7,"dl", W$7,"")&lt; IF(_uom="lbs", 175, 80), 1.25, IF(_uom="lbs",5,2.5))))), "")</f>
        <v/>
      </c>
      <c r="X39" s="148"/>
      <c r="Y39" s="33"/>
      <c r="Z39" s="171"/>
      <c r="AA39" s="124" t="str">
        <f>IFERROR(__xludf.DUMMYFUNCTION("IF(W39=MAX(FILTER(W$10:W$199,LOOKUP(ROW(Q$10:Q$199),FILTER(ROW(Q$10:Q$199),Q$10:Q$199&lt;&gt;Q$9:Q$198))=LOOKUP(ROW(Q39),FILTER(ROW(Q$10:Q$199),Q$10:Q$199&lt;&gt;Q$9:Q$198)))),X39,)"),"")</f>
        <v/>
      </c>
      <c r="AB39" s="122"/>
      <c r="AC39" s="38"/>
      <c r="AD39" s="143" t="str">
        <f t="shared" si="14"/>
        <v/>
      </c>
      <c r="AE39" s="38" t="str">
        <f>IFERROR(__xludf.DUMMYFUNCTION("""COMPUTED_VALUE"""),"")</f>
        <v/>
      </c>
      <c r="AF39" s="144">
        <v>46125.0</v>
      </c>
      <c r="AG39" s="167" t="str">
        <f t="shared" si="54"/>
        <v/>
      </c>
      <c r="AH39" s="168" t="str">
        <f t="shared" si="151"/>
        <v/>
      </c>
      <c r="AI39" s="169" t="str">
        <f t="shared" si="131"/>
        <v/>
      </c>
      <c r="AJ39" s="172" t="str">
        <f t="shared" si="157"/>
        <v/>
      </c>
      <c r="AK39" s="171" t="str">
        <f t="array" ref="AK39">IFERROR(IF(AE39="ac"+ISNUMBER(SEARCH("'",AJ39))+AI39="","", IF(ISNUMBER(SEARCH("lw",AJ39)), W39 + SUBSTITUTE(AJ39,"lw+",""), MROUND(SWITCH(AE39,"sq",AI$7,"bn",AJ$7,"dl",AK$7,"")*IF(AJ39&gt;10, AJ39/100, VLOOKUP(AJ39, _rpe,SUBSTITUTE(AI39,"+","")+1,0)), IF( SWITCH(AE39,"sq",AI$7,"bn",AJ$7,"dl", AK$7,"")&lt; IF(_uom="lbs", 175, 80), 1.25, IF(_uom="lbs",5,2.5))))), "")</f>
        <v/>
      </c>
      <c r="AL39" s="148"/>
      <c r="AM39" s="33"/>
      <c r="AN39" s="171"/>
      <c r="AO39" s="124" t="str">
        <f>IFERROR(__xludf.DUMMYFUNCTION("IF(AK39=MAX(FILTER(AK$10:AK$199,LOOKUP(ROW(AE$10:AE$199),FILTER(ROW(AE$10:AE$199),AE$10:AE$199&lt;&gt;AE$9:AE$198))=LOOKUP(ROW(AE39),FILTER(ROW(AE$10:AE$199),AE$10:AE$199&lt;&gt;AE$9:AE$198)))),AL39,)"),"")</f>
        <v/>
      </c>
      <c r="AP39" s="122"/>
      <c r="AQ39" s="38"/>
      <c r="AR39" s="143" t="str">
        <f t="shared" si="16"/>
        <v/>
      </c>
      <c r="AS39" s="38" t="str">
        <f>IFERROR(__xludf.DUMMYFUNCTION("""COMPUTED_VALUE"""),"")</f>
        <v/>
      </c>
      <c r="AT39" s="144">
        <v>46132.0</v>
      </c>
      <c r="AU39" s="167" t="str">
        <f t="shared" si="26"/>
        <v/>
      </c>
      <c r="AV39" s="168" t="str">
        <f t="shared" si="152"/>
        <v/>
      </c>
      <c r="AW39" s="169" t="str">
        <f t="shared" si="120"/>
        <v/>
      </c>
      <c r="AX39" s="172" t="str">
        <f t="shared" si="158"/>
        <v/>
      </c>
      <c r="AY39" s="171" t="str">
        <f t="array" ref="AY39">IFERROR(IF(AS39="ac"+ISNUMBER(SEARCH("'",AX39))+AW39="","", IF(ISNUMBER(SEARCH("lw",AX39)), AK39 + SUBSTITUTE(AX39,"lw+",""), MROUND(SWITCH(AS39,"sq",AW$7,"bn",AX$7,"dl",AY$7,"")*IF(AX39&gt;10, AX39/100, VLOOKUP(AX39, _rpe,SUBSTITUTE(AW39,"+","")+1,0)), IF( SWITCH(AS39,"sq",AW$7,"bn",AX$7,"dl", AY$7,"")&lt; IF(_uom="lbs", 175, 80), 1.25, IF(_uom="lbs",5,2.5))))), "")</f>
        <v/>
      </c>
      <c r="AZ39" s="148"/>
      <c r="BA39" s="33"/>
      <c r="BB39" s="171"/>
      <c r="BC39" s="124" t="str">
        <f>IFERROR(__xludf.DUMMYFUNCTION("IF(AY39=MAX(FILTER(AY$10:AY$199,LOOKUP(ROW(AS$10:AS$199),FILTER(ROW(AS$10:AS$199),AS$10:AS$199&lt;&gt;AS$9:AS$198))=LOOKUP(ROW(AS39),FILTER(ROW(AS$10:AS$199),AS$10:AS$199&lt;&gt;AS$9:AS$198)))),AZ39,)"),"")</f>
        <v/>
      </c>
      <c r="BD39" s="122"/>
      <c r="BE39" s="38"/>
      <c r="BF39" s="143" t="str">
        <f t="shared" si="17"/>
        <v/>
      </c>
      <c r="BG39" s="38" t="str">
        <f>IFERROR(__xludf.DUMMYFUNCTION("""COMPUTED_VALUE"""),"")</f>
        <v/>
      </c>
      <c r="BH39" s="144">
        <v>46139.0</v>
      </c>
      <c r="BI39" s="167" t="str">
        <f t="shared" si="18"/>
        <v/>
      </c>
      <c r="BJ39" s="168" t="str">
        <f t="shared" si="159"/>
        <v/>
      </c>
      <c r="BK39" s="169" t="str">
        <f t="shared" si="160"/>
        <v/>
      </c>
      <c r="BL39" s="172" t="str">
        <f t="shared" si="161"/>
        <v/>
      </c>
      <c r="BM39" s="171" t="str">
        <f t="array" ref="BM39">IFERROR(IF(BG39="ac"+ISNUMBER(SEARCH("'",BL39))+BK39="","", IF(ISNUMBER(SEARCH("lw",BL39)), AY39 + SUBSTITUTE(BL39,"lw+",""), MROUND(SWITCH(BG39,"sq",BK$7,"bn",BL$7,"dl",BM$7,"")*IF(BL39&gt;10, BL39/100, VLOOKUP(BL39, _rpe,SUBSTITUTE(BK39,"+","")+1,0)), IF( SWITCH(BG39,"sq",BK$7,"bn",BL$7,"dl", BM$7,"")&lt; IF(_uom="lbs", 175, 80), 1.25, IF(_uom="lbs",5,2.5))))), "")</f>
        <v/>
      </c>
      <c r="BN39" s="148"/>
      <c r="BO39" s="33"/>
      <c r="BP39" s="171"/>
      <c r="BQ39" s="124" t="str">
        <f>IFERROR(__xludf.DUMMYFUNCTION("IF(BM39=MAX(FILTER(BM$10:BM$199,LOOKUP(ROW(BG$10:BG$199),FILTER(ROW(BG$10:BG$199),BG$10:BG$199&lt;&gt;BG$9:BG$198))=LOOKUP(ROW(BG39),FILTER(ROW(BG$10:BG$199),BG$10:BG$199&lt;&gt;BG$9:BG$198)))),BN39,)"),"")</f>
        <v/>
      </c>
      <c r="BR39" s="122"/>
      <c r="BS39" s="38"/>
      <c r="BT39" s="143" t="str">
        <f t="shared" si="19"/>
        <v/>
      </c>
      <c r="BU39" s="38" t="str">
        <f>IFERROR(__xludf.DUMMYFUNCTION("""COMPUTED_VALUE"""),"")</f>
        <v/>
      </c>
      <c r="BV39" s="144">
        <v>46146.0</v>
      </c>
      <c r="BW39" s="167" t="str">
        <f t="shared" si="20"/>
        <v/>
      </c>
      <c r="BX39" s="168" t="str">
        <f t="shared" si="162"/>
        <v/>
      </c>
      <c r="BY39" s="169" t="str">
        <f t="shared" si="163"/>
        <v/>
      </c>
      <c r="BZ39" s="172" t="str">
        <f t="shared" si="164"/>
        <v/>
      </c>
      <c r="CA39" s="171" t="str">
        <f t="array" ref="CA39">IFERROR(IF(BU39="ac"+ISNUMBER(SEARCH("'",BZ39))+BY39="","", IF(ISNUMBER(SEARCH("lw",BZ39)), BM39 + SUBSTITUTE(BZ39,"lw+",""), MROUND(SWITCH(BU39,"sq",BY$7,"bn",BZ$7,"dl",CA$7,"")*IF(BZ39&gt;10, BZ39/100, VLOOKUP(BZ39, _rpe,SUBSTITUTE(BY39,"+","")+1,0)), IF( SWITCH(BU39,"sq",BY$7,"bn",BZ$7,"dl", CA$7,"")&lt; IF(_uom="lbs", 175, 80), 1.25, IF(_uom="lbs",5,2.5))))), "")</f>
        <v/>
      </c>
      <c r="CB39" s="148"/>
      <c r="CC39" s="33"/>
      <c r="CD39" s="171"/>
      <c r="CE39" s="124" t="str">
        <f>IFERROR(__xludf.DUMMYFUNCTION("IF(CA39=MAX(FILTER(CA$10:CA$199,LOOKUP(ROW(BU$10:BU$199),FILTER(ROW(BU$10:BU$199),BU$10:BU$199&lt;&gt;BU$9:BU$198))=LOOKUP(ROW(BU39),FILTER(ROW(BU$10:BU$199),BU$10:BU$199&lt;&gt;BU$9:BU$198)))),CB39,)"),"")</f>
        <v/>
      </c>
      <c r="CF39" s="122"/>
      <c r="CG39" s="38"/>
      <c r="CH39" s="143" t="str">
        <f t="shared" si="21"/>
        <v/>
      </c>
      <c r="CI39" s="38" t="str">
        <f>IFERROR(__xludf.DUMMYFUNCTION("""COMPUTED_VALUE"""),"")</f>
        <v/>
      </c>
      <c r="CJ39" s="144">
        <v>46153.0</v>
      </c>
      <c r="CK39" s="167" t="str">
        <f t="shared" si="27"/>
        <v/>
      </c>
      <c r="CL39" s="168" t="str">
        <f t="shared" si="165"/>
        <v/>
      </c>
      <c r="CM39" s="169" t="str">
        <f t="shared" si="166"/>
        <v/>
      </c>
      <c r="CN39" s="172" t="str">
        <f t="shared" si="167"/>
        <v/>
      </c>
      <c r="CO39" s="171" t="str">
        <f t="array" ref="CO39">IFERROR(IF(CI39="ac"+ISNUMBER(SEARCH("'",CN39))+CM39="","", IF(ISNUMBER(SEARCH("lw",CN39)), CA39 + SUBSTITUTE(CN39,"lw+",""), MROUND(SWITCH(CI39,"sq",CM$7,"bn",CN$7,"dl",CO$7,"")*IF(CN39&gt;10, CN39/100, VLOOKUP(CN39, _rpe,SUBSTITUTE(CM39,"+","")+1,0)), IF( SWITCH(CI39,"sq",CM$7,"bn",CN$7,"dl", CO$7,"")&lt; IF(_uom="lbs", 175, 80), 1.25, IF(_uom="lbs",5,2.5))))), "")</f>
        <v/>
      </c>
      <c r="CP39" s="148"/>
      <c r="CQ39" s="33"/>
      <c r="CR39" s="171"/>
      <c r="CS39" s="124" t="str">
        <f>IFERROR(__xludf.DUMMYFUNCTION("IF(CO39=MAX(FILTER(CO$10:CO$199,LOOKUP(ROW(CI$10:CI$199),FILTER(ROW(CI$10:CI$199),CI$10:CI$199&lt;&gt;CI$9:CI$198))=LOOKUP(ROW(CI39),FILTER(ROW(CI$10:CI$199),CI$10:CI$199&lt;&gt;CI$9:CI$198)))),CP39,)"),"")</f>
        <v/>
      </c>
      <c r="CT39" s="122"/>
      <c r="CU39" s="38"/>
      <c r="CV39" s="143" t="str">
        <f t="shared" si="22"/>
        <v/>
      </c>
      <c r="CW39" s="38" t="str">
        <f>IFERROR(__xludf.DUMMYFUNCTION("""COMPUTED_VALUE"""),"")</f>
        <v/>
      </c>
      <c r="CX39" s="144">
        <v>46160.0</v>
      </c>
      <c r="CY39" s="167" t="str">
        <f t="shared" si="28"/>
        <v/>
      </c>
      <c r="CZ39" s="168" t="str">
        <f t="shared" si="153"/>
        <v/>
      </c>
      <c r="DA39" s="169" t="str">
        <f t="shared" si="168"/>
        <v/>
      </c>
      <c r="DB39" s="172" t="str">
        <f t="shared" si="169"/>
        <v/>
      </c>
      <c r="DC39" s="171" t="str">
        <f t="array" ref="DC39">IFERROR(IF(CW39="ac"+ISNUMBER(SEARCH("'",DB39))+DA39="","", IF(ISNUMBER(SEARCH("lw",DB39)), CO39 + SUBSTITUTE(DB39,"lw+",""), MROUND(SWITCH(CW39,"sq",DA$7,"bn",DB$7,"dl",DC$7,"")*IF(DB39&gt;10, DB39/100, VLOOKUP(DB39, _rpe,SUBSTITUTE(DA39,"+","")+1,0)), IF( SWITCH(CW39,"sq",DA$7,"bn",DB$7,"dl", DC$7,"")&lt; IF(_uom="lbs", 175, 80), 1.25, IF(_uom="lbs",5,2.5))))), "")</f>
        <v/>
      </c>
      <c r="DD39" s="148"/>
      <c r="DE39" s="33"/>
      <c r="DF39" s="171"/>
      <c r="DG39" s="124" t="str">
        <f>IFERROR(__xludf.DUMMYFUNCTION("IF(DC39=MAX(FILTER(DC$10:DC$199,LOOKUP(ROW(CW$10:CW$199),FILTER(ROW(CW$10:CW$199),CW$10:CW$199&lt;&gt;CW$9:CW$198))=LOOKUP(ROW(CW39),FILTER(ROW(CW$10:CW$199),CW$10:CW$199&lt;&gt;CW$9:CW$198)))),DD39,)"),"")</f>
        <v/>
      </c>
      <c r="DH39" s="122"/>
      <c r="DI39" s="38"/>
      <c r="DJ39" s="143" t="str">
        <f t="shared" si="23"/>
        <v/>
      </c>
      <c r="DK39" s="38" t="str">
        <f>IFERROR(__xludf.DUMMYFUNCTION("""COMPUTED_VALUE"""),"")</f>
        <v/>
      </c>
      <c r="DL39" s="144">
        <v>46167.0</v>
      </c>
      <c r="DM39" s="167"/>
      <c r="DN39" s="168"/>
      <c r="DO39" s="169"/>
      <c r="DP39" s="172"/>
      <c r="DQ39" s="171" t="str">
        <f t="array" ref="DQ39">IFERROR(IF(DK39="ac"+ISNUMBER(SEARCH("'",DP39))+DO39="","", IF(ISNUMBER(SEARCH("lw",DP39)), DC39 + SUBSTITUTE(DP39,"lw+",""), MROUND(SWITCH(DK39,"sq",DO$7,"bn",DP$7,"dl",DQ$7,"")*IF(DP39&gt;10, DP39/100, VLOOKUP(DP39, _rpe,SUBSTITUTE(DO39,"+","")+1,0)), IF( SWITCH(DK39,"sq",DO$7,"bn",DP$7,"dl", DQ$7,"")&lt; IF(_uom="lbs", 175, 80), 1.25, IF(_uom="lbs",5,2.5))))), "")</f>
        <v/>
      </c>
      <c r="DR39" s="148"/>
      <c r="DS39" s="33"/>
      <c r="DT39" s="171"/>
      <c r="DU39" s="124" t="str">
        <f>IFERROR(__xludf.DUMMYFUNCTION("IF(DQ39=MAX(FILTER(DQ$10:DQ$199,LOOKUP(ROW(DK$10:DK$199),FILTER(ROW(DK$10:DK$199),DK$10:DK$199&lt;&gt;DK$9:DK$198))=LOOKUP(ROW(DK39),FILTER(ROW(DK$10:DK$199),DK$10:DK$199&lt;&gt;DK$9:DK$198)))),DR39,)"),"")</f>
        <v/>
      </c>
      <c r="DV39" s="122"/>
      <c r="DW39" s="38"/>
      <c r="DX39" s="143"/>
      <c r="DY39" s="38"/>
      <c r="DZ39" s="144"/>
      <c r="EA39" s="150"/>
      <c r="EB39" s="174"/>
      <c r="EC39" s="175"/>
      <c r="ED39" s="176"/>
      <c r="EE39" s="155"/>
      <c r="EF39" s="148"/>
      <c r="EG39" s="33"/>
      <c r="EH39" s="155"/>
      <c r="EI39" s="148"/>
      <c r="EJ39" s="33"/>
      <c r="EK39" s="38"/>
      <c r="EL39" s="143"/>
      <c r="EM39" s="38"/>
      <c r="EN39" s="144"/>
      <c r="EO39" s="150"/>
      <c r="EP39" s="174"/>
      <c r="EQ39" s="175"/>
      <c r="ER39" s="176"/>
      <c r="ES39" s="155"/>
      <c r="ET39" s="148"/>
      <c r="EU39" s="33"/>
      <c r="EV39" s="155"/>
      <c r="EW39" s="148"/>
      <c r="EX39" s="33"/>
      <c r="EY39" s="38"/>
      <c r="EZ39" s="143"/>
      <c r="FA39" s="38"/>
      <c r="FB39" s="144"/>
      <c r="FC39" s="150"/>
      <c r="FD39" s="174"/>
      <c r="FE39" s="175"/>
      <c r="FF39" s="176"/>
      <c r="FG39" s="155"/>
      <c r="FH39" s="148"/>
      <c r="FI39" s="33"/>
      <c r="FJ39" s="155"/>
      <c r="FK39" s="148"/>
      <c r="FL39" s="33"/>
      <c r="FM39" s="38"/>
      <c r="FN39" s="143"/>
      <c r="FO39" s="38"/>
      <c r="FP39" s="144"/>
      <c r="FQ39" s="150"/>
      <c r="FR39" s="174"/>
      <c r="FS39" s="175"/>
      <c r="FT39" s="176"/>
      <c r="FU39" s="155"/>
      <c r="FV39" s="148"/>
      <c r="FW39" s="33"/>
      <c r="FX39" s="155"/>
      <c r="FY39" s="148"/>
      <c r="FZ39" s="33"/>
      <c r="GA39" s="38"/>
      <c r="GB39" s="143"/>
      <c r="GC39" s="38"/>
      <c r="GD39" s="144"/>
      <c r="GE39" s="150"/>
      <c r="GF39" s="174"/>
      <c r="GG39" s="175"/>
      <c r="GH39" s="176"/>
      <c r="GI39" s="155"/>
      <c r="GJ39" s="148"/>
      <c r="GK39" s="33"/>
      <c r="GL39" s="155"/>
      <c r="GM39" s="148"/>
      <c r="GN39" s="33"/>
      <c r="GO39" s="38"/>
      <c r="GP39" s="143"/>
      <c r="GQ39" s="38"/>
      <c r="GR39" s="144"/>
      <c r="GS39" s="150"/>
      <c r="GT39" s="174"/>
      <c r="GU39" s="175"/>
      <c r="GV39" s="176"/>
      <c r="GW39" s="155"/>
      <c r="GX39" s="148"/>
      <c r="GY39" s="33"/>
      <c r="GZ39" s="155"/>
      <c r="HA39" s="148"/>
      <c r="HB39" s="33"/>
      <c r="HC39" s="38"/>
      <c r="HD39" s="143"/>
      <c r="HE39" s="38"/>
      <c r="HF39" s="144"/>
      <c r="HG39" s="150"/>
      <c r="HH39" s="174"/>
      <c r="HI39" s="175"/>
      <c r="HJ39" s="176"/>
      <c r="HK39" s="155"/>
      <c r="HL39" s="148"/>
      <c r="HM39" s="33"/>
      <c r="HN39" s="155"/>
      <c r="HO39" s="148"/>
      <c r="HP39" s="33"/>
      <c r="HQ39" s="38"/>
      <c r="HR39" s="143"/>
      <c r="HS39" s="38"/>
      <c r="HT39" s="144"/>
      <c r="HU39" s="150"/>
      <c r="HV39" s="174"/>
      <c r="HW39" s="175"/>
      <c r="HX39" s="176"/>
      <c r="HY39" s="155"/>
      <c r="HZ39" s="148"/>
      <c r="IA39" s="33"/>
      <c r="IB39" s="155"/>
      <c r="IC39" s="148"/>
      <c r="ID39" s="33"/>
      <c r="IE39" s="38"/>
      <c r="IF39" s="143"/>
      <c r="IG39" s="38"/>
      <c r="IH39" s="144"/>
      <c r="II39" s="150"/>
      <c r="IJ39" s="174"/>
      <c r="IK39" s="175"/>
      <c r="IL39" s="176"/>
      <c r="IM39" s="155"/>
      <c r="IN39" s="148"/>
      <c r="IO39" s="33"/>
      <c r="IP39" s="155"/>
      <c r="IQ39" s="148"/>
      <c r="IR39" s="33"/>
      <c r="IS39" s="38"/>
      <c r="IT39" s="143"/>
      <c r="IU39" s="38"/>
      <c r="IV39" s="144"/>
      <c r="IW39" s="143" t="str">
        <f t="shared" si="24"/>
        <v>#REF!</v>
      </c>
      <c r="IX39" s="38"/>
      <c r="IY39" s="144" t="e">
        <v>#REF!</v>
      </c>
    </row>
    <row r="40" collapsed="1">
      <c r="A40" s="33"/>
      <c r="B40" s="143" t="s">
        <v>314</v>
      </c>
      <c r="C40" s="38" t="str">
        <f>IFERROR(__xludf.DUMMYFUNCTION("""COMPUTED_VALUE"""),"ac")</f>
        <v>ac</v>
      </c>
      <c r="D40" s="144">
        <v>46111.0</v>
      </c>
      <c r="E40" s="167" t="s">
        <v>323</v>
      </c>
      <c r="F40" s="168">
        <v>3.0</v>
      </c>
      <c r="G40" s="179" t="s">
        <v>324</v>
      </c>
      <c r="H40" s="173" t="s">
        <v>307</v>
      </c>
      <c r="I40" s="171" t="str">
        <f t="array" ref="I40">IFERROR(IF(C40="ac"+ISNUMBER(SEARCH("'",H40))+G40="","", MROUND(SWITCH(C40,"sq",'Personal Info'!$O$15,"bn",'Personal Info'!$S$15,"dl",'Personal Info'!$W$15,"")*IF(H40&gt;10, H40/100, VLOOKUP(H40, _rpe,SUBSTITUTE(G40,"+","")+1,0)), IF( SWITCH(C40:C210,"sq",'Personal Info'!$O$15,"bn",'Personal Info'!$S$15,"dl", 'Personal Info'!$W$15,"")&lt; IF(_uom="lbs", 175, 80), 1.25, IF(_uom="lbs",5,2.5)))),"")</f>
        <v/>
      </c>
      <c r="J40" s="148"/>
      <c r="K40" s="33"/>
      <c r="L40" s="171"/>
      <c r="M40" s="124" t="str">
        <f>IFERROR(__xludf.DUMMYFUNCTION("IF(I40=MAX(FILTER(I$10:I$199,LOOKUP(ROW(C$10:C$199),FILTER(ROW(C$10:C$199),C$10:C$199&lt;&gt;C$9:C$198))=LOOKUP(ROW(C40),FILTER(ROW(C$10:C$199),C$10:C$199&lt;&gt;C$9:C$198)))),J40,)"),"")</f>
        <v/>
      </c>
      <c r="N40" s="122"/>
      <c r="O40" s="38"/>
      <c r="P40" s="143" t="str">
        <f t="shared" si="12"/>
        <v>lats - h</v>
      </c>
      <c r="Q40" s="38" t="str">
        <f>IFERROR(__xludf.DUMMYFUNCTION("""COMPUTED_VALUE"""),"ac")</f>
        <v>ac</v>
      </c>
      <c r="R40" s="144">
        <v>46118.0</v>
      </c>
      <c r="S40" s="167" t="str">
        <f t="shared" si="13"/>
        <v>Pendlay Row</v>
      </c>
      <c r="T40" s="168">
        <f>IF(OR(gen="SELECT",gen="MALE"), 3, 4)</f>
        <v>3</v>
      </c>
      <c r="U40" s="179" t="s">
        <v>324</v>
      </c>
      <c r="V40" s="173" t="s">
        <v>307</v>
      </c>
      <c r="W40" s="171" t="str">
        <f t="array" ref="W40">IFERROR(IF(Q40="ac"+ISNUMBER(SEARCH("'",V40))+U40="","", IF(ISNUMBER(SEARCH("lw",V40)), I40 + SUBSTITUTE(V40,"lw+",""), MROUND(SWITCH(Q40,"sq",U$7,"bn",V$7,"dl",W$7,"")*IF(V40&gt;10, V40/100, VLOOKUP(V40, _rpe,SUBSTITUTE(U40,"+","")+1,0)), IF( SWITCH(Q40,"sq",U$7,"bn",V$7,"dl", W$7,"")&lt; IF(_uom="lbs", 175, 80), 1.25, IF(_uom="lbs",5,2.5))))), "")</f>
        <v/>
      </c>
      <c r="X40" s="148"/>
      <c r="Y40" s="33"/>
      <c r="Z40" s="171"/>
      <c r="AA40" s="124" t="str">
        <f>IFERROR(__xludf.DUMMYFUNCTION("IF(W40=MAX(FILTER(W$10:W$199,LOOKUP(ROW(Q$10:Q$199),FILTER(ROW(Q$10:Q$199),Q$10:Q$199&lt;&gt;Q$9:Q$198))=LOOKUP(ROW(Q40),FILTER(ROW(Q$10:Q$199),Q$10:Q$199&lt;&gt;Q$9:Q$198)))),X40,)"),"")</f>
        <v/>
      </c>
      <c r="AB40" s="122"/>
      <c r="AC40" s="38"/>
      <c r="AD40" s="143" t="str">
        <f t="shared" si="14"/>
        <v>lats - h</v>
      </c>
      <c r="AE40" s="38" t="str">
        <f>IFERROR(__xludf.DUMMYFUNCTION("""COMPUTED_VALUE"""),"ac")</f>
        <v>ac</v>
      </c>
      <c r="AF40" s="144">
        <v>46125.0</v>
      </c>
      <c r="AG40" s="167" t="str">
        <f t="shared" si="54"/>
        <v>Pendlay Row</v>
      </c>
      <c r="AH40" s="168">
        <f t="shared" si="151"/>
        <v>3</v>
      </c>
      <c r="AI40" s="179" t="s">
        <v>324</v>
      </c>
      <c r="AJ40" s="172" t="str">
        <f t="shared" si="157"/>
        <v>@7.5</v>
      </c>
      <c r="AK40" s="171" t="str">
        <f t="array" ref="AK40">IFERROR(IF(AE40="ac"+ISNUMBER(SEARCH("'",AJ40))+AI40="","", IF(ISNUMBER(SEARCH("lw",AJ40)), W40 + SUBSTITUTE(AJ40,"lw+",""), MROUND(SWITCH(AE40,"sq",AI$7,"bn",AJ$7,"dl",AK$7,"")*IF(AJ40&gt;10, AJ40/100, VLOOKUP(AJ40, _rpe,SUBSTITUTE(AI40,"+","")+1,0)), IF( SWITCH(AE40,"sq",AI$7,"bn",AJ$7,"dl", AK$7,"")&lt; IF(_uom="lbs", 175, 80), 1.25, IF(_uom="lbs",5,2.5))))), "")</f>
        <v/>
      </c>
      <c r="AL40" s="148"/>
      <c r="AM40" s="33"/>
      <c r="AN40" s="171"/>
      <c r="AO40" s="124" t="str">
        <f>IFERROR(__xludf.DUMMYFUNCTION("IF(AK40=MAX(FILTER(AK$10:AK$199,LOOKUP(ROW(AE$10:AE$199),FILTER(ROW(AE$10:AE$199),AE$10:AE$199&lt;&gt;AE$9:AE$198))=LOOKUP(ROW(AE40),FILTER(ROW(AE$10:AE$199),AE$10:AE$199&lt;&gt;AE$9:AE$198)))),AL40,)"),"")</f>
        <v/>
      </c>
      <c r="AP40" s="122"/>
      <c r="AQ40" s="38"/>
      <c r="AR40" s="143" t="str">
        <f t="shared" si="16"/>
        <v>lats - h</v>
      </c>
      <c r="AS40" s="38" t="str">
        <f>IFERROR(__xludf.DUMMYFUNCTION("""COMPUTED_VALUE"""),"ac")</f>
        <v>ac</v>
      </c>
      <c r="AT40" s="144">
        <v>46132.0</v>
      </c>
      <c r="AU40" s="167" t="str">
        <f t="shared" si="26"/>
        <v>Pendlay Row</v>
      </c>
      <c r="AV40" s="168">
        <f t="shared" si="152"/>
        <v>3</v>
      </c>
      <c r="AW40" s="179" t="s">
        <v>324</v>
      </c>
      <c r="AX40" s="172" t="str">
        <f t="shared" si="158"/>
        <v>@7.5</v>
      </c>
      <c r="AY40" s="171" t="str">
        <f t="array" ref="AY40">IFERROR(IF(AS40="ac"+ISNUMBER(SEARCH("'",AX40))+AW40="","", IF(ISNUMBER(SEARCH("lw",AX40)), AK40 + SUBSTITUTE(AX40,"lw+",""), MROUND(SWITCH(AS40,"sq",AW$7,"bn",AX$7,"dl",AY$7,"")*IF(AX40&gt;10, AX40/100, VLOOKUP(AX40, _rpe,SUBSTITUTE(AW40,"+","")+1,0)), IF( SWITCH(AS40,"sq",AW$7,"bn",AX$7,"dl", AY$7,"")&lt; IF(_uom="lbs", 175, 80), 1.25, IF(_uom="lbs",5,2.5))))), "")</f>
        <v/>
      </c>
      <c r="AZ40" s="148"/>
      <c r="BA40" s="33"/>
      <c r="BB40" s="171"/>
      <c r="BC40" s="124" t="str">
        <f>IFERROR(__xludf.DUMMYFUNCTION("IF(AY40=MAX(FILTER(AY$10:AY$199,LOOKUP(ROW(AS$10:AS$199),FILTER(ROW(AS$10:AS$199),AS$10:AS$199&lt;&gt;AS$9:AS$198))=LOOKUP(ROW(AS40),FILTER(ROW(AS$10:AS$199),AS$10:AS$199&lt;&gt;AS$9:AS$198)))),AZ40,)"),"")</f>
        <v/>
      </c>
      <c r="BD40" s="122"/>
      <c r="BE40" s="38"/>
      <c r="BF40" s="143" t="str">
        <f t="shared" si="17"/>
        <v>lats - h</v>
      </c>
      <c r="BG40" s="38" t="str">
        <f>IFERROR(__xludf.DUMMYFUNCTION("""COMPUTED_VALUE"""),"ac")</f>
        <v>ac</v>
      </c>
      <c r="BH40" s="144">
        <v>46139.0</v>
      </c>
      <c r="BI40" s="167" t="str">
        <f t="shared" si="18"/>
        <v>Pendlay Row</v>
      </c>
      <c r="BJ40" s="168">
        <v>3.0</v>
      </c>
      <c r="BK40" s="179" t="s">
        <v>325</v>
      </c>
      <c r="BL40" s="173" t="s">
        <v>307</v>
      </c>
      <c r="BM40" s="171" t="str">
        <f t="array" ref="BM40">IFERROR(IF(BG40="ac"+ISNUMBER(SEARCH("'",BL40))+BK40="","", IF(ISNUMBER(SEARCH("lw",BL40)), AY40 + SUBSTITUTE(BL40,"lw+",""), MROUND(SWITCH(BG40,"sq",BK$7,"bn",BL$7,"dl",BM$7,"")*IF(BL40&gt;10, BL40/100, VLOOKUP(BL40, _rpe,SUBSTITUTE(BK40,"+","")+1,0)), IF( SWITCH(BG40,"sq",BK$7,"bn",BL$7,"dl", BM$7,"")&lt; IF(_uom="lbs", 175, 80), 1.25, IF(_uom="lbs",5,2.5))))), "")</f>
        <v/>
      </c>
      <c r="BN40" s="148"/>
      <c r="BO40" s="33"/>
      <c r="BP40" s="171"/>
      <c r="BQ40" s="124" t="str">
        <f>IFERROR(__xludf.DUMMYFUNCTION("IF(BM40=MAX(FILTER(BM$10:BM$199,LOOKUP(ROW(BG$10:BG$199),FILTER(ROW(BG$10:BG$199),BG$10:BG$199&lt;&gt;BG$9:BG$198))=LOOKUP(ROW(BG40),FILTER(ROW(BG$10:BG$199),BG$10:BG$199&lt;&gt;BG$9:BG$198)))),BN40,)"),"")</f>
        <v/>
      </c>
      <c r="BR40" s="122"/>
      <c r="BS40" s="38"/>
      <c r="BT40" s="143" t="str">
        <f t="shared" si="19"/>
        <v>lats - h</v>
      </c>
      <c r="BU40" s="38" t="str">
        <f>IFERROR(__xludf.DUMMYFUNCTION("""COMPUTED_VALUE"""),"ac")</f>
        <v>ac</v>
      </c>
      <c r="BV40" s="144">
        <v>46146.0</v>
      </c>
      <c r="BW40" s="167" t="str">
        <f t="shared" si="20"/>
        <v>Pendlay Row</v>
      </c>
      <c r="BX40" s="168">
        <v>3.0</v>
      </c>
      <c r="BY40" s="179" t="s">
        <v>325</v>
      </c>
      <c r="BZ40" s="173" t="s">
        <v>307</v>
      </c>
      <c r="CA40" s="171" t="str">
        <f t="array" ref="CA40">IFERROR(IF(BU40="ac"+ISNUMBER(SEARCH("'",BZ40))+BY40="","", IF(ISNUMBER(SEARCH("lw",BZ40)), BM40 + SUBSTITUTE(BZ40,"lw+",""), MROUND(SWITCH(BU40,"sq",BY$7,"bn",BZ$7,"dl",CA$7,"")*IF(BZ40&gt;10, BZ40/100, VLOOKUP(BZ40, _rpe,SUBSTITUTE(BY40,"+","")+1,0)), IF( SWITCH(BU40,"sq",BY$7,"bn",BZ$7,"dl", CA$7,"")&lt; IF(_uom="lbs", 175, 80), 1.25, IF(_uom="lbs",5,2.5))))), "")</f>
        <v/>
      </c>
      <c r="CB40" s="148"/>
      <c r="CC40" s="33"/>
      <c r="CD40" s="171"/>
      <c r="CE40" s="124" t="str">
        <f>IFERROR(__xludf.DUMMYFUNCTION("IF(CA40=MAX(FILTER(CA$10:CA$199,LOOKUP(ROW(BU$10:BU$199),FILTER(ROW(BU$10:BU$199),BU$10:BU$199&lt;&gt;BU$9:BU$198))=LOOKUP(ROW(BU40),FILTER(ROW(BU$10:BU$199),BU$10:BU$199&lt;&gt;BU$9:BU$198)))),CB40,)"),"")</f>
        <v/>
      </c>
      <c r="CF40" s="122"/>
      <c r="CG40" s="38"/>
      <c r="CH40" s="143" t="str">
        <f t="shared" si="21"/>
        <v>lats - h</v>
      </c>
      <c r="CI40" s="38" t="str">
        <f>IFERROR(__xludf.DUMMYFUNCTION("""COMPUTED_VALUE"""),"ac")</f>
        <v>ac</v>
      </c>
      <c r="CJ40" s="144">
        <v>46153.0</v>
      </c>
      <c r="CK40" s="167" t="str">
        <f t="shared" si="27"/>
        <v>Pendlay Row</v>
      </c>
      <c r="CL40" s="168">
        <v>3.0</v>
      </c>
      <c r="CM40" s="179" t="s">
        <v>325</v>
      </c>
      <c r="CN40" s="173" t="s">
        <v>307</v>
      </c>
      <c r="CO40" s="171" t="str">
        <f t="array" ref="CO40">IFERROR(IF(CI40="ac"+ISNUMBER(SEARCH("'",CN40))+CM40="","", IF(ISNUMBER(SEARCH("lw",CN40)), CA40 + SUBSTITUTE(CN40,"lw+",""), MROUND(SWITCH(CI40,"sq",CM$7,"bn",CN$7,"dl",CO$7,"")*IF(CN40&gt;10, CN40/100, VLOOKUP(CN40, _rpe,SUBSTITUTE(CM40,"+","")+1,0)), IF( SWITCH(CI40,"sq",CM$7,"bn",CN$7,"dl", CO$7,"")&lt; IF(_uom="lbs", 175, 80), 1.25, IF(_uom="lbs",5,2.5))))), "")</f>
        <v/>
      </c>
      <c r="CP40" s="148"/>
      <c r="CQ40" s="33"/>
      <c r="CR40" s="171"/>
      <c r="CS40" s="124" t="str">
        <f>IFERROR(__xludf.DUMMYFUNCTION("IF(CO40=MAX(FILTER(CO$10:CO$199,LOOKUP(ROW(CI$10:CI$199),FILTER(ROW(CI$10:CI$199),CI$10:CI$199&lt;&gt;CI$9:CI$198))=LOOKUP(ROW(CI40),FILTER(ROW(CI$10:CI$199),CI$10:CI$199&lt;&gt;CI$9:CI$198)))),CP40,)"),"")</f>
        <v/>
      </c>
      <c r="CT40" s="122"/>
      <c r="CU40" s="38"/>
      <c r="CV40" s="143" t="str">
        <f t="shared" si="22"/>
        <v>lats - h</v>
      </c>
      <c r="CW40" s="38" t="str">
        <f>IFERROR(__xludf.DUMMYFUNCTION("""COMPUTED_VALUE"""),"ac")</f>
        <v>ac</v>
      </c>
      <c r="CX40" s="144">
        <v>46160.0</v>
      </c>
      <c r="CY40" s="167" t="str">
        <f t="shared" si="28"/>
        <v>Pendlay Row</v>
      </c>
      <c r="CZ40" s="168">
        <v>3.0</v>
      </c>
      <c r="DA40" s="179" t="s">
        <v>325</v>
      </c>
      <c r="DB40" s="172" t="str">
        <f t="shared" si="169"/>
        <v>@7.5</v>
      </c>
      <c r="DC40" s="171" t="str">
        <f t="array" ref="DC40">IFERROR(IF(CW40="ac"+ISNUMBER(SEARCH("'",DB40))+DA40="","", IF(ISNUMBER(SEARCH("lw",DB40)), CO40 + SUBSTITUTE(DB40,"lw+",""), MROUND(SWITCH(CW40,"sq",DA$7,"bn",DB$7,"dl",DC$7,"")*IF(DB40&gt;10, DB40/100, VLOOKUP(DB40, _rpe,SUBSTITUTE(DA40,"+","")+1,0)), IF( SWITCH(CW40,"sq",DA$7,"bn",DB$7,"dl", DC$7,"")&lt; IF(_uom="lbs", 175, 80), 1.25, IF(_uom="lbs",5,2.5))))), "")</f>
        <v/>
      </c>
      <c r="DD40" s="148"/>
      <c r="DE40" s="33"/>
      <c r="DF40" s="171"/>
      <c r="DG40" s="124" t="str">
        <f>IFERROR(__xludf.DUMMYFUNCTION("IF(DC40=MAX(FILTER(DC$10:DC$199,LOOKUP(ROW(CW$10:CW$199),FILTER(ROW(CW$10:CW$199),CW$10:CW$199&lt;&gt;CW$9:CW$198))=LOOKUP(ROW(CW40),FILTER(ROW(CW$10:CW$199),CW$10:CW$199&lt;&gt;CW$9:CW$198)))),DD40,)"),"")</f>
        <v/>
      </c>
      <c r="DH40" s="122"/>
      <c r="DI40" s="38"/>
      <c r="DJ40" s="143" t="str">
        <f t="shared" si="23"/>
        <v>lats - h</v>
      </c>
      <c r="DK40" s="38" t="str">
        <f>IFERROR(__xludf.DUMMYFUNCTION("""COMPUTED_VALUE"""),"")</f>
        <v/>
      </c>
      <c r="DL40" s="144">
        <v>46167.0</v>
      </c>
      <c r="DM40" s="167"/>
      <c r="DN40" s="168"/>
      <c r="DO40" s="169"/>
      <c r="DP40" s="171"/>
      <c r="DQ40" s="171" t="str">
        <f t="array" ref="DQ40">IFERROR(IF(DK40="ac"+ISNUMBER(SEARCH("'",DP40))+DO40="","", IF(ISNUMBER(SEARCH("lw",DP40)), DC40 + SUBSTITUTE(DP40,"lw+",""), MROUND(SWITCH(DK40,"sq",DO$7,"bn",DP$7,"dl",DQ$7,"")*IF(DP40&gt;10, DP40/100, VLOOKUP(DP40, _rpe,SUBSTITUTE(DO40,"+","")+1,0)), IF( SWITCH(DK40,"sq",DO$7,"bn",DP$7,"dl", DQ$7,"")&lt; IF(_uom="lbs", 175, 80), 1.25, IF(_uom="lbs",5,2.5))))), "")</f>
        <v/>
      </c>
      <c r="DR40" s="148"/>
      <c r="DS40" s="33"/>
      <c r="DT40" s="171"/>
      <c r="DU40" s="124" t="str">
        <f>IFERROR(__xludf.DUMMYFUNCTION("IF(DQ40=MAX(FILTER(DQ$10:DQ$199,LOOKUP(ROW(DK$10:DK$199),FILTER(ROW(DK$10:DK$199),DK$10:DK$199&lt;&gt;DK$9:DK$198))=LOOKUP(ROW(DK40),FILTER(ROW(DK$10:DK$199),DK$10:DK$199&lt;&gt;DK$9:DK$198)))),DR40,)"),"")</f>
        <v/>
      </c>
      <c r="DV40" s="122"/>
      <c r="DW40" s="38"/>
      <c r="DX40" s="143"/>
      <c r="DY40" s="38"/>
      <c r="DZ40" s="144"/>
      <c r="EA40" s="150"/>
      <c r="EB40" s="174"/>
      <c r="EC40" s="175"/>
      <c r="ED40" s="155"/>
      <c r="EE40" s="155"/>
      <c r="EF40" s="148"/>
      <c r="EG40" s="33"/>
      <c r="EH40" s="155"/>
      <c r="EI40" s="148"/>
      <c r="EJ40" s="33"/>
      <c r="EK40" s="38"/>
      <c r="EL40" s="143"/>
      <c r="EM40" s="38"/>
      <c r="EN40" s="144"/>
      <c r="EO40" s="150"/>
      <c r="EP40" s="174"/>
      <c r="EQ40" s="175"/>
      <c r="ER40" s="176"/>
      <c r="ES40" s="155"/>
      <c r="ET40" s="148"/>
      <c r="EU40" s="33"/>
      <c r="EV40" s="155"/>
      <c r="EW40" s="148"/>
      <c r="EX40" s="33"/>
      <c r="EY40" s="38"/>
      <c r="EZ40" s="143"/>
      <c r="FA40" s="38"/>
      <c r="FB40" s="144"/>
      <c r="FC40" s="150"/>
      <c r="FD40" s="174"/>
      <c r="FE40" s="175"/>
      <c r="FF40" s="176"/>
      <c r="FG40" s="155"/>
      <c r="FH40" s="148"/>
      <c r="FI40" s="33"/>
      <c r="FJ40" s="155"/>
      <c r="FK40" s="148"/>
      <c r="FL40" s="33"/>
      <c r="FM40" s="38"/>
      <c r="FN40" s="143"/>
      <c r="FO40" s="38"/>
      <c r="FP40" s="144"/>
      <c r="FQ40" s="150"/>
      <c r="FR40" s="174"/>
      <c r="FS40" s="175"/>
      <c r="FT40" s="176"/>
      <c r="FU40" s="155"/>
      <c r="FV40" s="148"/>
      <c r="FW40" s="33"/>
      <c r="FX40" s="155"/>
      <c r="FY40" s="148"/>
      <c r="FZ40" s="33"/>
      <c r="GA40" s="38"/>
      <c r="GB40" s="143"/>
      <c r="GC40" s="38"/>
      <c r="GD40" s="144"/>
      <c r="GE40" s="150"/>
      <c r="GF40" s="174"/>
      <c r="GG40" s="175"/>
      <c r="GH40" s="176"/>
      <c r="GI40" s="155"/>
      <c r="GJ40" s="148"/>
      <c r="GK40" s="33"/>
      <c r="GL40" s="155"/>
      <c r="GM40" s="148"/>
      <c r="GN40" s="33"/>
      <c r="GO40" s="38"/>
      <c r="GP40" s="143"/>
      <c r="GQ40" s="38"/>
      <c r="GR40" s="144"/>
      <c r="GS40" s="150"/>
      <c r="GT40" s="174"/>
      <c r="GU40" s="175"/>
      <c r="GV40" s="176"/>
      <c r="GW40" s="155"/>
      <c r="GX40" s="148"/>
      <c r="GY40" s="33"/>
      <c r="GZ40" s="155"/>
      <c r="HA40" s="148"/>
      <c r="HB40" s="33"/>
      <c r="HC40" s="38"/>
      <c r="HD40" s="143"/>
      <c r="HE40" s="38"/>
      <c r="HF40" s="144"/>
      <c r="HG40" s="150"/>
      <c r="HH40" s="174"/>
      <c r="HI40" s="175"/>
      <c r="HJ40" s="176"/>
      <c r="HK40" s="155"/>
      <c r="HL40" s="148"/>
      <c r="HM40" s="33"/>
      <c r="HN40" s="155"/>
      <c r="HO40" s="148"/>
      <c r="HP40" s="33"/>
      <c r="HQ40" s="38"/>
      <c r="HR40" s="143"/>
      <c r="HS40" s="38"/>
      <c r="HT40" s="144"/>
      <c r="HU40" s="150"/>
      <c r="HV40" s="174"/>
      <c r="HW40" s="175"/>
      <c r="HX40" s="176"/>
      <c r="HY40" s="155"/>
      <c r="HZ40" s="148"/>
      <c r="IA40" s="33"/>
      <c r="IB40" s="155"/>
      <c r="IC40" s="148"/>
      <c r="ID40" s="33"/>
      <c r="IE40" s="38"/>
      <c r="IF40" s="143"/>
      <c r="IG40" s="38"/>
      <c r="IH40" s="144"/>
      <c r="II40" s="150"/>
      <c r="IJ40" s="174"/>
      <c r="IK40" s="175"/>
      <c r="IL40" s="176"/>
      <c r="IM40" s="155"/>
      <c r="IN40" s="148"/>
      <c r="IO40" s="33"/>
      <c r="IP40" s="155"/>
      <c r="IQ40" s="148"/>
      <c r="IR40" s="33"/>
      <c r="IS40" s="38"/>
      <c r="IT40" s="143"/>
      <c r="IU40" s="38"/>
      <c r="IV40" s="144"/>
      <c r="IW40" s="143" t="str">
        <f t="shared" si="24"/>
        <v>#REF!</v>
      </c>
      <c r="IX40" s="38"/>
      <c r="IY40" s="144" t="e">
        <v>#REF!</v>
      </c>
    </row>
    <row r="41" hidden="1" outlineLevel="1">
      <c r="A41" s="33"/>
      <c r="B41" s="143"/>
      <c r="C41" s="38" t="str">
        <f>IFERROR(__xludf.DUMMYFUNCTION("""COMPUTED_VALUE"""),"")</f>
        <v/>
      </c>
      <c r="D41" s="144">
        <v>46111.0</v>
      </c>
      <c r="E41" s="167"/>
      <c r="F41" s="168"/>
      <c r="G41" s="169"/>
      <c r="H41" s="170"/>
      <c r="I41" s="171" t="str">
        <f t="array" ref="I41">IFERROR(IF(C41="ac"+ISNUMBER(SEARCH("'",H41))+G41="","", MROUND(SWITCH(C41,"sq",'Personal Info'!$O$15,"bn",'Personal Info'!$S$15,"dl",'Personal Info'!$W$15,"")*IF(H41&gt;10, H41/100, VLOOKUP(H41, _rpe,SUBSTITUTE(G41,"+","")+1,0)), IF( SWITCH(C41:C210,"sq",'Personal Info'!$O$15,"bn",'Personal Info'!$S$15,"dl", 'Personal Info'!$W$15,"")&lt; IF(_uom="lbs", 175, 80), 1.25, IF(_uom="lbs",5,2.5)))),"")</f>
        <v/>
      </c>
      <c r="J41" s="148"/>
      <c r="K41" s="33"/>
      <c r="L41" s="171"/>
      <c r="M41" s="124" t="str">
        <f>IFERROR(__xludf.DUMMYFUNCTION("IF(I41=MAX(FILTER(I$10:I$199,LOOKUP(ROW(C$10:C$199),FILTER(ROW(C$10:C$199),C$10:C$199&lt;&gt;C$9:C$198))=LOOKUP(ROW(C41),FILTER(ROW(C$10:C$199),C$10:C$199&lt;&gt;C$9:C$198)))),J41,)"),"")</f>
        <v/>
      </c>
      <c r="N41" s="122"/>
      <c r="O41" s="38"/>
      <c r="P41" s="143" t="str">
        <f t="shared" si="12"/>
        <v/>
      </c>
      <c r="Q41" s="38" t="str">
        <f>IFERROR(__xludf.DUMMYFUNCTION("""COMPUTED_VALUE"""),"")</f>
        <v/>
      </c>
      <c r="R41" s="144">
        <v>46118.0</v>
      </c>
      <c r="S41" s="167" t="str">
        <f t="shared" si="13"/>
        <v/>
      </c>
      <c r="T41" s="168" t="str">
        <f t="shared" ref="T41:T53" si="170">IF(ISBLANK(F41),"",F41)</f>
        <v/>
      </c>
      <c r="U41" s="169" t="str">
        <f t="shared" ref="U41:U43" si="171">IF( OR(ISBLANK(G41),G41=""),"", G41)</f>
        <v/>
      </c>
      <c r="V41" s="172" t="str">
        <f t="shared" ref="V41:V43" si="172">IF(ISBLANK(H41),"",H41)</f>
        <v/>
      </c>
      <c r="W41" s="171" t="str">
        <f t="array" ref="W41">IFERROR(IF(Q41="ac"+ISNUMBER(SEARCH("'",V41))+U41="","", IF(ISNUMBER(SEARCH("lw",V41)), I41 + SUBSTITUTE(V41,"lw+",""), MROUND(SWITCH(Q41,"sq",U$7,"bn",V$7,"dl",W$7,"")*IF(V41&gt;10, V41/100, VLOOKUP(V41, _rpe,SUBSTITUTE(U41,"+","")+1,0)), IF( SWITCH(Q41,"sq",U$7,"bn",V$7,"dl", W$7,"")&lt; IF(_uom="lbs", 175, 80), 1.25, IF(_uom="lbs",5,2.5))))), "")</f>
        <v/>
      </c>
      <c r="X41" s="148"/>
      <c r="Y41" s="33"/>
      <c r="Z41" s="171"/>
      <c r="AA41" s="124" t="str">
        <f>IFERROR(__xludf.DUMMYFUNCTION("IF(W41=MAX(FILTER(W$10:W$199,LOOKUP(ROW(Q$10:Q$199),FILTER(ROW(Q$10:Q$199),Q$10:Q$199&lt;&gt;Q$9:Q$198))=LOOKUP(ROW(Q41),FILTER(ROW(Q$10:Q$199),Q$10:Q$199&lt;&gt;Q$9:Q$198)))),X41,)"),"")</f>
        <v/>
      </c>
      <c r="AB41" s="122"/>
      <c r="AC41" s="38"/>
      <c r="AD41" s="143" t="str">
        <f t="shared" si="14"/>
        <v/>
      </c>
      <c r="AE41" s="38" t="str">
        <f>IFERROR(__xludf.DUMMYFUNCTION("""COMPUTED_VALUE"""),"")</f>
        <v/>
      </c>
      <c r="AF41" s="144">
        <v>46125.0</v>
      </c>
      <c r="AG41" s="167" t="str">
        <f t="shared" si="54"/>
        <v/>
      </c>
      <c r="AH41" s="168" t="str">
        <f t="shared" si="151"/>
        <v/>
      </c>
      <c r="AI41" s="169" t="str">
        <f t="shared" ref="AI41:AI43" si="173">IF( OR(ISBLANK(U41),U41=""),"", U41)</f>
        <v/>
      </c>
      <c r="AJ41" s="172" t="str">
        <f t="shared" si="157"/>
        <v/>
      </c>
      <c r="AK41" s="171" t="str">
        <f t="array" ref="AK41">IFERROR(IF(AE41="ac"+ISNUMBER(SEARCH("'",AJ41))+AI41="","", IF(ISNUMBER(SEARCH("lw",AJ41)), W41 + SUBSTITUTE(AJ41,"lw+",""), MROUND(SWITCH(AE41,"sq",AI$7,"bn",AJ$7,"dl",AK$7,"")*IF(AJ41&gt;10, AJ41/100, VLOOKUP(AJ41, _rpe,SUBSTITUTE(AI41,"+","")+1,0)), IF( SWITCH(AE41,"sq",AI$7,"bn",AJ$7,"dl", AK$7,"")&lt; IF(_uom="lbs", 175, 80), 1.25, IF(_uom="lbs",5,2.5))))), "")</f>
        <v/>
      </c>
      <c r="AL41" s="148"/>
      <c r="AM41" s="33"/>
      <c r="AN41" s="171"/>
      <c r="AO41" s="124" t="str">
        <f>IFERROR(__xludf.DUMMYFUNCTION("IF(AK41=MAX(FILTER(AK$10:AK$199,LOOKUP(ROW(AE$10:AE$199),FILTER(ROW(AE$10:AE$199),AE$10:AE$199&lt;&gt;AE$9:AE$198))=LOOKUP(ROW(AE41),FILTER(ROW(AE$10:AE$199),AE$10:AE$199&lt;&gt;AE$9:AE$198)))),AL41,)"),"")</f>
        <v/>
      </c>
      <c r="AP41" s="122"/>
      <c r="AQ41" s="38"/>
      <c r="AR41" s="143" t="str">
        <f t="shared" si="16"/>
        <v/>
      </c>
      <c r="AS41" s="38" t="str">
        <f>IFERROR(__xludf.DUMMYFUNCTION("""COMPUTED_VALUE"""),"")</f>
        <v/>
      </c>
      <c r="AT41" s="144">
        <v>46132.0</v>
      </c>
      <c r="AU41" s="167" t="str">
        <f t="shared" si="26"/>
        <v/>
      </c>
      <c r="AV41" s="168" t="str">
        <f t="shared" si="152"/>
        <v/>
      </c>
      <c r="AW41" s="169" t="str">
        <f t="shared" ref="AW41:AW43" si="174">IF( OR(ISBLANK(AI41),AI41=""),"", AI41)</f>
        <v/>
      </c>
      <c r="AX41" s="172" t="str">
        <f t="shared" si="158"/>
        <v/>
      </c>
      <c r="AY41" s="171" t="str">
        <f t="array" ref="AY41">IFERROR(IF(AS41="ac"+ISNUMBER(SEARCH("'",AX41))+AW41="","", IF(ISNUMBER(SEARCH("lw",AX41)), AK41 + SUBSTITUTE(AX41,"lw+",""), MROUND(SWITCH(AS41,"sq",AW$7,"bn",AX$7,"dl",AY$7,"")*IF(AX41&gt;10, AX41/100, VLOOKUP(AX41, _rpe,SUBSTITUTE(AW41,"+","")+1,0)), IF( SWITCH(AS41,"sq",AW$7,"bn",AX$7,"dl", AY$7,"")&lt; IF(_uom="lbs", 175, 80), 1.25, IF(_uom="lbs",5,2.5))))), "")</f>
        <v/>
      </c>
      <c r="AZ41" s="148"/>
      <c r="BA41" s="33"/>
      <c r="BB41" s="171"/>
      <c r="BC41" s="124" t="str">
        <f>IFERROR(__xludf.DUMMYFUNCTION("IF(AY41=MAX(FILTER(AY$10:AY$199,LOOKUP(ROW(AS$10:AS$199),FILTER(ROW(AS$10:AS$199),AS$10:AS$199&lt;&gt;AS$9:AS$198))=LOOKUP(ROW(AS41),FILTER(ROW(AS$10:AS$199),AS$10:AS$199&lt;&gt;AS$9:AS$198)))),AZ41,)"),"")</f>
        <v/>
      </c>
      <c r="BD41" s="122"/>
      <c r="BE41" s="38"/>
      <c r="BF41" s="143" t="str">
        <f t="shared" si="17"/>
        <v/>
      </c>
      <c r="BG41" s="38" t="str">
        <f>IFERROR(__xludf.DUMMYFUNCTION("""COMPUTED_VALUE"""),"")</f>
        <v/>
      </c>
      <c r="BH41" s="144">
        <v>46139.0</v>
      </c>
      <c r="BI41" s="167" t="str">
        <f t="shared" si="18"/>
        <v/>
      </c>
      <c r="BJ41" s="168" t="str">
        <f t="shared" ref="BJ41:BJ43" si="175">IF(ISBLANK(AV41),"",AV41)</f>
        <v/>
      </c>
      <c r="BK41" s="169" t="str">
        <f t="shared" ref="BK41:BK43" si="176">IF( OR(ISBLANK(AW41),AW41=""),"", AW41)</f>
        <v/>
      </c>
      <c r="BL41" s="172" t="str">
        <f t="shared" ref="BL41:BL43" si="177">IF(ISBLANK(AX41),"",AX41)</f>
        <v/>
      </c>
      <c r="BM41" s="171" t="str">
        <f t="array" ref="BM41">IFERROR(IF(BG41="ac"+ISNUMBER(SEARCH("'",BL41))+BK41="","", IF(ISNUMBER(SEARCH("lw",BL41)), AY41 + SUBSTITUTE(BL41,"lw+",""), MROUND(SWITCH(BG41,"sq",BK$7,"bn",BL$7,"dl",BM$7,"")*IF(BL41&gt;10, BL41/100, VLOOKUP(BL41, _rpe,SUBSTITUTE(BK41,"+","")+1,0)), IF( SWITCH(BG41,"sq",BK$7,"bn",BL$7,"dl", BM$7,"")&lt; IF(_uom="lbs", 175, 80), 1.25, IF(_uom="lbs",5,2.5))))), "")</f>
        <v/>
      </c>
      <c r="BN41" s="148"/>
      <c r="BO41" s="33"/>
      <c r="BP41" s="171"/>
      <c r="BQ41" s="124" t="str">
        <f>IFERROR(__xludf.DUMMYFUNCTION("IF(BM41=MAX(FILTER(BM$10:BM$199,LOOKUP(ROW(BG$10:BG$199),FILTER(ROW(BG$10:BG$199),BG$10:BG$199&lt;&gt;BG$9:BG$198))=LOOKUP(ROW(BG41),FILTER(ROW(BG$10:BG$199),BG$10:BG$199&lt;&gt;BG$9:BG$198)))),BN41,)"),"")</f>
        <v/>
      </c>
      <c r="BR41" s="122"/>
      <c r="BS41" s="38"/>
      <c r="BT41" s="143" t="str">
        <f t="shared" si="19"/>
        <v/>
      </c>
      <c r="BU41" s="38" t="str">
        <f>IFERROR(__xludf.DUMMYFUNCTION("""COMPUTED_VALUE"""),"")</f>
        <v/>
      </c>
      <c r="BV41" s="144">
        <v>46146.0</v>
      </c>
      <c r="BW41" s="167" t="str">
        <f t="shared" si="20"/>
        <v/>
      </c>
      <c r="BX41" s="168" t="str">
        <f t="shared" ref="BX41:BX43" si="178">IF(ISBLANK(BJ41),"",BJ41)</f>
        <v/>
      </c>
      <c r="BY41" s="169" t="str">
        <f t="shared" ref="BY41:BY43" si="179">IF( OR(ISBLANK(BK41),BK41=""),"", BK41)</f>
        <v/>
      </c>
      <c r="BZ41" s="172" t="str">
        <f t="shared" ref="BZ41:BZ43" si="180">IF(ISBLANK(BL41),"",BL41)</f>
        <v/>
      </c>
      <c r="CA41" s="171" t="str">
        <f t="array" ref="CA41">IFERROR(IF(BU41="ac"+ISNUMBER(SEARCH("'",BZ41))+BY41="","", IF(ISNUMBER(SEARCH("lw",BZ41)), BM41 + SUBSTITUTE(BZ41,"lw+",""), MROUND(SWITCH(BU41,"sq",BY$7,"bn",BZ$7,"dl",CA$7,"")*IF(BZ41&gt;10, BZ41/100, VLOOKUP(BZ41, _rpe,SUBSTITUTE(BY41,"+","")+1,0)), IF( SWITCH(BU41,"sq",BY$7,"bn",BZ$7,"dl", CA$7,"")&lt; IF(_uom="lbs", 175, 80), 1.25, IF(_uom="lbs",5,2.5))))), "")</f>
        <v/>
      </c>
      <c r="CB41" s="148"/>
      <c r="CC41" s="33"/>
      <c r="CD41" s="171"/>
      <c r="CE41" s="124" t="str">
        <f>IFERROR(__xludf.DUMMYFUNCTION("IF(CA41=MAX(FILTER(CA$10:CA$199,LOOKUP(ROW(BU$10:BU$199),FILTER(ROW(BU$10:BU$199),BU$10:BU$199&lt;&gt;BU$9:BU$198))=LOOKUP(ROW(BU41),FILTER(ROW(BU$10:BU$199),BU$10:BU$199&lt;&gt;BU$9:BU$198)))),CB41,)"),"")</f>
        <v/>
      </c>
      <c r="CF41" s="122"/>
      <c r="CG41" s="38"/>
      <c r="CH41" s="143" t="str">
        <f t="shared" si="21"/>
        <v/>
      </c>
      <c r="CI41" s="38" t="str">
        <f>IFERROR(__xludf.DUMMYFUNCTION("""COMPUTED_VALUE"""),"")</f>
        <v/>
      </c>
      <c r="CJ41" s="144">
        <v>46153.0</v>
      </c>
      <c r="CK41" s="167" t="str">
        <f t="shared" si="27"/>
        <v/>
      </c>
      <c r="CL41" s="168" t="str">
        <f t="shared" ref="CL41:CL43" si="181">IF(ISBLANK(BX41),"",BX41)</f>
        <v/>
      </c>
      <c r="CM41" s="169" t="str">
        <f t="shared" ref="CM41:CM43" si="182">IF( OR(ISBLANK(BY41),BY41=""),"", BY41)</f>
        <v/>
      </c>
      <c r="CN41" s="172" t="str">
        <f t="shared" ref="CN41:CN43" si="183">IF(ISBLANK(BZ41),"",BZ41)</f>
        <v/>
      </c>
      <c r="CO41" s="171" t="str">
        <f t="array" ref="CO41">IFERROR(IF(CI41="ac"+ISNUMBER(SEARCH("'",CN41))+CM41="","", IF(ISNUMBER(SEARCH("lw",CN41)), CA41 + SUBSTITUTE(CN41,"lw+",""), MROUND(SWITCH(CI41,"sq",CM$7,"bn",CN$7,"dl",CO$7,"")*IF(CN41&gt;10, CN41/100, VLOOKUP(CN41, _rpe,SUBSTITUTE(CM41,"+","")+1,0)), IF( SWITCH(CI41,"sq",CM$7,"bn",CN$7,"dl", CO$7,"")&lt; IF(_uom="lbs", 175, 80), 1.25, IF(_uom="lbs",5,2.5))))), "")</f>
        <v/>
      </c>
      <c r="CP41" s="148"/>
      <c r="CQ41" s="33"/>
      <c r="CR41" s="171"/>
      <c r="CS41" s="124" t="str">
        <f>IFERROR(__xludf.DUMMYFUNCTION("IF(CO41=MAX(FILTER(CO$10:CO$199,LOOKUP(ROW(CI$10:CI$199),FILTER(ROW(CI$10:CI$199),CI$10:CI$199&lt;&gt;CI$9:CI$198))=LOOKUP(ROW(CI41),FILTER(ROW(CI$10:CI$199),CI$10:CI$199&lt;&gt;CI$9:CI$198)))),CP41,)"),"")</f>
        <v/>
      </c>
      <c r="CT41" s="122"/>
      <c r="CU41" s="38"/>
      <c r="CV41" s="143" t="str">
        <f t="shared" si="22"/>
        <v/>
      </c>
      <c r="CW41" s="38" t="str">
        <f>IFERROR(__xludf.DUMMYFUNCTION("""COMPUTED_VALUE"""),"")</f>
        <v/>
      </c>
      <c r="CX41" s="144">
        <v>46160.0</v>
      </c>
      <c r="CY41" s="167" t="str">
        <f t="shared" si="28"/>
        <v/>
      </c>
      <c r="CZ41" s="168" t="str">
        <f t="shared" ref="CZ41:CZ43" si="184">IF(ISBLANK(CL41),"",CL41)</f>
        <v/>
      </c>
      <c r="DA41" s="169" t="str">
        <f t="shared" ref="DA41:DA43" si="185">IF( OR(ISBLANK(CM41),CM41=""),"", CM41)</f>
        <v/>
      </c>
      <c r="DB41" s="172" t="str">
        <f t="shared" si="169"/>
        <v/>
      </c>
      <c r="DC41" s="171" t="str">
        <f t="array" ref="DC41">IFERROR(IF(CW41="ac"+ISNUMBER(SEARCH("'",DB41))+DA41="","", IF(ISNUMBER(SEARCH("lw",DB41)), CO41 + SUBSTITUTE(DB41,"lw+",""), MROUND(SWITCH(CW41,"sq",DA$7,"bn",DB$7,"dl",DC$7,"")*IF(DB41&gt;10, DB41/100, VLOOKUP(DB41, _rpe,SUBSTITUTE(DA41,"+","")+1,0)), IF( SWITCH(CW41,"sq",DA$7,"bn",DB$7,"dl", DC$7,"")&lt; IF(_uom="lbs", 175, 80), 1.25, IF(_uom="lbs",5,2.5))))), "")</f>
        <v/>
      </c>
      <c r="DD41" s="148"/>
      <c r="DE41" s="33"/>
      <c r="DF41" s="171"/>
      <c r="DG41" s="124" t="str">
        <f>IFERROR(__xludf.DUMMYFUNCTION("IF(DC41=MAX(FILTER(DC$10:DC$199,LOOKUP(ROW(CW$10:CW$199),FILTER(ROW(CW$10:CW$199),CW$10:CW$199&lt;&gt;CW$9:CW$198))=LOOKUP(ROW(CW41),FILTER(ROW(CW$10:CW$199),CW$10:CW$199&lt;&gt;CW$9:CW$198)))),DD41,)"),"")</f>
        <v/>
      </c>
      <c r="DH41" s="122"/>
      <c r="DI41" s="38"/>
      <c r="DJ41" s="143" t="str">
        <f t="shared" si="23"/>
        <v/>
      </c>
      <c r="DK41" s="38" t="str">
        <f>IFERROR(__xludf.DUMMYFUNCTION("""COMPUTED_VALUE"""),"")</f>
        <v/>
      </c>
      <c r="DL41" s="144">
        <v>46167.0</v>
      </c>
      <c r="DM41" s="167"/>
      <c r="DN41" s="168"/>
      <c r="DO41" s="169"/>
      <c r="DP41" s="172"/>
      <c r="DQ41" s="171" t="str">
        <f t="array" ref="DQ41">IFERROR(IF(DK41="ac"+ISNUMBER(SEARCH("'",DP41))+DO41="","", IF(ISNUMBER(SEARCH("lw",DP41)), DC41 + SUBSTITUTE(DP41,"lw+",""), MROUND(SWITCH(DK41,"sq",DO$7,"bn",DP$7,"dl",DQ$7,"")*IF(DP41&gt;10, DP41/100, VLOOKUP(DP41, _rpe,SUBSTITUTE(DO41,"+","")+1,0)), IF( SWITCH(DK41,"sq",DO$7,"bn",DP$7,"dl", DQ$7,"")&lt; IF(_uom="lbs", 175, 80), 1.25, IF(_uom="lbs",5,2.5))))), "")</f>
        <v/>
      </c>
      <c r="DR41" s="148"/>
      <c r="DS41" s="33"/>
      <c r="DT41" s="171"/>
      <c r="DU41" s="124" t="str">
        <f>IFERROR(__xludf.DUMMYFUNCTION("IF(DQ41=MAX(FILTER(DQ$10:DQ$199,LOOKUP(ROW(DK$10:DK$199),FILTER(ROW(DK$10:DK$199),DK$10:DK$199&lt;&gt;DK$9:DK$198))=LOOKUP(ROW(DK41),FILTER(ROW(DK$10:DK$199),DK$10:DK$199&lt;&gt;DK$9:DK$198)))),DR41,)"),"")</f>
        <v/>
      </c>
      <c r="DV41" s="122"/>
      <c r="DW41" s="38"/>
      <c r="DX41" s="143"/>
      <c r="DY41" s="38"/>
      <c r="DZ41" s="144"/>
      <c r="EA41" s="150"/>
      <c r="EB41" s="174"/>
      <c r="EC41" s="175"/>
      <c r="ED41" s="176"/>
      <c r="EE41" s="155"/>
      <c r="EF41" s="148"/>
      <c r="EG41" s="33"/>
      <c r="EH41" s="155"/>
      <c r="EI41" s="148"/>
      <c r="EJ41" s="33"/>
      <c r="EK41" s="38"/>
      <c r="EL41" s="143"/>
      <c r="EM41" s="38"/>
      <c r="EN41" s="144"/>
      <c r="EO41" s="150"/>
      <c r="EP41" s="174"/>
      <c r="EQ41" s="175"/>
      <c r="ER41" s="176"/>
      <c r="ES41" s="155"/>
      <c r="ET41" s="148"/>
      <c r="EU41" s="33"/>
      <c r="EV41" s="155"/>
      <c r="EW41" s="148"/>
      <c r="EX41" s="33"/>
      <c r="EY41" s="38"/>
      <c r="EZ41" s="143"/>
      <c r="FA41" s="38"/>
      <c r="FB41" s="144"/>
      <c r="FC41" s="150"/>
      <c r="FD41" s="174"/>
      <c r="FE41" s="175"/>
      <c r="FF41" s="176"/>
      <c r="FG41" s="155"/>
      <c r="FH41" s="148"/>
      <c r="FI41" s="33"/>
      <c r="FJ41" s="155"/>
      <c r="FK41" s="148"/>
      <c r="FL41" s="33"/>
      <c r="FM41" s="38"/>
      <c r="FN41" s="143"/>
      <c r="FO41" s="38"/>
      <c r="FP41" s="144"/>
      <c r="FQ41" s="150"/>
      <c r="FR41" s="174"/>
      <c r="FS41" s="175"/>
      <c r="FT41" s="176"/>
      <c r="FU41" s="155"/>
      <c r="FV41" s="148"/>
      <c r="FW41" s="33"/>
      <c r="FX41" s="155"/>
      <c r="FY41" s="148"/>
      <c r="FZ41" s="33"/>
      <c r="GA41" s="38"/>
      <c r="GB41" s="143"/>
      <c r="GC41" s="38"/>
      <c r="GD41" s="144"/>
      <c r="GE41" s="150"/>
      <c r="GF41" s="174"/>
      <c r="GG41" s="175"/>
      <c r="GH41" s="176"/>
      <c r="GI41" s="155"/>
      <c r="GJ41" s="148"/>
      <c r="GK41" s="33"/>
      <c r="GL41" s="155"/>
      <c r="GM41" s="148"/>
      <c r="GN41" s="33"/>
      <c r="GO41" s="38"/>
      <c r="GP41" s="143"/>
      <c r="GQ41" s="38"/>
      <c r="GR41" s="144"/>
      <c r="GS41" s="150"/>
      <c r="GT41" s="174"/>
      <c r="GU41" s="175"/>
      <c r="GV41" s="176"/>
      <c r="GW41" s="155"/>
      <c r="GX41" s="148"/>
      <c r="GY41" s="33"/>
      <c r="GZ41" s="155"/>
      <c r="HA41" s="148"/>
      <c r="HB41" s="33"/>
      <c r="HC41" s="38"/>
      <c r="HD41" s="143"/>
      <c r="HE41" s="38"/>
      <c r="HF41" s="144"/>
      <c r="HG41" s="150"/>
      <c r="HH41" s="174"/>
      <c r="HI41" s="175"/>
      <c r="HJ41" s="176"/>
      <c r="HK41" s="155"/>
      <c r="HL41" s="148"/>
      <c r="HM41" s="33"/>
      <c r="HN41" s="155"/>
      <c r="HO41" s="148"/>
      <c r="HP41" s="33"/>
      <c r="HQ41" s="38"/>
      <c r="HR41" s="143"/>
      <c r="HS41" s="38"/>
      <c r="HT41" s="144"/>
      <c r="HU41" s="150"/>
      <c r="HV41" s="174"/>
      <c r="HW41" s="175"/>
      <c r="HX41" s="176"/>
      <c r="HY41" s="155"/>
      <c r="HZ41" s="148"/>
      <c r="IA41" s="33"/>
      <c r="IB41" s="155"/>
      <c r="IC41" s="148"/>
      <c r="ID41" s="33"/>
      <c r="IE41" s="38"/>
      <c r="IF41" s="143"/>
      <c r="IG41" s="38"/>
      <c r="IH41" s="144"/>
      <c r="II41" s="150"/>
      <c r="IJ41" s="174"/>
      <c r="IK41" s="175"/>
      <c r="IL41" s="176"/>
      <c r="IM41" s="155"/>
      <c r="IN41" s="148"/>
      <c r="IO41" s="33"/>
      <c r="IP41" s="155"/>
      <c r="IQ41" s="148"/>
      <c r="IR41" s="33"/>
      <c r="IS41" s="38"/>
      <c r="IT41" s="143"/>
      <c r="IU41" s="38"/>
      <c r="IV41" s="144"/>
      <c r="IW41" s="143" t="str">
        <f t="shared" si="24"/>
        <v>#REF!</v>
      </c>
      <c r="IX41" s="38"/>
      <c r="IY41" s="144" t="e">
        <v>#REF!</v>
      </c>
    </row>
    <row r="42" hidden="1" outlineLevel="1">
      <c r="A42" s="33"/>
      <c r="B42" s="143"/>
      <c r="C42" s="38" t="str">
        <f>IFERROR(__xludf.DUMMYFUNCTION("""COMPUTED_VALUE"""),"")</f>
        <v/>
      </c>
      <c r="D42" s="144">
        <v>46111.0</v>
      </c>
      <c r="E42" s="167"/>
      <c r="F42" s="168"/>
      <c r="G42" s="169"/>
      <c r="H42" s="170"/>
      <c r="I42" s="171" t="str">
        <f t="array" ref="I42">IFERROR(IF(C42="ac"+ISNUMBER(SEARCH("'",H42))+G42="","", MROUND(SWITCH(C42,"sq",'Personal Info'!$O$15,"bn",'Personal Info'!$S$15,"dl",'Personal Info'!$W$15,"")*IF(H42&gt;10, H42/100, VLOOKUP(H42, _rpe,SUBSTITUTE(G42,"+","")+1,0)), IF( SWITCH(C42:C210,"sq",'Personal Info'!$O$15,"bn",'Personal Info'!$S$15,"dl", 'Personal Info'!$W$15,"")&lt; IF(_uom="lbs", 175, 80), 1.25, IF(_uom="lbs",5,2.5)))),"")</f>
        <v/>
      </c>
      <c r="J42" s="148"/>
      <c r="K42" s="33"/>
      <c r="L42" s="171"/>
      <c r="M42" s="124" t="str">
        <f>IFERROR(__xludf.DUMMYFUNCTION("IF(I42=MAX(FILTER(I$10:I$199,LOOKUP(ROW(C$10:C$199),FILTER(ROW(C$10:C$199),C$10:C$199&lt;&gt;C$9:C$198))=LOOKUP(ROW(C42),FILTER(ROW(C$10:C$199),C$10:C$199&lt;&gt;C$9:C$198)))),J42,)"),"")</f>
        <v/>
      </c>
      <c r="N42" s="122"/>
      <c r="O42" s="33"/>
      <c r="P42" s="143" t="str">
        <f t="shared" si="12"/>
        <v/>
      </c>
      <c r="Q42" s="38" t="str">
        <f>IFERROR(__xludf.DUMMYFUNCTION("""COMPUTED_VALUE"""),"")</f>
        <v/>
      </c>
      <c r="R42" s="144">
        <v>46118.0</v>
      </c>
      <c r="S42" s="167" t="str">
        <f t="shared" si="13"/>
        <v/>
      </c>
      <c r="T42" s="168" t="str">
        <f t="shared" si="170"/>
        <v/>
      </c>
      <c r="U42" s="169" t="str">
        <f t="shared" si="171"/>
        <v/>
      </c>
      <c r="V42" s="172" t="str">
        <f t="shared" si="172"/>
        <v/>
      </c>
      <c r="W42" s="171" t="str">
        <f t="array" ref="W42">IFERROR(IF(Q42="ac"+ISNUMBER(SEARCH("'",V42))+U42="","", IF(ISNUMBER(SEARCH("lw",V42)), I42 + SUBSTITUTE(V42,"lw+",""), MROUND(SWITCH(Q42,"sq",U$7,"bn",V$7,"dl",W$7,"")*IF(V42&gt;10, V42/100, VLOOKUP(V42, _rpe,SUBSTITUTE(U42,"+","")+1,0)), IF( SWITCH(Q42,"sq",U$7,"bn",V$7,"dl", W$7,"")&lt; IF(_uom="lbs", 175, 80), 1.25, IF(_uom="lbs",5,2.5))))), "")</f>
        <v/>
      </c>
      <c r="X42" s="148"/>
      <c r="Y42" s="33"/>
      <c r="Z42" s="171"/>
      <c r="AA42" s="124" t="str">
        <f>IFERROR(__xludf.DUMMYFUNCTION("IF(W42=MAX(FILTER(W$10:W$199,LOOKUP(ROW(Q$10:Q$199),FILTER(ROW(Q$10:Q$199),Q$10:Q$199&lt;&gt;Q$9:Q$198))=LOOKUP(ROW(Q42),FILTER(ROW(Q$10:Q$199),Q$10:Q$199&lt;&gt;Q$9:Q$198)))),X42,)"),"")</f>
        <v/>
      </c>
      <c r="AB42" s="122"/>
      <c r="AC42" s="33"/>
      <c r="AD42" s="143" t="str">
        <f t="shared" si="14"/>
        <v/>
      </c>
      <c r="AE42" s="38" t="str">
        <f>IFERROR(__xludf.DUMMYFUNCTION("""COMPUTED_VALUE"""),"")</f>
        <v/>
      </c>
      <c r="AF42" s="144">
        <v>46125.0</v>
      </c>
      <c r="AG42" s="167" t="str">
        <f t="shared" si="54"/>
        <v/>
      </c>
      <c r="AH42" s="168" t="str">
        <f t="shared" si="151"/>
        <v/>
      </c>
      <c r="AI42" s="169" t="str">
        <f t="shared" si="173"/>
        <v/>
      </c>
      <c r="AJ42" s="172" t="str">
        <f t="shared" si="157"/>
        <v/>
      </c>
      <c r="AK42" s="171" t="str">
        <f t="array" ref="AK42">IFERROR(IF(AE42="ac"+ISNUMBER(SEARCH("'",AJ42))+AI42="","", IF(ISNUMBER(SEARCH("lw",AJ42)), W42 + SUBSTITUTE(AJ42,"lw+",""), MROUND(SWITCH(AE42,"sq",AI$7,"bn",AJ$7,"dl",AK$7,"")*IF(AJ42&gt;10, AJ42/100, VLOOKUP(AJ42, _rpe,SUBSTITUTE(AI42,"+","")+1,0)), IF( SWITCH(AE42,"sq",AI$7,"bn",AJ$7,"dl", AK$7,"")&lt; IF(_uom="lbs", 175, 80), 1.25, IF(_uom="lbs",5,2.5))))), "")</f>
        <v/>
      </c>
      <c r="AL42" s="148"/>
      <c r="AM42" s="33"/>
      <c r="AN42" s="171"/>
      <c r="AO42" s="124" t="str">
        <f>IFERROR(__xludf.DUMMYFUNCTION("IF(AK42=MAX(FILTER(AK$10:AK$199,LOOKUP(ROW(AE$10:AE$199),FILTER(ROW(AE$10:AE$199),AE$10:AE$199&lt;&gt;AE$9:AE$198))=LOOKUP(ROW(AE42),FILTER(ROW(AE$10:AE$199),AE$10:AE$199&lt;&gt;AE$9:AE$198)))),AL42,)"),"")</f>
        <v/>
      </c>
      <c r="AP42" s="122"/>
      <c r="AQ42" s="33"/>
      <c r="AR42" s="143" t="str">
        <f t="shared" si="16"/>
        <v/>
      </c>
      <c r="AS42" s="38" t="str">
        <f>IFERROR(__xludf.DUMMYFUNCTION("""COMPUTED_VALUE"""),"")</f>
        <v/>
      </c>
      <c r="AT42" s="144">
        <v>46132.0</v>
      </c>
      <c r="AU42" s="167" t="str">
        <f t="shared" si="26"/>
        <v/>
      </c>
      <c r="AV42" s="168" t="str">
        <f t="shared" si="152"/>
        <v/>
      </c>
      <c r="AW42" s="169" t="str">
        <f t="shared" si="174"/>
        <v/>
      </c>
      <c r="AX42" s="172" t="str">
        <f t="shared" si="158"/>
        <v/>
      </c>
      <c r="AY42" s="171" t="str">
        <f t="array" ref="AY42">IFERROR(IF(AS42="ac"+ISNUMBER(SEARCH("'",AX42))+AW42="","", IF(ISNUMBER(SEARCH("lw",AX42)), AK42 + SUBSTITUTE(AX42,"lw+",""), MROUND(SWITCH(AS42,"sq",AW$7,"bn",AX$7,"dl",AY$7,"")*IF(AX42&gt;10, AX42/100, VLOOKUP(AX42, _rpe,SUBSTITUTE(AW42,"+","")+1,0)), IF( SWITCH(AS42,"sq",AW$7,"bn",AX$7,"dl", AY$7,"")&lt; IF(_uom="lbs", 175, 80), 1.25, IF(_uom="lbs",5,2.5))))), "")</f>
        <v/>
      </c>
      <c r="AZ42" s="148"/>
      <c r="BA42" s="33"/>
      <c r="BB42" s="171"/>
      <c r="BC42" s="124" t="str">
        <f>IFERROR(__xludf.DUMMYFUNCTION("IF(AY42=MAX(FILTER(AY$10:AY$199,LOOKUP(ROW(AS$10:AS$199),FILTER(ROW(AS$10:AS$199),AS$10:AS$199&lt;&gt;AS$9:AS$198))=LOOKUP(ROW(AS42),FILTER(ROW(AS$10:AS$199),AS$10:AS$199&lt;&gt;AS$9:AS$198)))),AZ42,)"),"")</f>
        <v/>
      </c>
      <c r="BD42" s="122"/>
      <c r="BE42" s="33"/>
      <c r="BF42" s="143" t="str">
        <f t="shared" si="17"/>
        <v/>
      </c>
      <c r="BG42" s="38" t="str">
        <f>IFERROR(__xludf.DUMMYFUNCTION("""COMPUTED_VALUE"""),"")</f>
        <v/>
      </c>
      <c r="BH42" s="144">
        <v>46139.0</v>
      </c>
      <c r="BI42" s="167" t="str">
        <f t="shared" si="18"/>
        <v/>
      </c>
      <c r="BJ42" s="168" t="str">
        <f t="shared" si="175"/>
        <v/>
      </c>
      <c r="BK42" s="169" t="str">
        <f t="shared" si="176"/>
        <v/>
      </c>
      <c r="BL42" s="172" t="str">
        <f t="shared" si="177"/>
        <v/>
      </c>
      <c r="BM42" s="171" t="str">
        <f t="array" ref="BM42">IFERROR(IF(BG42="ac"+ISNUMBER(SEARCH("'",BL42))+BK42="","", IF(ISNUMBER(SEARCH("lw",BL42)), AY42 + SUBSTITUTE(BL42,"lw+",""), MROUND(SWITCH(BG42,"sq",BK$7,"bn",BL$7,"dl",BM$7,"")*IF(BL42&gt;10, BL42/100, VLOOKUP(BL42, _rpe,SUBSTITUTE(BK42,"+","")+1,0)), IF( SWITCH(BG42,"sq",BK$7,"bn",BL$7,"dl", BM$7,"")&lt; IF(_uom="lbs", 175, 80), 1.25, IF(_uom="lbs",5,2.5))))), "")</f>
        <v/>
      </c>
      <c r="BN42" s="148"/>
      <c r="BO42" s="33"/>
      <c r="BP42" s="171"/>
      <c r="BQ42" s="124" t="str">
        <f>IFERROR(__xludf.DUMMYFUNCTION("IF(BM42=MAX(FILTER(BM$10:BM$199,LOOKUP(ROW(BG$10:BG$199),FILTER(ROW(BG$10:BG$199),BG$10:BG$199&lt;&gt;BG$9:BG$198))=LOOKUP(ROW(BG42),FILTER(ROW(BG$10:BG$199),BG$10:BG$199&lt;&gt;BG$9:BG$198)))),BN42,)"),"")</f>
        <v/>
      </c>
      <c r="BR42" s="122"/>
      <c r="BS42" s="33"/>
      <c r="BT42" s="143" t="str">
        <f t="shared" si="19"/>
        <v/>
      </c>
      <c r="BU42" s="38" t="str">
        <f>IFERROR(__xludf.DUMMYFUNCTION("""COMPUTED_VALUE"""),"")</f>
        <v/>
      </c>
      <c r="BV42" s="144">
        <v>46146.0</v>
      </c>
      <c r="BW42" s="167" t="str">
        <f t="shared" si="20"/>
        <v/>
      </c>
      <c r="BX42" s="168" t="str">
        <f t="shared" si="178"/>
        <v/>
      </c>
      <c r="BY42" s="169" t="str">
        <f t="shared" si="179"/>
        <v/>
      </c>
      <c r="BZ42" s="172" t="str">
        <f t="shared" si="180"/>
        <v/>
      </c>
      <c r="CA42" s="171" t="str">
        <f t="array" ref="CA42">IFERROR(IF(BU42="ac"+ISNUMBER(SEARCH("'",BZ42))+BY42="","", IF(ISNUMBER(SEARCH("lw",BZ42)), BM42 + SUBSTITUTE(BZ42,"lw+",""), MROUND(SWITCH(BU42,"sq",BY$7,"bn",BZ$7,"dl",CA$7,"")*IF(BZ42&gt;10, BZ42/100, VLOOKUP(BZ42, _rpe,SUBSTITUTE(BY42,"+","")+1,0)), IF( SWITCH(BU42,"sq",BY$7,"bn",BZ$7,"dl", CA$7,"")&lt; IF(_uom="lbs", 175, 80), 1.25, IF(_uom="lbs",5,2.5))))), "")</f>
        <v/>
      </c>
      <c r="CB42" s="148"/>
      <c r="CC42" s="33"/>
      <c r="CD42" s="171"/>
      <c r="CE42" s="124" t="str">
        <f>IFERROR(__xludf.DUMMYFUNCTION("IF(CA42=MAX(FILTER(CA$10:CA$199,LOOKUP(ROW(BU$10:BU$199),FILTER(ROW(BU$10:BU$199),BU$10:BU$199&lt;&gt;BU$9:BU$198))=LOOKUP(ROW(BU42),FILTER(ROW(BU$10:BU$199),BU$10:BU$199&lt;&gt;BU$9:BU$198)))),CB42,)"),"")</f>
        <v/>
      </c>
      <c r="CF42" s="122"/>
      <c r="CG42" s="33"/>
      <c r="CH42" s="143" t="str">
        <f t="shared" si="21"/>
        <v/>
      </c>
      <c r="CI42" s="38" t="str">
        <f>IFERROR(__xludf.DUMMYFUNCTION("""COMPUTED_VALUE"""),"")</f>
        <v/>
      </c>
      <c r="CJ42" s="144">
        <v>46153.0</v>
      </c>
      <c r="CK42" s="167" t="str">
        <f t="shared" si="27"/>
        <v/>
      </c>
      <c r="CL42" s="168" t="str">
        <f t="shared" si="181"/>
        <v/>
      </c>
      <c r="CM42" s="169" t="str">
        <f t="shared" si="182"/>
        <v/>
      </c>
      <c r="CN42" s="172" t="str">
        <f t="shared" si="183"/>
        <v/>
      </c>
      <c r="CO42" s="171" t="str">
        <f t="array" ref="CO42">IFERROR(IF(CI42="ac"+ISNUMBER(SEARCH("'",CN42))+CM42="","", IF(ISNUMBER(SEARCH("lw",CN42)), CA42 + SUBSTITUTE(CN42,"lw+",""), MROUND(SWITCH(CI42,"sq",CM$7,"bn",CN$7,"dl",CO$7,"")*IF(CN42&gt;10, CN42/100, VLOOKUP(CN42, _rpe,SUBSTITUTE(CM42,"+","")+1,0)), IF( SWITCH(CI42,"sq",CM$7,"bn",CN$7,"dl", CO$7,"")&lt; IF(_uom="lbs", 175, 80), 1.25, IF(_uom="lbs",5,2.5))))), "")</f>
        <v/>
      </c>
      <c r="CP42" s="148"/>
      <c r="CQ42" s="33"/>
      <c r="CR42" s="171"/>
      <c r="CS42" s="124" t="str">
        <f>IFERROR(__xludf.DUMMYFUNCTION("IF(CO42=MAX(FILTER(CO$10:CO$199,LOOKUP(ROW(CI$10:CI$199),FILTER(ROW(CI$10:CI$199),CI$10:CI$199&lt;&gt;CI$9:CI$198))=LOOKUP(ROW(CI42),FILTER(ROW(CI$10:CI$199),CI$10:CI$199&lt;&gt;CI$9:CI$198)))),CP42,)"),"")</f>
        <v/>
      </c>
      <c r="CT42" s="122"/>
      <c r="CU42" s="33"/>
      <c r="CV42" s="143" t="str">
        <f t="shared" si="22"/>
        <v/>
      </c>
      <c r="CW42" s="38" t="str">
        <f>IFERROR(__xludf.DUMMYFUNCTION("""COMPUTED_VALUE"""),"")</f>
        <v/>
      </c>
      <c r="CX42" s="144">
        <v>46160.0</v>
      </c>
      <c r="CY42" s="167" t="str">
        <f t="shared" si="28"/>
        <v/>
      </c>
      <c r="CZ42" s="168" t="str">
        <f t="shared" si="184"/>
        <v/>
      </c>
      <c r="DA42" s="169" t="str">
        <f t="shared" si="185"/>
        <v/>
      </c>
      <c r="DB42" s="172" t="str">
        <f t="shared" si="169"/>
        <v/>
      </c>
      <c r="DC42" s="171" t="str">
        <f t="array" ref="DC42">IFERROR(IF(CW42="ac"+ISNUMBER(SEARCH("'",DB42))+DA42="","", IF(ISNUMBER(SEARCH("lw",DB42)), CO42 + SUBSTITUTE(DB42,"lw+",""), MROUND(SWITCH(CW42,"sq",DA$7,"bn",DB$7,"dl",DC$7,"")*IF(DB42&gt;10, DB42/100, VLOOKUP(DB42, _rpe,SUBSTITUTE(DA42,"+","")+1,0)), IF( SWITCH(CW42,"sq",DA$7,"bn",DB$7,"dl", DC$7,"")&lt; IF(_uom="lbs", 175, 80), 1.25, IF(_uom="lbs",5,2.5))))), "")</f>
        <v/>
      </c>
      <c r="DD42" s="148"/>
      <c r="DE42" s="33"/>
      <c r="DF42" s="171"/>
      <c r="DG42" s="124" t="str">
        <f>IFERROR(__xludf.DUMMYFUNCTION("IF(DC42=MAX(FILTER(DC$10:DC$199,LOOKUP(ROW(CW$10:CW$199),FILTER(ROW(CW$10:CW$199),CW$10:CW$199&lt;&gt;CW$9:CW$198))=LOOKUP(ROW(CW42),FILTER(ROW(CW$10:CW$199),CW$10:CW$199&lt;&gt;CW$9:CW$198)))),DD42,)"),"")</f>
        <v/>
      </c>
      <c r="DH42" s="122"/>
      <c r="DI42" s="33"/>
      <c r="DJ42" s="143" t="str">
        <f t="shared" si="23"/>
        <v/>
      </c>
      <c r="DK42" s="38" t="str">
        <f>IFERROR(__xludf.DUMMYFUNCTION("""COMPUTED_VALUE"""),"")</f>
        <v/>
      </c>
      <c r="DL42" s="144">
        <v>46167.0</v>
      </c>
      <c r="DM42" s="167"/>
      <c r="DN42" s="168"/>
      <c r="DO42" s="169"/>
      <c r="DP42" s="172"/>
      <c r="DQ42" s="171" t="str">
        <f t="array" ref="DQ42">IFERROR(IF(DK42="ac"+ISNUMBER(SEARCH("'",DP42))+DO42="","", IF(ISNUMBER(SEARCH("lw",DP42)), DC42 + SUBSTITUTE(DP42,"lw+",""), MROUND(SWITCH(DK42,"sq",DO$7,"bn",DP$7,"dl",DQ$7,"")*IF(DP42&gt;10, DP42/100, VLOOKUP(DP42, _rpe,SUBSTITUTE(DO42,"+","")+1,0)), IF( SWITCH(DK42,"sq",DO$7,"bn",DP$7,"dl", DQ$7,"")&lt; IF(_uom="lbs", 175, 80), 1.25, IF(_uom="lbs",5,2.5))))), "")</f>
        <v/>
      </c>
      <c r="DR42" s="148"/>
      <c r="DS42" s="33"/>
      <c r="DT42" s="171"/>
      <c r="DU42" s="124" t="str">
        <f>IFERROR(__xludf.DUMMYFUNCTION("IF(DQ42=MAX(FILTER(DQ$10:DQ$199,LOOKUP(ROW(DK$10:DK$199),FILTER(ROW(DK$10:DK$199),DK$10:DK$199&lt;&gt;DK$9:DK$198))=LOOKUP(ROW(DK42),FILTER(ROW(DK$10:DK$199),DK$10:DK$199&lt;&gt;DK$9:DK$198)))),DR42,)"),"")</f>
        <v/>
      </c>
      <c r="DV42" s="122"/>
      <c r="DW42" s="33"/>
      <c r="DX42" s="143"/>
      <c r="DY42" s="38"/>
      <c r="DZ42" s="144"/>
      <c r="EA42" s="150"/>
      <c r="EB42" s="174"/>
      <c r="EC42" s="175"/>
      <c r="ED42" s="176"/>
      <c r="EE42" s="155"/>
      <c r="EF42" s="148"/>
      <c r="EG42" s="33"/>
      <c r="EH42" s="155"/>
      <c r="EI42" s="148"/>
      <c r="EJ42" s="33"/>
      <c r="EK42" s="33"/>
      <c r="EL42" s="143"/>
      <c r="EM42" s="38"/>
      <c r="EN42" s="144"/>
      <c r="EO42" s="150"/>
      <c r="EP42" s="174"/>
      <c r="EQ42" s="175"/>
      <c r="ER42" s="176"/>
      <c r="ES42" s="155"/>
      <c r="ET42" s="148"/>
      <c r="EU42" s="33"/>
      <c r="EV42" s="155"/>
      <c r="EW42" s="148"/>
      <c r="EX42" s="33"/>
      <c r="EY42" s="33"/>
      <c r="EZ42" s="143"/>
      <c r="FA42" s="38"/>
      <c r="FB42" s="144"/>
      <c r="FC42" s="150"/>
      <c r="FD42" s="174"/>
      <c r="FE42" s="175"/>
      <c r="FF42" s="176"/>
      <c r="FG42" s="155"/>
      <c r="FH42" s="148"/>
      <c r="FI42" s="33"/>
      <c r="FJ42" s="155"/>
      <c r="FK42" s="148"/>
      <c r="FL42" s="33"/>
      <c r="FM42" s="33"/>
      <c r="FN42" s="143"/>
      <c r="FO42" s="38"/>
      <c r="FP42" s="144"/>
      <c r="FQ42" s="150"/>
      <c r="FR42" s="174"/>
      <c r="FS42" s="175"/>
      <c r="FT42" s="176"/>
      <c r="FU42" s="155"/>
      <c r="FV42" s="148"/>
      <c r="FW42" s="33"/>
      <c r="FX42" s="155"/>
      <c r="FY42" s="148"/>
      <c r="FZ42" s="33"/>
      <c r="GA42" s="33"/>
      <c r="GB42" s="143"/>
      <c r="GC42" s="38"/>
      <c r="GD42" s="144"/>
      <c r="GE42" s="150"/>
      <c r="GF42" s="174"/>
      <c r="GG42" s="175"/>
      <c r="GH42" s="176"/>
      <c r="GI42" s="155"/>
      <c r="GJ42" s="148"/>
      <c r="GK42" s="33"/>
      <c r="GL42" s="155"/>
      <c r="GM42" s="148"/>
      <c r="GN42" s="33"/>
      <c r="GO42" s="33"/>
      <c r="GP42" s="143"/>
      <c r="GQ42" s="38"/>
      <c r="GR42" s="144"/>
      <c r="GS42" s="150"/>
      <c r="GT42" s="174"/>
      <c r="GU42" s="175"/>
      <c r="GV42" s="176"/>
      <c r="GW42" s="155"/>
      <c r="GX42" s="148"/>
      <c r="GY42" s="33"/>
      <c r="GZ42" s="155"/>
      <c r="HA42" s="148"/>
      <c r="HB42" s="33"/>
      <c r="HC42" s="33"/>
      <c r="HD42" s="143"/>
      <c r="HE42" s="38"/>
      <c r="HF42" s="144"/>
      <c r="HG42" s="150"/>
      <c r="HH42" s="174"/>
      <c r="HI42" s="175"/>
      <c r="HJ42" s="176"/>
      <c r="HK42" s="155"/>
      <c r="HL42" s="148"/>
      <c r="HM42" s="33"/>
      <c r="HN42" s="155"/>
      <c r="HO42" s="148"/>
      <c r="HP42" s="33"/>
      <c r="HQ42" s="33"/>
      <c r="HR42" s="143"/>
      <c r="HS42" s="38"/>
      <c r="HT42" s="144"/>
      <c r="HU42" s="150"/>
      <c r="HV42" s="174"/>
      <c r="HW42" s="175"/>
      <c r="HX42" s="176"/>
      <c r="HY42" s="155"/>
      <c r="HZ42" s="148"/>
      <c r="IA42" s="33"/>
      <c r="IB42" s="155"/>
      <c r="IC42" s="148"/>
      <c r="ID42" s="33"/>
      <c r="IE42" s="33"/>
      <c r="IF42" s="143"/>
      <c r="IG42" s="38"/>
      <c r="IH42" s="144"/>
      <c r="II42" s="150"/>
      <c r="IJ42" s="174"/>
      <c r="IK42" s="175"/>
      <c r="IL42" s="176"/>
      <c r="IM42" s="155"/>
      <c r="IN42" s="148"/>
      <c r="IO42" s="33"/>
      <c r="IP42" s="155"/>
      <c r="IQ42" s="148"/>
      <c r="IR42" s="33"/>
      <c r="IS42" s="33"/>
      <c r="IT42" s="143"/>
      <c r="IU42" s="38"/>
      <c r="IV42" s="144"/>
      <c r="IW42" s="143" t="str">
        <f t="shared" si="24"/>
        <v>#REF!</v>
      </c>
      <c r="IX42" s="38"/>
      <c r="IY42" s="144" t="e">
        <v>#REF!</v>
      </c>
    </row>
    <row r="43" hidden="1" outlineLevel="1">
      <c r="A43" s="33"/>
      <c r="B43" s="143"/>
      <c r="C43" s="38" t="str">
        <f>IFERROR(__xludf.DUMMYFUNCTION("""COMPUTED_VALUE"""),"")</f>
        <v/>
      </c>
      <c r="D43" s="144">
        <v>46111.0</v>
      </c>
      <c r="E43" s="167"/>
      <c r="F43" s="168"/>
      <c r="G43" s="169"/>
      <c r="H43" s="170"/>
      <c r="I43" s="171" t="str">
        <f t="array" ref="I43">IFERROR(IF(C43="ac"+ISNUMBER(SEARCH("'",H43))+G43="","", MROUND(SWITCH(C43,"sq",'Personal Info'!$O$15,"bn",'Personal Info'!$S$15,"dl",'Personal Info'!$W$15,"")*IF(H43&gt;10, H43/100, VLOOKUP(H43, _rpe,SUBSTITUTE(G43,"+","")+1,0)), IF( SWITCH(C43:C210,"sq",'Personal Info'!$O$15,"bn",'Personal Info'!$S$15,"dl", 'Personal Info'!$W$15,"")&lt; IF(_uom="lbs", 175, 80), 1.25, IF(_uom="lbs",5,2.5)))),"")</f>
        <v/>
      </c>
      <c r="J43" s="148"/>
      <c r="K43" s="33"/>
      <c r="L43" s="171"/>
      <c r="M43" s="124" t="str">
        <f>IFERROR(__xludf.DUMMYFUNCTION("IF(I43=MAX(FILTER(I$10:I$199,LOOKUP(ROW(C$10:C$199),FILTER(ROW(C$10:C$199),C$10:C$199&lt;&gt;C$9:C$198))=LOOKUP(ROW(C43),FILTER(ROW(C$10:C$199),C$10:C$199&lt;&gt;C$9:C$198)))),J43,)"),"")</f>
        <v/>
      </c>
      <c r="N43" s="122"/>
      <c r="O43" s="33"/>
      <c r="P43" s="143" t="str">
        <f t="shared" si="12"/>
        <v/>
      </c>
      <c r="Q43" s="38" t="str">
        <f>IFERROR(__xludf.DUMMYFUNCTION("""COMPUTED_VALUE"""),"")</f>
        <v/>
      </c>
      <c r="R43" s="144">
        <v>46118.0</v>
      </c>
      <c r="S43" s="167" t="str">
        <f t="shared" si="13"/>
        <v/>
      </c>
      <c r="T43" s="168" t="str">
        <f t="shared" si="170"/>
        <v/>
      </c>
      <c r="U43" s="169" t="str">
        <f t="shared" si="171"/>
        <v/>
      </c>
      <c r="V43" s="172" t="str">
        <f t="shared" si="172"/>
        <v/>
      </c>
      <c r="W43" s="171" t="str">
        <f t="array" ref="W43">IFERROR(IF(Q43="ac"+ISNUMBER(SEARCH("'",V43))+U43="","", IF(ISNUMBER(SEARCH("lw",V43)), I43 + SUBSTITUTE(V43,"lw+",""), MROUND(SWITCH(Q43,"sq",U$7,"bn",V$7,"dl",W$7,"")*IF(V43&gt;10, V43/100, VLOOKUP(V43, _rpe,SUBSTITUTE(U43,"+","")+1,0)), IF( SWITCH(Q43,"sq",U$7,"bn",V$7,"dl", W$7,"")&lt; IF(_uom="lbs", 175, 80), 1.25, IF(_uom="lbs",5,2.5))))), "")</f>
        <v/>
      </c>
      <c r="X43" s="148"/>
      <c r="Y43" s="33"/>
      <c r="Z43" s="171"/>
      <c r="AA43" s="124" t="str">
        <f>IFERROR(__xludf.DUMMYFUNCTION("IF(W43=MAX(FILTER(W$10:W$199,LOOKUP(ROW(Q$10:Q$199),FILTER(ROW(Q$10:Q$199),Q$10:Q$199&lt;&gt;Q$9:Q$198))=LOOKUP(ROW(Q43),FILTER(ROW(Q$10:Q$199),Q$10:Q$199&lt;&gt;Q$9:Q$198)))),X43,)"),"")</f>
        <v/>
      </c>
      <c r="AB43" s="122"/>
      <c r="AC43" s="33"/>
      <c r="AD43" s="143" t="str">
        <f t="shared" si="14"/>
        <v/>
      </c>
      <c r="AE43" s="38" t="str">
        <f>IFERROR(__xludf.DUMMYFUNCTION("""COMPUTED_VALUE"""),"")</f>
        <v/>
      </c>
      <c r="AF43" s="144">
        <v>46125.0</v>
      </c>
      <c r="AG43" s="167" t="str">
        <f t="shared" si="54"/>
        <v/>
      </c>
      <c r="AH43" s="168" t="str">
        <f t="shared" si="151"/>
        <v/>
      </c>
      <c r="AI43" s="169" t="str">
        <f t="shared" si="173"/>
        <v/>
      </c>
      <c r="AJ43" s="172" t="str">
        <f t="shared" si="157"/>
        <v/>
      </c>
      <c r="AK43" s="171" t="str">
        <f t="array" ref="AK43">IFERROR(IF(AE43="ac"+ISNUMBER(SEARCH("'",AJ43))+AI43="","", IF(ISNUMBER(SEARCH("lw",AJ43)), W43 + SUBSTITUTE(AJ43,"lw+",""), MROUND(SWITCH(AE43,"sq",AI$7,"bn",AJ$7,"dl",AK$7,"")*IF(AJ43&gt;10, AJ43/100, VLOOKUP(AJ43, _rpe,SUBSTITUTE(AI43,"+","")+1,0)), IF( SWITCH(AE43,"sq",AI$7,"bn",AJ$7,"dl", AK$7,"")&lt; IF(_uom="lbs", 175, 80), 1.25, IF(_uom="lbs",5,2.5))))), "")</f>
        <v/>
      </c>
      <c r="AL43" s="148"/>
      <c r="AM43" s="33"/>
      <c r="AN43" s="171"/>
      <c r="AO43" s="124" t="str">
        <f>IFERROR(__xludf.DUMMYFUNCTION("IF(AK43=MAX(FILTER(AK$10:AK$199,LOOKUP(ROW(AE$10:AE$199),FILTER(ROW(AE$10:AE$199),AE$10:AE$199&lt;&gt;AE$9:AE$198))=LOOKUP(ROW(AE43),FILTER(ROW(AE$10:AE$199),AE$10:AE$199&lt;&gt;AE$9:AE$198)))),AL43,)"),"")</f>
        <v/>
      </c>
      <c r="AP43" s="122"/>
      <c r="AQ43" s="33"/>
      <c r="AR43" s="143" t="str">
        <f t="shared" si="16"/>
        <v/>
      </c>
      <c r="AS43" s="38" t="str">
        <f>IFERROR(__xludf.DUMMYFUNCTION("""COMPUTED_VALUE"""),"")</f>
        <v/>
      </c>
      <c r="AT43" s="144">
        <v>46132.0</v>
      </c>
      <c r="AU43" s="167" t="str">
        <f t="shared" si="26"/>
        <v/>
      </c>
      <c r="AV43" s="168" t="str">
        <f t="shared" si="152"/>
        <v/>
      </c>
      <c r="AW43" s="169" t="str">
        <f t="shared" si="174"/>
        <v/>
      </c>
      <c r="AX43" s="172" t="str">
        <f t="shared" si="158"/>
        <v/>
      </c>
      <c r="AY43" s="171" t="str">
        <f t="array" ref="AY43">IFERROR(IF(AS43="ac"+ISNUMBER(SEARCH("'",AX43))+AW43="","", IF(ISNUMBER(SEARCH("lw",AX43)), AK43 + SUBSTITUTE(AX43,"lw+",""), MROUND(SWITCH(AS43,"sq",AW$7,"bn",AX$7,"dl",AY$7,"")*IF(AX43&gt;10, AX43/100, VLOOKUP(AX43, _rpe,SUBSTITUTE(AW43,"+","")+1,0)), IF( SWITCH(AS43,"sq",AW$7,"bn",AX$7,"dl", AY$7,"")&lt; IF(_uom="lbs", 175, 80), 1.25, IF(_uom="lbs",5,2.5))))), "")</f>
        <v/>
      </c>
      <c r="AZ43" s="148"/>
      <c r="BA43" s="33"/>
      <c r="BB43" s="171"/>
      <c r="BC43" s="124" t="str">
        <f>IFERROR(__xludf.DUMMYFUNCTION("IF(AY43=MAX(FILTER(AY$10:AY$199,LOOKUP(ROW(AS$10:AS$199),FILTER(ROW(AS$10:AS$199),AS$10:AS$199&lt;&gt;AS$9:AS$198))=LOOKUP(ROW(AS43),FILTER(ROW(AS$10:AS$199),AS$10:AS$199&lt;&gt;AS$9:AS$198)))),AZ43,)"),"")</f>
        <v/>
      </c>
      <c r="BD43" s="122"/>
      <c r="BE43" s="33"/>
      <c r="BF43" s="143" t="str">
        <f t="shared" si="17"/>
        <v/>
      </c>
      <c r="BG43" s="38" t="str">
        <f>IFERROR(__xludf.DUMMYFUNCTION("""COMPUTED_VALUE"""),"")</f>
        <v/>
      </c>
      <c r="BH43" s="144">
        <v>46139.0</v>
      </c>
      <c r="BI43" s="167" t="str">
        <f t="shared" si="18"/>
        <v/>
      </c>
      <c r="BJ43" s="168" t="str">
        <f t="shared" si="175"/>
        <v/>
      </c>
      <c r="BK43" s="169" t="str">
        <f t="shared" si="176"/>
        <v/>
      </c>
      <c r="BL43" s="172" t="str">
        <f t="shared" si="177"/>
        <v/>
      </c>
      <c r="BM43" s="171" t="str">
        <f t="array" ref="BM43">IFERROR(IF(BG43="ac"+ISNUMBER(SEARCH("'",BL43))+BK43="","", IF(ISNUMBER(SEARCH("lw",BL43)), AY43 + SUBSTITUTE(BL43,"lw+",""), MROUND(SWITCH(BG43,"sq",BK$7,"bn",BL$7,"dl",BM$7,"")*IF(BL43&gt;10, BL43/100, VLOOKUP(BL43, _rpe,SUBSTITUTE(BK43,"+","")+1,0)), IF( SWITCH(BG43,"sq",BK$7,"bn",BL$7,"dl", BM$7,"")&lt; IF(_uom="lbs", 175, 80), 1.25, IF(_uom="lbs",5,2.5))))), "")</f>
        <v/>
      </c>
      <c r="BN43" s="148"/>
      <c r="BO43" s="33"/>
      <c r="BP43" s="171"/>
      <c r="BQ43" s="124" t="str">
        <f>IFERROR(__xludf.DUMMYFUNCTION("IF(BM43=MAX(FILTER(BM$10:BM$199,LOOKUP(ROW(BG$10:BG$199),FILTER(ROW(BG$10:BG$199),BG$10:BG$199&lt;&gt;BG$9:BG$198))=LOOKUP(ROW(BG43),FILTER(ROW(BG$10:BG$199),BG$10:BG$199&lt;&gt;BG$9:BG$198)))),BN43,)"),"")</f>
        <v/>
      </c>
      <c r="BR43" s="122"/>
      <c r="BS43" s="33"/>
      <c r="BT43" s="143" t="str">
        <f t="shared" si="19"/>
        <v/>
      </c>
      <c r="BU43" s="38" t="str">
        <f>IFERROR(__xludf.DUMMYFUNCTION("""COMPUTED_VALUE"""),"")</f>
        <v/>
      </c>
      <c r="BV43" s="144">
        <v>46146.0</v>
      </c>
      <c r="BW43" s="167" t="str">
        <f t="shared" si="20"/>
        <v/>
      </c>
      <c r="BX43" s="168" t="str">
        <f t="shared" si="178"/>
        <v/>
      </c>
      <c r="BY43" s="169" t="str">
        <f t="shared" si="179"/>
        <v/>
      </c>
      <c r="BZ43" s="172" t="str">
        <f t="shared" si="180"/>
        <v/>
      </c>
      <c r="CA43" s="171" t="str">
        <f t="array" ref="CA43">IFERROR(IF(BU43="ac"+ISNUMBER(SEARCH("'",BZ43))+BY43="","", IF(ISNUMBER(SEARCH("lw",BZ43)), BM43 + SUBSTITUTE(BZ43,"lw+",""), MROUND(SWITCH(BU43,"sq",BY$7,"bn",BZ$7,"dl",CA$7,"")*IF(BZ43&gt;10, BZ43/100, VLOOKUP(BZ43, _rpe,SUBSTITUTE(BY43,"+","")+1,0)), IF( SWITCH(BU43,"sq",BY$7,"bn",BZ$7,"dl", CA$7,"")&lt; IF(_uom="lbs", 175, 80), 1.25, IF(_uom="lbs",5,2.5))))), "")</f>
        <v/>
      </c>
      <c r="CB43" s="148"/>
      <c r="CC43" s="33"/>
      <c r="CD43" s="171"/>
      <c r="CE43" s="124" t="str">
        <f>IFERROR(__xludf.DUMMYFUNCTION("IF(CA43=MAX(FILTER(CA$10:CA$199,LOOKUP(ROW(BU$10:BU$199),FILTER(ROW(BU$10:BU$199),BU$10:BU$199&lt;&gt;BU$9:BU$198))=LOOKUP(ROW(BU43),FILTER(ROW(BU$10:BU$199),BU$10:BU$199&lt;&gt;BU$9:BU$198)))),CB43,)"),"")</f>
        <v/>
      </c>
      <c r="CF43" s="122"/>
      <c r="CG43" s="33"/>
      <c r="CH43" s="143" t="str">
        <f t="shared" si="21"/>
        <v/>
      </c>
      <c r="CI43" s="38" t="str">
        <f>IFERROR(__xludf.DUMMYFUNCTION("""COMPUTED_VALUE"""),"")</f>
        <v/>
      </c>
      <c r="CJ43" s="144">
        <v>46153.0</v>
      </c>
      <c r="CK43" s="167" t="str">
        <f t="shared" si="27"/>
        <v/>
      </c>
      <c r="CL43" s="168" t="str">
        <f t="shared" si="181"/>
        <v/>
      </c>
      <c r="CM43" s="169" t="str">
        <f t="shared" si="182"/>
        <v/>
      </c>
      <c r="CN43" s="172" t="str">
        <f t="shared" si="183"/>
        <v/>
      </c>
      <c r="CO43" s="171" t="str">
        <f t="array" ref="CO43">IFERROR(IF(CI43="ac"+ISNUMBER(SEARCH("'",CN43))+CM43="","", IF(ISNUMBER(SEARCH("lw",CN43)), CA43 + SUBSTITUTE(CN43,"lw+",""), MROUND(SWITCH(CI43,"sq",CM$7,"bn",CN$7,"dl",CO$7,"")*IF(CN43&gt;10, CN43/100, VLOOKUP(CN43, _rpe,SUBSTITUTE(CM43,"+","")+1,0)), IF( SWITCH(CI43,"sq",CM$7,"bn",CN$7,"dl", CO$7,"")&lt; IF(_uom="lbs", 175, 80), 1.25, IF(_uom="lbs",5,2.5))))), "")</f>
        <v/>
      </c>
      <c r="CP43" s="148"/>
      <c r="CQ43" s="33"/>
      <c r="CR43" s="171"/>
      <c r="CS43" s="124" t="str">
        <f>IFERROR(__xludf.DUMMYFUNCTION("IF(CO43=MAX(FILTER(CO$10:CO$199,LOOKUP(ROW(CI$10:CI$199),FILTER(ROW(CI$10:CI$199),CI$10:CI$199&lt;&gt;CI$9:CI$198))=LOOKUP(ROW(CI43),FILTER(ROW(CI$10:CI$199),CI$10:CI$199&lt;&gt;CI$9:CI$198)))),CP43,)"),"")</f>
        <v/>
      </c>
      <c r="CT43" s="122"/>
      <c r="CU43" s="33"/>
      <c r="CV43" s="143" t="str">
        <f t="shared" si="22"/>
        <v/>
      </c>
      <c r="CW43" s="38" t="str">
        <f>IFERROR(__xludf.DUMMYFUNCTION("""COMPUTED_VALUE"""),"")</f>
        <v/>
      </c>
      <c r="CX43" s="144">
        <v>46160.0</v>
      </c>
      <c r="CY43" s="167" t="str">
        <f t="shared" si="28"/>
        <v/>
      </c>
      <c r="CZ43" s="168" t="str">
        <f t="shared" si="184"/>
        <v/>
      </c>
      <c r="DA43" s="169" t="str">
        <f t="shared" si="185"/>
        <v/>
      </c>
      <c r="DB43" s="172" t="str">
        <f t="shared" si="169"/>
        <v/>
      </c>
      <c r="DC43" s="171" t="str">
        <f t="array" ref="DC43">IFERROR(IF(CW43="ac"+ISNUMBER(SEARCH("'",DB43))+DA43="","", IF(ISNUMBER(SEARCH("lw",DB43)), CO43 + SUBSTITUTE(DB43,"lw+",""), MROUND(SWITCH(CW43,"sq",DA$7,"bn",DB$7,"dl",DC$7,"")*IF(DB43&gt;10, DB43/100, VLOOKUP(DB43, _rpe,SUBSTITUTE(DA43,"+","")+1,0)), IF( SWITCH(CW43,"sq",DA$7,"bn",DB$7,"dl", DC$7,"")&lt; IF(_uom="lbs", 175, 80), 1.25, IF(_uom="lbs",5,2.5))))), "")</f>
        <v/>
      </c>
      <c r="DD43" s="148"/>
      <c r="DE43" s="33"/>
      <c r="DF43" s="171"/>
      <c r="DG43" s="124" t="str">
        <f>IFERROR(__xludf.DUMMYFUNCTION("IF(DC43=MAX(FILTER(DC$10:DC$199,LOOKUP(ROW(CW$10:CW$199),FILTER(ROW(CW$10:CW$199),CW$10:CW$199&lt;&gt;CW$9:CW$198))=LOOKUP(ROW(CW43),FILTER(ROW(CW$10:CW$199),CW$10:CW$199&lt;&gt;CW$9:CW$198)))),DD43,)"),"")</f>
        <v/>
      </c>
      <c r="DH43" s="122"/>
      <c r="DI43" s="33"/>
      <c r="DJ43" s="143" t="str">
        <f t="shared" si="23"/>
        <v/>
      </c>
      <c r="DK43" s="38" t="str">
        <f>IFERROR(__xludf.DUMMYFUNCTION("""COMPUTED_VALUE"""),"")</f>
        <v/>
      </c>
      <c r="DL43" s="144">
        <v>46167.0</v>
      </c>
      <c r="DM43" s="167"/>
      <c r="DN43" s="168"/>
      <c r="DO43" s="169"/>
      <c r="DP43" s="172"/>
      <c r="DQ43" s="171" t="str">
        <f t="array" ref="DQ43">IFERROR(IF(DK43="ac"+ISNUMBER(SEARCH("'",DP43))+DO43="","", IF(ISNUMBER(SEARCH("lw",DP43)), DC43 + SUBSTITUTE(DP43,"lw+",""), MROUND(SWITCH(DK43,"sq",DO$7,"bn",DP$7,"dl",DQ$7,"")*IF(DP43&gt;10, DP43/100, VLOOKUP(DP43, _rpe,SUBSTITUTE(DO43,"+","")+1,0)), IF( SWITCH(DK43,"sq",DO$7,"bn",DP$7,"dl", DQ$7,"")&lt; IF(_uom="lbs", 175, 80), 1.25, IF(_uom="lbs",5,2.5))))), "")</f>
        <v/>
      </c>
      <c r="DR43" s="148"/>
      <c r="DS43" s="33"/>
      <c r="DT43" s="171"/>
      <c r="DU43" s="124" t="str">
        <f>IFERROR(__xludf.DUMMYFUNCTION("IF(DQ43=MAX(FILTER(DQ$10:DQ$199,LOOKUP(ROW(DK$10:DK$199),FILTER(ROW(DK$10:DK$199),DK$10:DK$199&lt;&gt;DK$9:DK$198))=LOOKUP(ROW(DK43),FILTER(ROW(DK$10:DK$199),DK$10:DK$199&lt;&gt;DK$9:DK$198)))),DR43,)"),"")</f>
        <v/>
      </c>
      <c r="DV43" s="122"/>
      <c r="DW43" s="33"/>
      <c r="DX43" s="143"/>
      <c r="DY43" s="38"/>
      <c r="DZ43" s="144"/>
      <c r="EA43" s="150"/>
      <c r="EB43" s="174"/>
      <c r="EC43" s="175"/>
      <c r="ED43" s="176"/>
      <c r="EE43" s="155"/>
      <c r="EF43" s="148"/>
      <c r="EG43" s="33"/>
      <c r="EH43" s="155"/>
      <c r="EI43" s="148"/>
      <c r="EJ43" s="33"/>
      <c r="EK43" s="33"/>
      <c r="EL43" s="143"/>
      <c r="EM43" s="38"/>
      <c r="EN43" s="144"/>
      <c r="EO43" s="150"/>
      <c r="EP43" s="174"/>
      <c r="EQ43" s="175"/>
      <c r="ER43" s="176"/>
      <c r="ES43" s="155"/>
      <c r="ET43" s="148"/>
      <c r="EU43" s="33"/>
      <c r="EV43" s="155"/>
      <c r="EW43" s="148"/>
      <c r="EX43" s="33"/>
      <c r="EY43" s="33"/>
      <c r="EZ43" s="143"/>
      <c r="FA43" s="38"/>
      <c r="FB43" s="144"/>
      <c r="FC43" s="150"/>
      <c r="FD43" s="174"/>
      <c r="FE43" s="175"/>
      <c r="FF43" s="176"/>
      <c r="FG43" s="155"/>
      <c r="FH43" s="148"/>
      <c r="FI43" s="33"/>
      <c r="FJ43" s="155"/>
      <c r="FK43" s="148"/>
      <c r="FL43" s="33"/>
      <c r="FM43" s="33"/>
      <c r="FN43" s="143"/>
      <c r="FO43" s="38"/>
      <c r="FP43" s="144"/>
      <c r="FQ43" s="150"/>
      <c r="FR43" s="174"/>
      <c r="FS43" s="175"/>
      <c r="FT43" s="176"/>
      <c r="FU43" s="155"/>
      <c r="FV43" s="148"/>
      <c r="FW43" s="33"/>
      <c r="FX43" s="155"/>
      <c r="FY43" s="148"/>
      <c r="FZ43" s="33"/>
      <c r="GA43" s="33"/>
      <c r="GB43" s="143"/>
      <c r="GC43" s="38"/>
      <c r="GD43" s="144"/>
      <c r="GE43" s="150"/>
      <c r="GF43" s="174"/>
      <c r="GG43" s="175"/>
      <c r="GH43" s="176"/>
      <c r="GI43" s="155"/>
      <c r="GJ43" s="148"/>
      <c r="GK43" s="33"/>
      <c r="GL43" s="155"/>
      <c r="GM43" s="148"/>
      <c r="GN43" s="33"/>
      <c r="GO43" s="33"/>
      <c r="GP43" s="143"/>
      <c r="GQ43" s="38"/>
      <c r="GR43" s="144"/>
      <c r="GS43" s="150"/>
      <c r="GT43" s="174"/>
      <c r="GU43" s="175"/>
      <c r="GV43" s="176"/>
      <c r="GW43" s="155"/>
      <c r="GX43" s="148"/>
      <c r="GY43" s="33"/>
      <c r="GZ43" s="155"/>
      <c r="HA43" s="148"/>
      <c r="HB43" s="33"/>
      <c r="HC43" s="33"/>
      <c r="HD43" s="143"/>
      <c r="HE43" s="38"/>
      <c r="HF43" s="144"/>
      <c r="HG43" s="150"/>
      <c r="HH43" s="174"/>
      <c r="HI43" s="175"/>
      <c r="HJ43" s="176"/>
      <c r="HK43" s="155"/>
      <c r="HL43" s="148"/>
      <c r="HM43" s="33"/>
      <c r="HN43" s="155"/>
      <c r="HO43" s="148"/>
      <c r="HP43" s="33"/>
      <c r="HQ43" s="33"/>
      <c r="HR43" s="143"/>
      <c r="HS43" s="38"/>
      <c r="HT43" s="144"/>
      <c r="HU43" s="150"/>
      <c r="HV43" s="174"/>
      <c r="HW43" s="175"/>
      <c r="HX43" s="176"/>
      <c r="HY43" s="155"/>
      <c r="HZ43" s="148"/>
      <c r="IA43" s="33"/>
      <c r="IB43" s="155"/>
      <c r="IC43" s="148"/>
      <c r="ID43" s="33"/>
      <c r="IE43" s="33"/>
      <c r="IF43" s="143"/>
      <c r="IG43" s="38"/>
      <c r="IH43" s="144"/>
      <c r="II43" s="150"/>
      <c r="IJ43" s="174"/>
      <c r="IK43" s="175"/>
      <c r="IL43" s="176"/>
      <c r="IM43" s="155"/>
      <c r="IN43" s="148"/>
      <c r="IO43" s="33"/>
      <c r="IP43" s="155"/>
      <c r="IQ43" s="148"/>
      <c r="IR43" s="33"/>
      <c r="IS43" s="33"/>
      <c r="IT43" s="143"/>
      <c r="IU43" s="38"/>
      <c r="IV43" s="144"/>
      <c r="IW43" s="143" t="str">
        <f t="shared" si="24"/>
        <v>#REF!</v>
      </c>
      <c r="IX43" s="38"/>
      <c r="IY43" s="144" t="e">
        <v>#REF!</v>
      </c>
    </row>
    <row r="44">
      <c r="A44" s="33"/>
      <c r="B44" s="143" t="s">
        <v>326</v>
      </c>
      <c r="C44" s="38" t="str">
        <f>IFERROR(__xludf.DUMMYFUNCTION("""COMPUTED_VALUE"""),"ac")</f>
        <v>ac</v>
      </c>
      <c r="D44" s="144">
        <v>46111.0</v>
      </c>
      <c r="E44" s="167" t="s">
        <v>327</v>
      </c>
      <c r="F44" s="168">
        <v>3.0</v>
      </c>
      <c r="G44" s="179" t="s">
        <v>316</v>
      </c>
      <c r="H44" s="173" t="s">
        <v>307</v>
      </c>
      <c r="I44" s="171" t="str">
        <f t="array" ref="I44">IFERROR(IF(C44="ac"+ISNUMBER(SEARCH("'",H44))+G44="","", MROUND(SWITCH(C44,"sq",'Personal Info'!$O$15,"bn",'Personal Info'!$S$15,"dl",'Personal Info'!$W$15,"")*IF(H44&gt;10, H44/100, VLOOKUP(H44, _rpe,SUBSTITUTE(G44,"+","")+1,0)), IF( SWITCH(C44:C210,"sq",'Personal Info'!$O$15,"bn",'Personal Info'!$S$15,"dl", 'Personal Info'!$W$15,"")&lt; IF(_uom="lbs", 175, 80), 1.25, IF(_uom="lbs",5,2.5)))),"")</f>
        <v/>
      </c>
      <c r="J44" s="148"/>
      <c r="K44" s="33"/>
      <c r="L44" s="171"/>
      <c r="M44" s="124" t="str">
        <f>IFERROR(__xludf.DUMMYFUNCTION("IF(I44=MAX(FILTER(I$10:I$199,LOOKUP(ROW(C$10:C$199),FILTER(ROW(C$10:C$199),C$10:C$199&lt;&gt;C$9:C$198))=LOOKUP(ROW(C44),FILTER(ROW(C$10:C$199),C$10:C$199&lt;&gt;C$9:C$198)))),J44,)"),"")</f>
        <v/>
      </c>
      <c r="N44" s="122"/>
      <c r="O44" s="33"/>
      <c r="P44" s="143" t="str">
        <f t="shared" si="12"/>
        <v>posterior chain</v>
      </c>
      <c r="Q44" s="38" t="str">
        <f>IFERROR(__xludf.DUMMYFUNCTION("""COMPUTED_VALUE"""),"ac")</f>
        <v>ac</v>
      </c>
      <c r="R44" s="144">
        <v>46118.0</v>
      </c>
      <c r="S44" s="167" t="str">
        <f t="shared" si="13"/>
        <v>Weighted Back Extension</v>
      </c>
      <c r="T44" s="168">
        <f t="shared" si="170"/>
        <v>3</v>
      </c>
      <c r="U44" s="179" t="s">
        <v>316</v>
      </c>
      <c r="V44" s="173" t="s">
        <v>307</v>
      </c>
      <c r="W44" s="171" t="str">
        <f t="array" ref="W44">IFERROR(IF(Q44="ac"+ISNUMBER(SEARCH("'",V44))+U44="","", IF(ISNUMBER(SEARCH("lw",V44)), I44 + SUBSTITUTE(V44,"lw+",""), MROUND(SWITCH(Q44,"sq",U$7,"bn",V$7,"dl",W$7,"")*IF(V44&gt;10, V44/100, VLOOKUP(V44, _rpe,SUBSTITUTE(U44,"+","")+1,0)), IF( SWITCH(Q44,"sq",U$7,"bn",V$7,"dl", W$7,"")&lt; IF(_uom="lbs", 175, 80), 1.25, IF(_uom="lbs",5,2.5))))), "")</f>
        <v/>
      </c>
      <c r="X44" s="148"/>
      <c r="Y44" s="33"/>
      <c r="Z44" s="171"/>
      <c r="AA44" s="124" t="str">
        <f>IFERROR(__xludf.DUMMYFUNCTION("IF(W44=MAX(FILTER(W$10:W$199,LOOKUP(ROW(Q$10:Q$199),FILTER(ROW(Q$10:Q$199),Q$10:Q$199&lt;&gt;Q$9:Q$198))=LOOKUP(ROW(Q44),FILTER(ROW(Q$10:Q$199),Q$10:Q$199&lt;&gt;Q$9:Q$198)))),X44,)"),"")</f>
        <v/>
      </c>
      <c r="AB44" s="122"/>
      <c r="AC44" s="33"/>
      <c r="AD44" s="143" t="str">
        <f t="shared" si="14"/>
        <v>posterior chain</v>
      </c>
      <c r="AE44" s="38" t="str">
        <f>IFERROR(__xludf.DUMMYFUNCTION("""COMPUTED_VALUE"""),"ac")</f>
        <v>ac</v>
      </c>
      <c r="AF44" s="144">
        <v>46125.0</v>
      </c>
      <c r="AG44" s="167" t="str">
        <f t="shared" si="54"/>
        <v>Weighted Back Extension</v>
      </c>
      <c r="AH44" s="168">
        <f t="shared" si="151"/>
        <v>3</v>
      </c>
      <c r="AI44" s="179" t="s">
        <v>316</v>
      </c>
      <c r="AJ44" s="172" t="str">
        <f t="shared" si="157"/>
        <v>@7.5</v>
      </c>
      <c r="AK44" s="171" t="str">
        <f t="array" ref="AK44">IFERROR(IF(AE44="ac"+ISNUMBER(SEARCH("'",AJ44))+AI44="","", IF(ISNUMBER(SEARCH("lw",AJ44)), W44 + SUBSTITUTE(AJ44,"lw+",""), MROUND(SWITCH(AE44,"sq",AI$7,"bn",AJ$7,"dl",AK$7,"")*IF(AJ44&gt;10, AJ44/100, VLOOKUP(AJ44, _rpe,SUBSTITUTE(AI44,"+","")+1,0)), IF( SWITCH(AE44,"sq",AI$7,"bn",AJ$7,"dl", AK$7,"")&lt; IF(_uom="lbs", 175, 80), 1.25, IF(_uom="lbs",5,2.5))))), "")</f>
        <v/>
      </c>
      <c r="AL44" s="148"/>
      <c r="AM44" s="33"/>
      <c r="AN44" s="171"/>
      <c r="AO44" s="124" t="str">
        <f>IFERROR(__xludf.DUMMYFUNCTION("IF(AK44=MAX(FILTER(AK$10:AK$199,LOOKUP(ROW(AE$10:AE$199),FILTER(ROW(AE$10:AE$199),AE$10:AE$199&lt;&gt;AE$9:AE$198))=LOOKUP(ROW(AE44),FILTER(ROW(AE$10:AE$199),AE$10:AE$199&lt;&gt;AE$9:AE$198)))),AL44,)"),"")</f>
        <v/>
      </c>
      <c r="AP44" s="122"/>
      <c r="AQ44" s="33"/>
      <c r="AR44" s="143" t="str">
        <f t="shared" si="16"/>
        <v>posterior chain</v>
      </c>
      <c r="AS44" s="38" t="str">
        <f>IFERROR(__xludf.DUMMYFUNCTION("""COMPUTED_VALUE"""),"ac")</f>
        <v>ac</v>
      </c>
      <c r="AT44" s="144">
        <v>46132.0</v>
      </c>
      <c r="AU44" s="167" t="str">
        <f t="shared" si="26"/>
        <v>Weighted Back Extension</v>
      </c>
      <c r="AV44" s="168">
        <f t="shared" si="152"/>
        <v>3</v>
      </c>
      <c r="AW44" s="179" t="s">
        <v>316</v>
      </c>
      <c r="AX44" s="172" t="str">
        <f t="shared" si="158"/>
        <v>@7.5</v>
      </c>
      <c r="AY44" s="171" t="str">
        <f t="array" ref="AY44">IFERROR(IF(AS44="ac"+ISNUMBER(SEARCH("'",AX44))+AW44="","", IF(ISNUMBER(SEARCH("lw",AX44)), AK44 + SUBSTITUTE(AX44,"lw+",""), MROUND(SWITCH(AS44,"sq",AW$7,"bn",AX$7,"dl",AY$7,"")*IF(AX44&gt;10, AX44/100, VLOOKUP(AX44, _rpe,SUBSTITUTE(AW44,"+","")+1,0)), IF( SWITCH(AS44,"sq",AW$7,"bn",AX$7,"dl", AY$7,"")&lt; IF(_uom="lbs", 175, 80), 1.25, IF(_uom="lbs",5,2.5))))), "")</f>
        <v/>
      </c>
      <c r="AZ44" s="148"/>
      <c r="BA44" s="33"/>
      <c r="BB44" s="171"/>
      <c r="BC44" s="124" t="str">
        <f>IFERROR(__xludf.DUMMYFUNCTION("IF(AY44=MAX(FILTER(AY$10:AY$199,LOOKUP(ROW(AS$10:AS$199),FILTER(ROW(AS$10:AS$199),AS$10:AS$199&lt;&gt;AS$9:AS$198))=LOOKUP(ROW(AS44),FILTER(ROW(AS$10:AS$199),AS$10:AS$199&lt;&gt;AS$9:AS$198)))),AZ44,)"),"")</f>
        <v/>
      </c>
      <c r="BD44" s="122"/>
      <c r="BE44" s="33"/>
      <c r="BF44" s="143" t="str">
        <f t="shared" si="17"/>
        <v>posterior chain</v>
      </c>
      <c r="BG44" s="38" t="str">
        <f>IFERROR(__xludf.DUMMYFUNCTION("""COMPUTED_VALUE"""),"ac")</f>
        <v>ac</v>
      </c>
      <c r="BH44" s="144">
        <v>46139.0</v>
      </c>
      <c r="BI44" s="167" t="str">
        <f t="shared" si="18"/>
        <v>Weighted Back Extension</v>
      </c>
      <c r="BJ44" s="168">
        <v>3.0</v>
      </c>
      <c r="BK44" s="179" t="s">
        <v>328</v>
      </c>
      <c r="BL44" s="173" t="s">
        <v>307</v>
      </c>
      <c r="BM44" s="171" t="str">
        <f t="array" ref="BM44">IFERROR(IF(BG44="ac"+ISNUMBER(SEARCH("'",BL44))+BK44="","", IF(ISNUMBER(SEARCH("lw",BL44)), AY44 + SUBSTITUTE(BL44,"lw+",""), MROUND(SWITCH(BG44,"sq",BK$7,"bn",BL$7,"dl",BM$7,"")*IF(BL44&gt;10, BL44/100, VLOOKUP(BL44, _rpe,SUBSTITUTE(BK44,"+","")+1,0)), IF( SWITCH(BG44,"sq",BK$7,"bn",BL$7,"dl", BM$7,"")&lt; IF(_uom="lbs", 175, 80), 1.25, IF(_uom="lbs",5,2.5))))), "")</f>
        <v/>
      </c>
      <c r="BN44" s="148"/>
      <c r="BO44" s="33"/>
      <c r="BP44" s="171"/>
      <c r="BQ44" s="124" t="str">
        <f>IFERROR(__xludf.DUMMYFUNCTION("IF(BM44=MAX(FILTER(BM$10:BM$199,LOOKUP(ROW(BG$10:BG$199),FILTER(ROW(BG$10:BG$199),BG$10:BG$199&lt;&gt;BG$9:BG$198))=LOOKUP(ROW(BG44),FILTER(ROW(BG$10:BG$199),BG$10:BG$199&lt;&gt;BG$9:BG$198)))),BN44,)"),"")</f>
        <v/>
      </c>
      <c r="BR44" s="122"/>
      <c r="BS44" s="33"/>
      <c r="BT44" s="143" t="str">
        <f t="shared" si="19"/>
        <v>posterior chain</v>
      </c>
      <c r="BU44" s="38" t="str">
        <f>IFERROR(__xludf.DUMMYFUNCTION("""COMPUTED_VALUE"""),"ac")</f>
        <v>ac</v>
      </c>
      <c r="BV44" s="144">
        <v>46146.0</v>
      </c>
      <c r="BW44" s="167" t="str">
        <f t="shared" si="20"/>
        <v>Weighted Back Extension</v>
      </c>
      <c r="BX44" s="168">
        <v>3.0</v>
      </c>
      <c r="BY44" s="179" t="s">
        <v>328</v>
      </c>
      <c r="BZ44" s="173" t="s">
        <v>307</v>
      </c>
      <c r="CA44" s="171" t="str">
        <f t="array" ref="CA44">IFERROR(IF(BU44="ac"+ISNUMBER(SEARCH("'",BZ44))+BY44="","", IF(ISNUMBER(SEARCH("lw",BZ44)), BM44 + SUBSTITUTE(BZ44,"lw+",""), MROUND(SWITCH(BU44,"sq",BY$7,"bn",BZ$7,"dl",CA$7,"")*IF(BZ44&gt;10, BZ44/100, VLOOKUP(BZ44, _rpe,SUBSTITUTE(BY44,"+","")+1,0)), IF( SWITCH(BU44,"sq",BY$7,"bn",BZ$7,"dl", CA$7,"")&lt; IF(_uom="lbs", 175, 80), 1.25, IF(_uom="lbs",5,2.5))))), "")</f>
        <v/>
      </c>
      <c r="CB44" s="148"/>
      <c r="CC44" s="33"/>
      <c r="CD44" s="171"/>
      <c r="CE44" s="124" t="str">
        <f>IFERROR(__xludf.DUMMYFUNCTION("IF(CA44=MAX(FILTER(CA$10:CA$199,LOOKUP(ROW(BU$10:BU$199),FILTER(ROW(BU$10:BU$199),BU$10:BU$199&lt;&gt;BU$9:BU$198))=LOOKUP(ROW(BU44),FILTER(ROW(BU$10:BU$199),BU$10:BU$199&lt;&gt;BU$9:BU$198)))),CB44,)"),"")</f>
        <v/>
      </c>
      <c r="CF44" s="122"/>
      <c r="CG44" s="33"/>
      <c r="CH44" s="143" t="str">
        <f t="shared" si="21"/>
        <v>posterior chain</v>
      </c>
      <c r="CI44" s="38" t="str">
        <f>IFERROR(__xludf.DUMMYFUNCTION("""COMPUTED_VALUE"""),"ac")</f>
        <v>ac</v>
      </c>
      <c r="CJ44" s="144">
        <v>46153.0</v>
      </c>
      <c r="CK44" s="167" t="str">
        <f t="shared" si="27"/>
        <v>Weighted Back Extension</v>
      </c>
      <c r="CL44" s="168">
        <v>3.0</v>
      </c>
      <c r="CM44" s="179" t="s">
        <v>328</v>
      </c>
      <c r="CN44" s="173" t="s">
        <v>307</v>
      </c>
      <c r="CO44" s="171" t="str">
        <f t="array" ref="CO44">IFERROR(IF(CI44="ac"+ISNUMBER(SEARCH("'",CN44))+CM44="","", IF(ISNUMBER(SEARCH("lw",CN44)), CA44 + SUBSTITUTE(CN44,"lw+",""), MROUND(SWITCH(CI44,"sq",CM$7,"bn",CN$7,"dl",CO$7,"")*IF(CN44&gt;10, CN44/100, VLOOKUP(CN44, _rpe,SUBSTITUTE(CM44,"+","")+1,0)), IF( SWITCH(CI44,"sq",CM$7,"bn",CN$7,"dl", CO$7,"")&lt; IF(_uom="lbs", 175, 80), 1.25, IF(_uom="lbs",5,2.5))))), "")</f>
        <v/>
      </c>
      <c r="CP44" s="148"/>
      <c r="CQ44" s="33"/>
      <c r="CR44" s="171"/>
      <c r="CS44" s="124" t="str">
        <f>IFERROR(__xludf.DUMMYFUNCTION("IF(CO44=MAX(FILTER(CO$10:CO$199,LOOKUP(ROW(CI$10:CI$199),FILTER(ROW(CI$10:CI$199),CI$10:CI$199&lt;&gt;CI$9:CI$198))=LOOKUP(ROW(CI44),FILTER(ROW(CI$10:CI$199),CI$10:CI$199&lt;&gt;CI$9:CI$198)))),CP44,)"),"")</f>
        <v/>
      </c>
      <c r="CT44" s="122"/>
      <c r="CU44" s="33"/>
      <c r="CV44" s="143" t="str">
        <f t="shared" si="22"/>
        <v>posterior chain</v>
      </c>
      <c r="CW44" s="38" t="str">
        <f>IFERROR(__xludf.DUMMYFUNCTION("""COMPUTED_VALUE"""),"ac")</f>
        <v>ac</v>
      </c>
      <c r="CX44" s="144">
        <v>46160.0</v>
      </c>
      <c r="CY44" s="167" t="str">
        <f t="shared" si="28"/>
        <v>Weighted Back Extension</v>
      </c>
      <c r="CZ44" s="168">
        <v>3.0</v>
      </c>
      <c r="DA44" s="179" t="s">
        <v>328</v>
      </c>
      <c r="DB44" s="172" t="str">
        <f t="shared" si="169"/>
        <v>@7.5</v>
      </c>
      <c r="DC44" s="171" t="str">
        <f t="array" ref="DC44">IFERROR(IF(CW44="ac"+ISNUMBER(SEARCH("'",DB44))+DA44="","", IF(ISNUMBER(SEARCH("lw",DB44)), CO44 + SUBSTITUTE(DB44,"lw+",""), MROUND(SWITCH(CW44,"sq",DA$7,"bn",DB$7,"dl",DC$7,"")*IF(DB44&gt;10, DB44/100, VLOOKUP(DB44, _rpe,SUBSTITUTE(DA44,"+","")+1,0)), IF( SWITCH(CW44,"sq",DA$7,"bn",DB$7,"dl", DC$7,"")&lt; IF(_uom="lbs", 175, 80), 1.25, IF(_uom="lbs",5,2.5))))), "")</f>
        <v/>
      </c>
      <c r="DD44" s="148"/>
      <c r="DE44" s="33"/>
      <c r="DF44" s="171"/>
      <c r="DG44" s="124" t="str">
        <f>IFERROR(__xludf.DUMMYFUNCTION("IF(DC44=MAX(FILTER(DC$10:DC$199,LOOKUP(ROW(CW$10:CW$199),FILTER(ROW(CW$10:CW$199),CW$10:CW$199&lt;&gt;CW$9:CW$198))=LOOKUP(ROW(CW44),FILTER(ROW(CW$10:CW$199),CW$10:CW$199&lt;&gt;CW$9:CW$198)))),DD44,)"),"")</f>
        <v/>
      </c>
      <c r="DH44" s="122"/>
      <c r="DI44" s="33"/>
      <c r="DJ44" s="143" t="str">
        <f t="shared" si="23"/>
        <v>posterior chain</v>
      </c>
      <c r="DK44" s="38" t="str">
        <f>IFERROR(__xludf.DUMMYFUNCTION("""COMPUTED_VALUE"""),"")</f>
        <v/>
      </c>
      <c r="DL44" s="144">
        <v>46167.0</v>
      </c>
      <c r="DM44" s="167"/>
      <c r="DN44" s="168"/>
      <c r="DO44" s="169"/>
      <c r="DP44" s="171"/>
      <c r="DQ44" s="171" t="str">
        <f t="array" ref="DQ44">IFERROR(IF(DK44="ac"+ISNUMBER(SEARCH("'",DP44))+DO44="","", IF(ISNUMBER(SEARCH("lw",DP44)), DC44 + SUBSTITUTE(DP44,"lw+",""), MROUND(SWITCH(DK44,"sq",DO$7,"bn",DP$7,"dl",DQ$7,"")*IF(DP44&gt;10, DP44/100, VLOOKUP(DP44, _rpe,SUBSTITUTE(DO44,"+","")+1,0)), IF( SWITCH(DK44,"sq",DO$7,"bn",DP$7,"dl", DQ$7,"")&lt; IF(_uom="lbs", 175, 80), 1.25, IF(_uom="lbs",5,2.5))))), "")</f>
        <v/>
      </c>
      <c r="DR44" s="148"/>
      <c r="DS44" s="33"/>
      <c r="DT44" s="171"/>
      <c r="DU44" s="124" t="str">
        <f>IFERROR(__xludf.DUMMYFUNCTION("IF(DQ44=MAX(FILTER(DQ$10:DQ$199,LOOKUP(ROW(DK$10:DK$199),FILTER(ROW(DK$10:DK$199),DK$10:DK$199&lt;&gt;DK$9:DK$198))=LOOKUP(ROW(DK44),FILTER(ROW(DK$10:DK$199),DK$10:DK$199&lt;&gt;DK$9:DK$198)))),DR44,)"),"")</f>
        <v/>
      </c>
      <c r="DV44" s="122"/>
      <c r="DW44" s="33"/>
      <c r="DX44" s="143"/>
      <c r="DY44" s="38"/>
      <c r="DZ44" s="144"/>
      <c r="EA44" s="150"/>
      <c r="EB44" s="174"/>
      <c r="EC44" s="175"/>
      <c r="ED44" s="155"/>
      <c r="EE44" s="155"/>
      <c r="EF44" s="148"/>
      <c r="EG44" s="33"/>
      <c r="EH44" s="155"/>
      <c r="EI44" s="148"/>
      <c r="EJ44" s="33"/>
      <c r="EK44" s="33"/>
      <c r="EL44" s="143"/>
      <c r="EM44" s="38"/>
      <c r="EN44" s="144"/>
      <c r="EO44" s="150"/>
      <c r="EP44" s="174"/>
      <c r="EQ44" s="175"/>
      <c r="ER44" s="176"/>
      <c r="ES44" s="155"/>
      <c r="ET44" s="148"/>
      <c r="EU44" s="33"/>
      <c r="EV44" s="155"/>
      <c r="EW44" s="148"/>
      <c r="EX44" s="33"/>
      <c r="EY44" s="33"/>
      <c r="EZ44" s="143"/>
      <c r="FA44" s="38"/>
      <c r="FB44" s="144"/>
      <c r="FC44" s="150"/>
      <c r="FD44" s="174"/>
      <c r="FE44" s="175"/>
      <c r="FF44" s="176"/>
      <c r="FG44" s="155"/>
      <c r="FH44" s="148"/>
      <c r="FI44" s="33"/>
      <c r="FJ44" s="155"/>
      <c r="FK44" s="148"/>
      <c r="FL44" s="33"/>
      <c r="FM44" s="33"/>
      <c r="FN44" s="143"/>
      <c r="FO44" s="38"/>
      <c r="FP44" s="144"/>
      <c r="FQ44" s="150"/>
      <c r="FR44" s="174"/>
      <c r="FS44" s="175"/>
      <c r="FT44" s="176"/>
      <c r="FU44" s="155"/>
      <c r="FV44" s="148"/>
      <c r="FW44" s="33"/>
      <c r="FX44" s="155"/>
      <c r="FY44" s="148"/>
      <c r="FZ44" s="33"/>
      <c r="GA44" s="33"/>
      <c r="GB44" s="143"/>
      <c r="GC44" s="38"/>
      <c r="GD44" s="144"/>
      <c r="GE44" s="150"/>
      <c r="GF44" s="174"/>
      <c r="GG44" s="175"/>
      <c r="GH44" s="176"/>
      <c r="GI44" s="155"/>
      <c r="GJ44" s="148"/>
      <c r="GK44" s="33"/>
      <c r="GL44" s="155"/>
      <c r="GM44" s="148"/>
      <c r="GN44" s="33"/>
      <c r="GO44" s="33"/>
      <c r="GP44" s="143"/>
      <c r="GQ44" s="38"/>
      <c r="GR44" s="144"/>
      <c r="GS44" s="150"/>
      <c r="GT44" s="174"/>
      <c r="GU44" s="175"/>
      <c r="GV44" s="176"/>
      <c r="GW44" s="155"/>
      <c r="GX44" s="148"/>
      <c r="GY44" s="33"/>
      <c r="GZ44" s="155"/>
      <c r="HA44" s="148"/>
      <c r="HB44" s="33"/>
      <c r="HC44" s="33"/>
      <c r="HD44" s="143"/>
      <c r="HE44" s="38"/>
      <c r="HF44" s="144"/>
      <c r="HG44" s="150"/>
      <c r="HH44" s="174"/>
      <c r="HI44" s="175"/>
      <c r="HJ44" s="176"/>
      <c r="HK44" s="155"/>
      <c r="HL44" s="148"/>
      <c r="HM44" s="33"/>
      <c r="HN44" s="155"/>
      <c r="HO44" s="148"/>
      <c r="HP44" s="33"/>
      <c r="HQ44" s="33"/>
      <c r="HR44" s="143"/>
      <c r="HS44" s="38"/>
      <c r="HT44" s="144"/>
      <c r="HU44" s="150"/>
      <c r="HV44" s="174"/>
      <c r="HW44" s="175"/>
      <c r="HX44" s="176"/>
      <c r="HY44" s="155"/>
      <c r="HZ44" s="148"/>
      <c r="IA44" s="33"/>
      <c r="IB44" s="155"/>
      <c r="IC44" s="148"/>
      <c r="ID44" s="33"/>
      <c r="IE44" s="33"/>
      <c r="IF44" s="143"/>
      <c r="IG44" s="38"/>
      <c r="IH44" s="144"/>
      <c r="II44" s="150"/>
      <c r="IJ44" s="174"/>
      <c r="IK44" s="175"/>
      <c r="IL44" s="176"/>
      <c r="IM44" s="155"/>
      <c r="IN44" s="148"/>
      <c r="IO44" s="33"/>
      <c r="IP44" s="155"/>
      <c r="IQ44" s="148"/>
      <c r="IR44" s="33"/>
      <c r="IS44" s="33"/>
      <c r="IT44" s="143"/>
      <c r="IU44" s="38"/>
      <c r="IV44" s="144"/>
      <c r="IW44" s="143" t="str">
        <f t="shared" si="24"/>
        <v>#REF!</v>
      </c>
      <c r="IX44" s="38"/>
      <c r="IY44" s="144" t="e">
        <v>#REF!</v>
      </c>
    </row>
    <row r="45">
      <c r="A45" s="33"/>
      <c r="B45" s="143" t="s">
        <v>329</v>
      </c>
      <c r="C45" s="38" t="str">
        <f>IFERROR(__xludf.DUMMYFUNCTION("""COMPUTED_VALUE"""),"ac")</f>
        <v>ac</v>
      </c>
      <c r="D45" s="144">
        <v>46111.0</v>
      </c>
      <c r="E45" s="167" t="s">
        <v>330</v>
      </c>
      <c r="F45" s="180" t="s">
        <v>331</v>
      </c>
      <c r="G45" s="169">
        <v>30.0</v>
      </c>
      <c r="H45" s="173" t="s">
        <v>308</v>
      </c>
      <c r="I45" s="171" t="str">
        <f t="array" ref="I45">IFERROR(IF(C45="ac"+ISNUMBER(SEARCH("'",H45))+G45="","", MROUND(SWITCH(C45,"sq",'Personal Info'!$O$15,"bn",'Personal Info'!$S$15,"dl",'Personal Info'!$W$15,"")*IF(H45&gt;10, H45/100, VLOOKUP(H45, _rpe,SUBSTITUTE(G45,"+","")+1,0)), IF( SWITCH(C45:C210,"sq",'Personal Info'!$O$15,"bn",'Personal Info'!$S$15,"dl", 'Personal Info'!$W$15,"")&lt; IF(_uom="lbs", 175, 80), 1.25, IF(_uom="lbs",5,2.5)))),"")</f>
        <v/>
      </c>
      <c r="J45" s="148"/>
      <c r="K45" s="33"/>
      <c r="L45" s="171"/>
      <c r="M45" s="124" t="str">
        <f>IFERROR(__xludf.DUMMYFUNCTION("IF(I45=MAX(FILTER(I$10:I$199,LOOKUP(ROW(C$10:C$199),FILTER(ROW(C$10:C$199),C$10:C$199&lt;&gt;C$9:C$198))=LOOKUP(ROW(C45),FILTER(ROW(C$10:C$199),C$10:C$199&lt;&gt;C$9:C$198)))),J45,)"),"")</f>
        <v/>
      </c>
      <c r="N45" s="122"/>
      <c r="O45" s="33"/>
      <c r="P45" s="143" t="str">
        <f t="shared" si="12"/>
        <v>lats - v</v>
      </c>
      <c r="Q45" s="38" t="str">
        <f>IFERROR(__xludf.DUMMYFUNCTION("""COMPUTED_VALUE"""),"ac")</f>
        <v>ac</v>
      </c>
      <c r="R45" s="144">
        <v>46118.0</v>
      </c>
      <c r="S45" s="167" t="str">
        <f t="shared" si="13"/>
        <v>Pull-ups</v>
      </c>
      <c r="T45" s="180" t="str">
        <f t="shared" si="170"/>
        <v>x</v>
      </c>
      <c r="U45" s="169">
        <v>30.0</v>
      </c>
      <c r="V45" s="173" t="s">
        <v>308</v>
      </c>
      <c r="W45" s="171" t="str">
        <f t="array" ref="W45">IFERROR(IF(Q45="ac"+ISNUMBER(SEARCH("'",V45))+U45="","", IF(ISNUMBER(SEARCH("lw",V45)), I45 + SUBSTITUTE(V45,"lw+",""), MROUND(SWITCH(Q45,"sq",U$7,"bn",V$7,"dl",W$7,"")*IF(V45&gt;10, V45/100, VLOOKUP(V45, _rpe,SUBSTITUTE(U45,"+","")+1,0)), IF( SWITCH(Q45,"sq",U$7,"bn",V$7,"dl", W$7,"")&lt; IF(_uom="lbs", 175, 80), 1.25, IF(_uom="lbs",5,2.5))))), "")</f>
        <v/>
      </c>
      <c r="X45" s="148"/>
      <c r="Y45" s="33"/>
      <c r="Z45" s="171"/>
      <c r="AA45" s="124" t="str">
        <f>IFERROR(__xludf.DUMMYFUNCTION("IF(W45=MAX(FILTER(W$10:W$199,LOOKUP(ROW(Q$10:Q$199),FILTER(ROW(Q$10:Q$199),Q$10:Q$199&lt;&gt;Q$9:Q$198))=LOOKUP(ROW(Q45),FILTER(ROW(Q$10:Q$199),Q$10:Q$199&lt;&gt;Q$9:Q$198)))),X45,)"),"")</f>
        <v/>
      </c>
      <c r="AB45" s="122"/>
      <c r="AC45" s="33"/>
      <c r="AD45" s="143" t="str">
        <f t="shared" si="14"/>
        <v>lats - v</v>
      </c>
      <c r="AE45" s="38" t="str">
        <f>IFERROR(__xludf.DUMMYFUNCTION("""COMPUTED_VALUE"""),"ac")</f>
        <v>ac</v>
      </c>
      <c r="AF45" s="144">
        <v>46125.0</v>
      </c>
      <c r="AG45" s="167" t="str">
        <f t="shared" si="54"/>
        <v>Pull-ups</v>
      </c>
      <c r="AH45" s="180" t="str">
        <f t="shared" si="151"/>
        <v>x</v>
      </c>
      <c r="AI45" s="169">
        <v>35.0</v>
      </c>
      <c r="AJ45" s="173" t="s">
        <v>308</v>
      </c>
      <c r="AK45" s="171" t="str">
        <f t="array" ref="AK45">IFERROR(IF(AE45="ac"+ISNUMBER(SEARCH("'",AJ45))+AI45="","", IF(ISNUMBER(SEARCH("lw",AJ45)), W45 + SUBSTITUTE(AJ45,"lw+",""), MROUND(SWITCH(AE45,"sq",AI$7,"bn",AJ$7,"dl",AK$7,"")*IF(AJ45&gt;10, AJ45/100, VLOOKUP(AJ45, _rpe,SUBSTITUTE(AI45,"+","")+1,0)), IF( SWITCH(AE45,"sq",AI$7,"bn",AJ$7,"dl", AK$7,"")&lt; IF(_uom="lbs", 175, 80), 1.25, IF(_uom="lbs",5,2.5))))), "")</f>
        <v/>
      </c>
      <c r="AL45" s="148"/>
      <c r="AM45" s="33"/>
      <c r="AN45" s="171"/>
      <c r="AO45" s="124" t="str">
        <f>IFERROR(__xludf.DUMMYFUNCTION("IF(AK45=MAX(FILTER(AK$10:AK$199,LOOKUP(ROW(AE$10:AE$199),FILTER(ROW(AE$10:AE$199),AE$10:AE$199&lt;&gt;AE$9:AE$198))=LOOKUP(ROW(AE45),FILTER(ROW(AE$10:AE$199),AE$10:AE$199&lt;&gt;AE$9:AE$198)))),AL45,)"),"")</f>
        <v/>
      </c>
      <c r="AP45" s="122"/>
      <c r="AQ45" s="33"/>
      <c r="AR45" s="143" t="str">
        <f t="shared" si="16"/>
        <v>lats - v</v>
      </c>
      <c r="AS45" s="38" t="str">
        <f>IFERROR(__xludf.DUMMYFUNCTION("""COMPUTED_VALUE"""),"ac")</f>
        <v>ac</v>
      </c>
      <c r="AT45" s="144">
        <v>46132.0</v>
      </c>
      <c r="AU45" s="167" t="str">
        <f t="shared" si="26"/>
        <v>Pull-ups</v>
      </c>
      <c r="AV45" s="180" t="str">
        <f t="shared" si="152"/>
        <v>x</v>
      </c>
      <c r="AW45" s="169">
        <v>35.0</v>
      </c>
      <c r="AX45" s="172" t="str">
        <f t="shared" si="158"/>
        <v>@8.5</v>
      </c>
      <c r="AY45" s="171" t="str">
        <f t="array" ref="AY45">IFERROR(IF(AS45="ac"+ISNUMBER(SEARCH("'",AX45))+AW45="","", IF(ISNUMBER(SEARCH("lw",AX45)), AK45 + SUBSTITUTE(AX45,"lw+",""), MROUND(SWITCH(AS45,"sq",AW$7,"bn",AX$7,"dl",AY$7,"")*IF(AX45&gt;10, AX45/100, VLOOKUP(AX45, _rpe,SUBSTITUTE(AW45,"+","")+1,0)), IF( SWITCH(AS45,"sq",AW$7,"bn",AX$7,"dl", AY$7,"")&lt; IF(_uom="lbs", 175, 80), 1.25, IF(_uom="lbs",5,2.5))))), "")</f>
        <v/>
      </c>
      <c r="AZ45" s="148"/>
      <c r="BA45" s="33"/>
      <c r="BB45" s="171"/>
      <c r="BC45" s="124" t="str">
        <f>IFERROR(__xludf.DUMMYFUNCTION("IF(AY45=MAX(FILTER(AY$10:AY$199,LOOKUP(ROW(AS$10:AS$199),FILTER(ROW(AS$10:AS$199),AS$10:AS$199&lt;&gt;AS$9:AS$198))=LOOKUP(ROW(AS45),FILTER(ROW(AS$10:AS$199),AS$10:AS$199&lt;&gt;AS$9:AS$198)))),AZ45,)"),"")</f>
        <v/>
      </c>
      <c r="BD45" s="122"/>
      <c r="BE45" s="33"/>
      <c r="BF45" s="143" t="str">
        <f t="shared" si="17"/>
        <v>lats - v</v>
      </c>
      <c r="BG45" s="38" t="str">
        <f>IFERROR(__xludf.DUMMYFUNCTION("""COMPUTED_VALUE"""),"ac")</f>
        <v>ac</v>
      </c>
      <c r="BH45" s="144">
        <v>46139.0</v>
      </c>
      <c r="BI45" s="167" t="str">
        <f t="shared" si="18"/>
        <v>Pull-ups</v>
      </c>
      <c r="BJ45" s="180" t="s">
        <v>331</v>
      </c>
      <c r="BK45" s="169">
        <v>30.0</v>
      </c>
      <c r="BL45" s="173" t="s">
        <v>308</v>
      </c>
      <c r="BM45" s="171" t="str">
        <f t="array" ref="BM45">IFERROR(IF(BG45="ac"+ISNUMBER(SEARCH("'",BL45))+BK45="","", IF(ISNUMBER(SEARCH("lw",BL45)), AY45 + SUBSTITUTE(BL45,"lw+",""), MROUND(SWITCH(BG45,"sq",BK$7,"bn",BL$7,"dl",BM$7,"")*IF(BL45&gt;10, BL45/100, VLOOKUP(BL45, _rpe,SUBSTITUTE(BK45,"+","")+1,0)), IF( SWITCH(BG45,"sq",BK$7,"bn",BL$7,"dl", BM$7,"")&lt; IF(_uom="lbs", 175, 80), 1.25, IF(_uom="lbs",5,2.5))))), "")</f>
        <v/>
      </c>
      <c r="BN45" s="148"/>
      <c r="BO45" s="33"/>
      <c r="BP45" s="171"/>
      <c r="BQ45" s="124" t="str">
        <f>IFERROR(__xludf.DUMMYFUNCTION("IF(BM45=MAX(FILTER(BM$10:BM$199,LOOKUP(ROW(BG$10:BG$199),FILTER(ROW(BG$10:BG$199),BG$10:BG$199&lt;&gt;BG$9:BG$198))=LOOKUP(ROW(BG45),FILTER(ROW(BG$10:BG$199),BG$10:BG$199&lt;&gt;BG$9:BG$198)))),BN45,)"),"")</f>
        <v/>
      </c>
      <c r="BR45" s="122"/>
      <c r="BS45" s="33"/>
      <c r="BT45" s="143" t="str">
        <f t="shared" si="19"/>
        <v>lats - v</v>
      </c>
      <c r="BU45" s="38" t="str">
        <f>IFERROR(__xludf.DUMMYFUNCTION("""COMPUTED_VALUE"""),"ac")</f>
        <v>ac</v>
      </c>
      <c r="BV45" s="144">
        <v>46146.0</v>
      </c>
      <c r="BW45" s="167" t="str">
        <f t="shared" si="20"/>
        <v>Pull-ups</v>
      </c>
      <c r="BX45" s="180" t="s">
        <v>331</v>
      </c>
      <c r="BY45" s="169">
        <v>35.0</v>
      </c>
      <c r="BZ45" s="173" t="s">
        <v>308</v>
      </c>
      <c r="CA45" s="171" t="str">
        <f t="array" ref="CA45">IFERROR(IF(BU45="ac"+ISNUMBER(SEARCH("'",BZ45))+BY45="","", IF(ISNUMBER(SEARCH("lw",BZ45)), BM45 + SUBSTITUTE(BZ45,"lw+",""), MROUND(SWITCH(BU45,"sq",BY$7,"bn",BZ$7,"dl",CA$7,"")*IF(BZ45&gt;10, BZ45/100, VLOOKUP(BZ45, _rpe,SUBSTITUTE(BY45,"+","")+1,0)), IF( SWITCH(BU45,"sq",BY$7,"bn",BZ$7,"dl", CA$7,"")&lt; IF(_uom="lbs", 175, 80), 1.25, IF(_uom="lbs",5,2.5))))), "")</f>
        <v/>
      </c>
      <c r="CB45" s="148"/>
      <c r="CC45" s="33"/>
      <c r="CD45" s="171"/>
      <c r="CE45" s="124" t="str">
        <f>IFERROR(__xludf.DUMMYFUNCTION("IF(CA45=MAX(FILTER(CA$10:CA$199,LOOKUP(ROW(BU$10:BU$199),FILTER(ROW(BU$10:BU$199),BU$10:BU$199&lt;&gt;BU$9:BU$198))=LOOKUP(ROW(BU45),FILTER(ROW(BU$10:BU$199),BU$10:BU$199&lt;&gt;BU$9:BU$198)))),CB45,)"),"")</f>
        <v/>
      </c>
      <c r="CF45" s="122"/>
      <c r="CG45" s="33"/>
      <c r="CH45" s="143" t="str">
        <f t="shared" si="21"/>
        <v>lats - v</v>
      </c>
      <c r="CI45" s="38" t="str">
        <f>IFERROR(__xludf.DUMMYFUNCTION("""COMPUTED_VALUE"""),"ac")</f>
        <v>ac</v>
      </c>
      <c r="CJ45" s="144">
        <v>46153.0</v>
      </c>
      <c r="CK45" s="167" t="str">
        <f t="shared" si="27"/>
        <v>Pull-ups</v>
      </c>
      <c r="CL45" s="180" t="s">
        <v>331</v>
      </c>
      <c r="CM45" s="169">
        <v>35.0</v>
      </c>
      <c r="CN45" s="173" t="s">
        <v>308</v>
      </c>
      <c r="CO45" s="171" t="str">
        <f t="array" ref="CO45">IFERROR(IF(CI45="ac"+ISNUMBER(SEARCH("'",CN45))+CM45="","", IF(ISNUMBER(SEARCH("lw",CN45)), CA45 + SUBSTITUTE(CN45,"lw+",""), MROUND(SWITCH(CI45,"sq",CM$7,"bn",CN$7,"dl",CO$7,"")*IF(CN45&gt;10, CN45/100, VLOOKUP(CN45, _rpe,SUBSTITUTE(CM45,"+","")+1,0)), IF( SWITCH(CI45,"sq",CM$7,"bn",CN$7,"dl", CO$7,"")&lt; IF(_uom="lbs", 175, 80), 1.25, IF(_uom="lbs",5,2.5))))), "")</f>
        <v/>
      </c>
      <c r="CP45" s="148"/>
      <c r="CQ45" s="33"/>
      <c r="CR45" s="171"/>
      <c r="CS45" s="124" t="str">
        <f>IFERROR(__xludf.DUMMYFUNCTION("IF(CO45=MAX(FILTER(CO$10:CO$199,LOOKUP(ROW(CI$10:CI$199),FILTER(ROW(CI$10:CI$199),CI$10:CI$199&lt;&gt;CI$9:CI$198))=LOOKUP(ROW(CI45),FILTER(ROW(CI$10:CI$199),CI$10:CI$199&lt;&gt;CI$9:CI$198)))),CP45,)"),"")</f>
        <v/>
      </c>
      <c r="CT45" s="122"/>
      <c r="CU45" s="33"/>
      <c r="CV45" s="143" t="str">
        <f t="shared" si="22"/>
        <v>lats - v</v>
      </c>
      <c r="CW45" s="38" t="str">
        <f>IFERROR(__xludf.DUMMYFUNCTION("""COMPUTED_VALUE"""),"ac")</f>
        <v>ac</v>
      </c>
      <c r="CX45" s="144">
        <v>46160.0</v>
      </c>
      <c r="CY45" s="167" t="str">
        <f t="shared" si="28"/>
        <v>Pull-ups</v>
      </c>
      <c r="CZ45" s="180" t="str">
        <f t="shared" ref="CZ45:CZ53" si="186">IF(ISBLANK(CL45),"",CL45)</f>
        <v>x</v>
      </c>
      <c r="DA45" s="169">
        <v>35.0</v>
      </c>
      <c r="DB45" s="172" t="str">
        <f t="shared" si="169"/>
        <v>@8.5</v>
      </c>
      <c r="DC45" s="171" t="str">
        <f t="array" ref="DC45">IFERROR(IF(CW45="ac"+ISNUMBER(SEARCH("'",DB45))+DA45="","", IF(ISNUMBER(SEARCH("lw",DB45)), CO45 + SUBSTITUTE(DB45,"lw+",""), MROUND(SWITCH(CW45,"sq",DA$7,"bn",DB$7,"dl",DC$7,"")*IF(DB45&gt;10, DB45/100, VLOOKUP(DB45, _rpe,SUBSTITUTE(DA45,"+","")+1,0)), IF( SWITCH(CW45,"sq",DA$7,"bn",DB$7,"dl", DC$7,"")&lt; IF(_uom="lbs", 175, 80), 1.25, IF(_uom="lbs",5,2.5))))), "")</f>
        <v/>
      </c>
      <c r="DD45" s="148"/>
      <c r="DE45" s="33"/>
      <c r="DF45" s="171"/>
      <c r="DG45" s="124" t="str">
        <f>IFERROR(__xludf.DUMMYFUNCTION("IF(DC45=MAX(FILTER(DC$10:DC$199,LOOKUP(ROW(CW$10:CW$199),FILTER(ROW(CW$10:CW$199),CW$10:CW$199&lt;&gt;CW$9:CW$198))=LOOKUP(ROW(CW45),FILTER(ROW(CW$10:CW$199),CW$10:CW$199&lt;&gt;CW$9:CW$198)))),DD45,)"),"")</f>
        <v/>
      </c>
      <c r="DH45" s="122"/>
      <c r="DI45" s="33"/>
      <c r="DJ45" s="143" t="str">
        <f t="shared" si="23"/>
        <v>lats - v</v>
      </c>
      <c r="DK45" s="38" t="str">
        <f>IFERROR(__xludf.DUMMYFUNCTION("""COMPUTED_VALUE"""),"")</f>
        <v/>
      </c>
      <c r="DL45" s="144">
        <v>46167.0</v>
      </c>
      <c r="DM45" s="167"/>
      <c r="DN45" s="168"/>
      <c r="DO45" s="169"/>
      <c r="DP45" s="171"/>
      <c r="DQ45" s="171" t="str">
        <f t="array" ref="DQ45">IFERROR(IF(DK45="ac"+ISNUMBER(SEARCH("'",DP45))+DO45="","", IF(ISNUMBER(SEARCH("lw",DP45)), DC45 + SUBSTITUTE(DP45,"lw+",""), MROUND(SWITCH(DK45,"sq",DO$7,"bn",DP$7,"dl",DQ$7,"")*IF(DP45&gt;10, DP45/100, VLOOKUP(DP45, _rpe,SUBSTITUTE(DO45,"+","")+1,0)), IF( SWITCH(DK45,"sq",DO$7,"bn",DP$7,"dl", DQ$7,"")&lt; IF(_uom="lbs", 175, 80), 1.25, IF(_uom="lbs",5,2.5))))), "")</f>
        <v/>
      </c>
      <c r="DR45" s="148"/>
      <c r="DS45" s="33"/>
      <c r="DT45" s="171"/>
      <c r="DU45" s="124" t="str">
        <f>IFERROR(__xludf.DUMMYFUNCTION("IF(DQ45=MAX(FILTER(DQ$10:DQ$199,LOOKUP(ROW(DK$10:DK$199),FILTER(ROW(DK$10:DK$199),DK$10:DK$199&lt;&gt;DK$9:DK$198))=LOOKUP(ROW(DK45),FILTER(ROW(DK$10:DK$199),DK$10:DK$199&lt;&gt;DK$9:DK$198)))),DR45,)"),"")</f>
        <v/>
      </c>
      <c r="DV45" s="122"/>
      <c r="DW45" s="33"/>
      <c r="DX45" s="143"/>
      <c r="DY45" s="38"/>
      <c r="DZ45" s="144"/>
      <c r="EA45" s="150"/>
      <c r="EB45" s="174"/>
      <c r="EC45" s="175"/>
      <c r="ED45" s="155"/>
      <c r="EE45" s="155"/>
      <c r="EF45" s="148"/>
      <c r="EG45" s="33"/>
      <c r="EH45" s="155"/>
      <c r="EI45" s="148"/>
      <c r="EJ45" s="33"/>
      <c r="EK45" s="33"/>
      <c r="EL45" s="143"/>
      <c r="EM45" s="38"/>
      <c r="EN45" s="144"/>
      <c r="EO45" s="150"/>
      <c r="EP45" s="174"/>
      <c r="EQ45" s="175"/>
      <c r="ER45" s="176"/>
      <c r="ES45" s="155"/>
      <c r="ET45" s="148"/>
      <c r="EU45" s="33"/>
      <c r="EV45" s="155"/>
      <c r="EW45" s="148"/>
      <c r="EX45" s="33"/>
      <c r="EY45" s="33"/>
      <c r="EZ45" s="143"/>
      <c r="FA45" s="38"/>
      <c r="FB45" s="144"/>
      <c r="FC45" s="150"/>
      <c r="FD45" s="174"/>
      <c r="FE45" s="175"/>
      <c r="FF45" s="176"/>
      <c r="FG45" s="155"/>
      <c r="FH45" s="148"/>
      <c r="FI45" s="33"/>
      <c r="FJ45" s="155"/>
      <c r="FK45" s="148"/>
      <c r="FL45" s="33"/>
      <c r="FM45" s="33"/>
      <c r="FN45" s="143"/>
      <c r="FO45" s="38"/>
      <c r="FP45" s="144"/>
      <c r="FQ45" s="150"/>
      <c r="FR45" s="174"/>
      <c r="FS45" s="175"/>
      <c r="FT45" s="176"/>
      <c r="FU45" s="155"/>
      <c r="FV45" s="148"/>
      <c r="FW45" s="33"/>
      <c r="FX45" s="155"/>
      <c r="FY45" s="148"/>
      <c r="FZ45" s="33"/>
      <c r="GA45" s="33"/>
      <c r="GB45" s="143"/>
      <c r="GC45" s="38"/>
      <c r="GD45" s="144"/>
      <c r="GE45" s="150"/>
      <c r="GF45" s="174"/>
      <c r="GG45" s="175"/>
      <c r="GH45" s="176"/>
      <c r="GI45" s="155"/>
      <c r="GJ45" s="148"/>
      <c r="GK45" s="33"/>
      <c r="GL45" s="155"/>
      <c r="GM45" s="148"/>
      <c r="GN45" s="33"/>
      <c r="GO45" s="33"/>
      <c r="GP45" s="143"/>
      <c r="GQ45" s="38"/>
      <c r="GR45" s="144"/>
      <c r="GS45" s="150"/>
      <c r="GT45" s="174"/>
      <c r="GU45" s="175"/>
      <c r="GV45" s="176"/>
      <c r="GW45" s="155"/>
      <c r="GX45" s="148"/>
      <c r="GY45" s="33"/>
      <c r="GZ45" s="155"/>
      <c r="HA45" s="148"/>
      <c r="HB45" s="33"/>
      <c r="HC45" s="33"/>
      <c r="HD45" s="143"/>
      <c r="HE45" s="38"/>
      <c r="HF45" s="144"/>
      <c r="HG45" s="150"/>
      <c r="HH45" s="174"/>
      <c r="HI45" s="175"/>
      <c r="HJ45" s="176"/>
      <c r="HK45" s="155"/>
      <c r="HL45" s="148"/>
      <c r="HM45" s="33"/>
      <c r="HN45" s="155"/>
      <c r="HO45" s="148"/>
      <c r="HP45" s="33"/>
      <c r="HQ45" s="33"/>
      <c r="HR45" s="143"/>
      <c r="HS45" s="38"/>
      <c r="HT45" s="144"/>
      <c r="HU45" s="150"/>
      <c r="HV45" s="174"/>
      <c r="HW45" s="175"/>
      <c r="HX45" s="176"/>
      <c r="HY45" s="155"/>
      <c r="HZ45" s="148"/>
      <c r="IA45" s="33"/>
      <c r="IB45" s="155"/>
      <c r="IC45" s="148"/>
      <c r="ID45" s="33"/>
      <c r="IE45" s="33"/>
      <c r="IF45" s="143"/>
      <c r="IG45" s="38"/>
      <c r="IH45" s="144"/>
      <c r="II45" s="150"/>
      <c r="IJ45" s="174"/>
      <c r="IK45" s="175"/>
      <c r="IL45" s="176"/>
      <c r="IM45" s="155"/>
      <c r="IN45" s="148"/>
      <c r="IO45" s="33"/>
      <c r="IP45" s="155"/>
      <c r="IQ45" s="148"/>
      <c r="IR45" s="33"/>
      <c r="IS45" s="33"/>
      <c r="IT45" s="143"/>
      <c r="IU45" s="38"/>
      <c r="IV45" s="144"/>
      <c r="IW45" s="143" t="str">
        <f t="shared" si="24"/>
        <v>#REF!</v>
      </c>
      <c r="IX45" s="38"/>
      <c r="IY45" s="144" t="e">
        <v>#REF!</v>
      </c>
    </row>
    <row r="46">
      <c r="A46" s="33"/>
      <c r="B46" s="181"/>
      <c r="C46" s="38" t="str">
        <f>IFERROR(__xludf.DUMMYFUNCTION("""COMPUTED_VALUE"""),"")</f>
        <v/>
      </c>
      <c r="D46" s="144">
        <v>46111.0</v>
      </c>
      <c r="E46" s="167"/>
      <c r="F46" s="168"/>
      <c r="G46" s="169"/>
      <c r="H46" s="170"/>
      <c r="I46" s="171" t="str">
        <f t="array" ref="I46">IFERROR(IF(C46="ac"+ISNUMBER(SEARCH("'",H46))+G46="","", MROUND(SWITCH(C46,"sq",'Personal Info'!$O$15,"bn",'Personal Info'!$S$15,"dl",'Personal Info'!$W$15,"")*IF(H46&gt;10, H46/100, VLOOKUP(H46, _rpe,SUBSTITUTE(G46,"+","")+1,0)), IF( SWITCH(C46:C210,"sq",'Personal Info'!$O$15,"bn",'Personal Info'!$S$15,"dl", 'Personal Info'!$W$15,"")&lt; IF(_uom="lbs", 175, 80), 1.25, IF(_uom="lbs",5,2.5)))),"")</f>
        <v/>
      </c>
      <c r="J46" s="148"/>
      <c r="K46" s="33"/>
      <c r="L46" s="171"/>
      <c r="M46" s="124" t="str">
        <f>IFERROR(__xludf.DUMMYFUNCTION("IF(I46=MAX(FILTER(I$10:I$199,LOOKUP(ROW(C$10:C$199),FILTER(ROW(C$10:C$199),C$10:C$199&lt;&gt;C$9:C$198))=LOOKUP(ROW(C46),FILTER(ROW(C$10:C$199),C$10:C$199&lt;&gt;C$9:C$198)))),J46,)"),"")</f>
        <v/>
      </c>
      <c r="N46" s="122"/>
      <c r="O46" s="33"/>
      <c r="P46" s="143" t="str">
        <f t="shared" si="12"/>
        <v/>
      </c>
      <c r="Q46" s="38" t="str">
        <f>IFERROR(__xludf.DUMMYFUNCTION("""COMPUTED_VALUE"""),"")</f>
        <v/>
      </c>
      <c r="R46" s="144">
        <v>46118.0</v>
      </c>
      <c r="S46" s="167" t="str">
        <f t="shared" si="13"/>
        <v/>
      </c>
      <c r="T46" s="168" t="str">
        <f t="shared" si="170"/>
        <v/>
      </c>
      <c r="U46" s="169" t="str">
        <f t="shared" ref="U46:U57" si="188">IF( OR(ISBLANK(G46),G46=""),"", G46)</f>
        <v/>
      </c>
      <c r="V46" s="172" t="str">
        <f t="shared" ref="V46:V53" si="189">IF(ISBLANK(H46),"",H46)</f>
        <v/>
      </c>
      <c r="W46" s="171" t="str">
        <f t="array" ref="W46">IFERROR(IF(Q46="ac"+ISNUMBER(SEARCH("'",V46))+U46="","", IF(ISNUMBER(SEARCH("lw",V46)), I46 + SUBSTITUTE(V46,"lw+",""), MROUND(SWITCH(Q46,"sq",U$7,"bn",V$7,"dl",W$7,"")*IF(V46&gt;10, V46/100, VLOOKUP(V46, _rpe,SUBSTITUTE(U46,"+","")+1,0)), IF( SWITCH(Q46,"sq",U$7,"bn",V$7,"dl", W$7,"")&lt; IF(_uom="lbs", 175, 80), 1.25, IF(_uom="lbs",5,2.5))))), "")</f>
        <v/>
      </c>
      <c r="X46" s="148"/>
      <c r="Y46" s="33"/>
      <c r="Z46" s="171"/>
      <c r="AA46" s="124" t="str">
        <f>IFERROR(__xludf.DUMMYFUNCTION("IF(W46=MAX(FILTER(W$10:W$199,LOOKUP(ROW(Q$10:Q$199),FILTER(ROW(Q$10:Q$199),Q$10:Q$199&lt;&gt;Q$9:Q$198))=LOOKUP(ROW(Q46),FILTER(ROW(Q$10:Q$199),Q$10:Q$199&lt;&gt;Q$9:Q$198)))),X46,)"),"")</f>
        <v/>
      </c>
      <c r="AB46" s="122"/>
      <c r="AC46" s="33"/>
      <c r="AD46" s="143" t="str">
        <f t="shared" si="14"/>
        <v/>
      </c>
      <c r="AE46" s="38" t="str">
        <f>IFERROR(__xludf.DUMMYFUNCTION("""COMPUTED_VALUE"""),"")</f>
        <v/>
      </c>
      <c r="AF46" s="144">
        <v>46125.0</v>
      </c>
      <c r="AG46" s="167" t="str">
        <f t="shared" si="54"/>
        <v/>
      </c>
      <c r="AH46" s="168" t="str">
        <f t="shared" si="151"/>
        <v/>
      </c>
      <c r="AI46" s="169" t="str">
        <f t="shared" ref="AI46:AI57" si="190">IF( OR(ISBLANK(U46),U46=""),"", U46)</f>
        <v/>
      </c>
      <c r="AJ46" s="172" t="str">
        <f t="shared" ref="AJ46:AJ53" si="191">IF(ISBLANK(V46),"",V46)</f>
        <v/>
      </c>
      <c r="AK46" s="171" t="str">
        <f t="array" ref="AK46">IFERROR(IF(AE46="ac"+ISNUMBER(SEARCH("'",AJ46))+AI46="","", IF(ISNUMBER(SEARCH("lw",AJ46)), W46 + SUBSTITUTE(AJ46,"lw+",""), MROUND(SWITCH(AE46,"sq",AI$7,"bn",AJ$7,"dl",AK$7,"")*IF(AJ46&gt;10, AJ46/100, VLOOKUP(AJ46, _rpe,SUBSTITUTE(AI46,"+","")+1,0)), IF( SWITCH(AE46,"sq",AI$7,"bn",AJ$7,"dl", AK$7,"")&lt; IF(_uom="lbs", 175, 80), 1.25, IF(_uom="lbs",5,2.5))))), "")</f>
        <v/>
      </c>
      <c r="AL46" s="148"/>
      <c r="AM46" s="33"/>
      <c r="AN46" s="171"/>
      <c r="AO46" s="124" t="str">
        <f>IFERROR(__xludf.DUMMYFUNCTION("IF(AK46=MAX(FILTER(AK$10:AK$199,LOOKUP(ROW(AE$10:AE$199),FILTER(ROW(AE$10:AE$199),AE$10:AE$199&lt;&gt;AE$9:AE$198))=LOOKUP(ROW(AE46),FILTER(ROW(AE$10:AE$199),AE$10:AE$199&lt;&gt;AE$9:AE$198)))),AL46,)"),"")</f>
        <v/>
      </c>
      <c r="AP46" s="122"/>
      <c r="AQ46" s="33"/>
      <c r="AR46" s="143" t="str">
        <f t="shared" si="16"/>
        <v/>
      </c>
      <c r="AS46" s="38" t="str">
        <f>IFERROR(__xludf.DUMMYFUNCTION("""COMPUTED_VALUE"""),"")</f>
        <v/>
      </c>
      <c r="AT46" s="144">
        <v>46132.0</v>
      </c>
      <c r="AU46" s="167" t="str">
        <f t="shared" si="26"/>
        <v/>
      </c>
      <c r="AV46" s="168" t="str">
        <f t="shared" si="152"/>
        <v/>
      </c>
      <c r="AW46" s="169" t="str">
        <f t="shared" ref="AW46:AW53" si="192">IF( OR(ISBLANK(AI46),AI46=""),"", AI46)</f>
        <v/>
      </c>
      <c r="AX46" s="172" t="str">
        <f t="shared" si="158"/>
        <v/>
      </c>
      <c r="AY46" s="171" t="str">
        <f t="array" ref="AY46">IFERROR(IF(AS46="ac"+ISNUMBER(SEARCH("'",AX46))+AW46="","", IF(ISNUMBER(SEARCH("lw",AX46)), AK46 + SUBSTITUTE(AX46,"lw+",""), MROUND(SWITCH(AS46,"sq",AW$7,"bn",AX$7,"dl",AY$7,"")*IF(AX46&gt;10, AX46/100, VLOOKUP(AX46, _rpe,SUBSTITUTE(AW46,"+","")+1,0)), IF( SWITCH(AS46,"sq",AW$7,"bn",AX$7,"dl", AY$7,"")&lt; IF(_uom="lbs", 175, 80), 1.25, IF(_uom="lbs",5,2.5))))), "")</f>
        <v/>
      </c>
      <c r="AZ46" s="148"/>
      <c r="BA46" s="33"/>
      <c r="BB46" s="171"/>
      <c r="BC46" s="124" t="str">
        <f>IFERROR(__xludf.DUMMYFUNCTION("IF(AY46=MAX(FILTER(AY$10:AY$199,LOOKUP(ROW(AS$10:AS$199),FILTER(ROW(AS$10:AS$199),AS$10:AS$199&lt;&gt;AS$9:AS$198))=LOOKUP(ROW(AS46),FILTER(ROW(AS$10:AS$199),AS$10:AS$199&lt;&gt;AS$9:AS$198)))),AZ46,)"),"")</f>
        <v/>
      </c>
      <c r="BD46" s="122"/>
      <c r="BE46" s="33"/>
      <c r="BF46" s="143" t="str">
        <f t="shared" si="17"/>
        <v/>
      </c>
      <c r="BG46" s="38" t="str">
        <f>IFERROR(__xludf.DUMMYFUNCTION("""COMPUTED_VALUE"""),"")</f>
        <v/>
      </c>
      <c r="BH46" s="144">
        <v>46139.0</v>
      </c>
      <c r="BI46" s="167" t="str">
        <f t="shared" si="18"/>
        <v/>
      </c>
      <c r="BJ46" s="168" t="str">
        <f t="shared" ref="BJ46:BJ53" si="193">IF(ISBLANK(AV46),"",AV46)</f>
        <v/>
      </c>
      <c r="BK46" s="169" t="str">
        <f t="shared" ref="BK46:BK53" si="194">IF( OR(ISBLANK(AW46),AW46=""),"", AW46)</f>
        <v/>
      </c>
      <c r="BL46" s="172" t="str">
        <f t="shared" ref="BL46:BL53" si="195">IF(ISBLANK(AX46),"",AX46)</f>
        <v/>
      </c>
      <c r="BM46" s="171" t="str">
        <f t="array" ref="BM46">IFERROR(IF(BG46="ac"+ISNUMBER(SEARCH("'",BL46))+BK46="","", IF(ISNUMBER(SEARCH("lw",BL46)), AY46 + SUBSTITUTE(BL46,"lw+",""), MROUND(SWITCH(BG46,"sq",BK$7,"bn",BL$7,"dl",BM$7,"")*IF(BL46&gt;10, BL46/100, VLOOKUP(BL46, _rpe,SUBSTITUTE(BK46,"+","")+1,0)), IF( SWITCH(BG46,"sq",BK$7,"bn",BL$7,"dl", BM$7,"")&lt; IF(_uom="lbs", 175, 80), 1.25, IF(_uom="lbs",5,2.5))))), "")</f>
        <v/>
      </c>
      <c r="BN46" s="148"/>
      <c r="BO46" s="33"/>
      <c r="BP46" s="171"/>
      <c r="BQ46" s="124" t="str">
        <f>IFERROR(__xludf.DUMMYFUNCTION("IF(BM46=MAX(FILTER(BM$10:BM$199,LOOKUP(ROW(BG$10:BG$199),FILTER(ROW(BG$10:BG$199),BG$10:BG$199&lt;&gt;BG$9:BG$198))=LOOKUP(ROW(BG46),FILTER(ROW(BG$10:BG$199),BG$10:BG$199&lt;&gt;BG$9:BG$198)))),BN46,)"),"")</f>
        <v/>
      </c>
      <c r="BR46" s="122"/>
      <c r="BS46" s="33"/>
      <c r="BT46" s="143" t="str">
        <f t="shared" si="19"/>
        <v/>
      </c>
      <c r="BU46" s="38" t="str">
        <f>IFERROR(__xludf.DUMMYFUNCTION("""COMPUTED_VALUE"""),"")</f>
        <v/>
      </c>
      <c r="BV46" s="144">
        <v>46146.0</v>
      </c>
      <c r="BW46" s="167" t="str">
        <f t="shared" si="20"/>
        <v/>
      </c>
      <c r="BX46" s="168" t="str">
        <f t="shared" ref="BX46:BX53" si="196">IF(ISBLANK(BJ46),"",BJ46)</f>
        <v/>
      </c>
      <c r="BY46" s="169" t="str">
        <f t="shared" ref="BY46:BY57" si="197">IF( OR(ISBLANK(BK46),BK46=""),"", BK46)</f>
        <v/>
      </c>
      <c r="BZ46" s="172" t="str">
        <f t="shared" ref="BZ46:BZ53" si="198">IF(ISBLANK(BL46),"",BL46)</f>
        <v/>
      </c>
      <c r="CA46" s="171" t="str">
        <f t="array" ref="CA46">IFERROR(IF(BU46="ac"+ISNUMBER(SEARCH("'",BZ46))+BY46="","", IF(ISNUMBER(SEARCH("lw",BZ46)), BM46 + SUBSTITUTE(BZ46,"lw+",""), MROUND(SWITCH(BU46,"sq",BY$7,"bn",BZ$7,"dl",CA$7,"")*IF(BZ46&gt;10, BZ46/100, VLOOKUP(BZ46, _rpe,SUBSTITUTE(BY46,"+","")+1,0)), IF( SWITCH(BU46,"sq",BY$7,"bn",BZ$7,"dl", CA$7,"")&lt; IF(_uom="lbs", 175, 80), 1.25, IF(_uom="lbs",5,2.5))))), "")</f>
        <v/>
      </c>
      <c r="CB46" s="148"/>
      <c r="CC46" s="33"/>
      <c r="CD46" s="171"/>
      <c r="CE46" s="124" t="str">
        <f>IFERROR(__xludf.DUMMYFUNCTION("IF(CA46=MAX(FILTER(CA$10:CA$199,LOOKUP(ROW(BU$10:BU$199),FILTER(ROW(BU$10:BU$199),BU$10:BU$199&lt;&gt;BU$9:BU$198))=LOOKUP(ROW(BU46),FILTER(ROW(BU$10:BU$199),BU$10:BU$199&lt;&gt;BU$9:BU$198)))),CB46,)"),"")</f>
        <v/>
      </c>
      <c r="CF46" s="122"/>
      <c r="CG46" s="33"/>
      <c r="CH46" s="143" t="str">
        <f t="shared" si="21"/>
        <v/>
      </c>
      <c r="CI46" s="38" t="str">
        <f>IFERROR(__xludf.DUMMYFUNCTION("""COMPUTED_VALUE"""),"")</f>
        <v/>
      </c>
      <c r="CJ46" s="144">
        <v>46153.0</v>
      </c>
      <c r="CK46" s="167" t="str">
        <f t="shared" si="27"/>
        <v/>
      </c>
      <c r="CL46" s="168" t="str">
        <f t="shared" ref="CL46:CL53" si="199">IF(ISBLANK(BX46),"",BX46)</f>
        <v/>
      </c>
      <c r="CM46" s="169" t="str">
        <f t="shared" ref="CM46:CM53" si="200">IF( OR(ISBLANK(BY46),BY46=""),"", BY46)</f>
        <v/>
      </c>
      <c r="CN46" s="172" t="str">
        <f t="shared" ref="CN46:CN53" si="201">IF(ISBLANK(BZ46),"",BZ46)</f>
        <v/>
      </c>
      <c r="CO46" s="171" t="str">
        <f t="array" ref="CO46">IFERROR(IF(CI46="ac"+ISNUMBER(SEARCH("'",CN46))+CM46="","", IF(ISNUMBER(SEARCH("lw",CN46)), CA46 + SUBSTITUTE(CN46,"lw+",""), MROUND(SWITCH(CI46,"sq",CM$7,"bn",CN$7,"dl",CO$7,"")*IF(CN46&gt;10, CN46/100, VLOOKUP(CN46, _rpe,SUBSTITUTE(CM46,"+","")+1,0)), IF( SWITCH(CI46,"sq",CM$7,"bn",CN$7,"dl", CO$7,"")&lt; IF(_uom="lbs", 175, 80), 1.25, IF(_uom="lbs",5,2.5))))), "")</f>
        <v/>
      </c>
      <c r="CP46" s="148"/>
      <c r="CQ46" s="33"/>
      <c r="CR46" s="171"/>
      <c r="CS46" s="124" t="str">
        <f>IFERROR(__xludf.DUMMYFUNCTION("IF(CO46=MAX(FILTER(CO$10:CO$199,LOOKUP(ROW(CI$10:CI$199),FILTER(ROW(CI$10:CI$199),CI$10:CI$199&lt;&gt;CI$9:CI$198))=LOOKUP(ROW(CI46),FILTER(ROW(CI$10:CI$199),CI$10:CI$199&lt;&gt;CI$9:CI$198)))),CP46,)"),"")</f>
        <v/>
      </c>
      <c r="CT46" s="122"/>
      <c r="CU46" s="33"/>
      <c r="CV46" s="143" t="str">
        <f t="shared" si="22"/>
        <v/>
      </c>
      <c r="CW46" s="38" t="str">
        <f>IFERROR(__xludf.DUMMYFUNCTION("""COMPUTED_VALUE"""),"")</f>
        <v/>
      </c>
      <c r="CX46" s="144">
        <v>46160.0</v>
      </c>
      <c r="CY46" s="167" t="str">
        <f t="shared" si="28"/>
        <v/>
      </c>
      <c r="CZ46" s="168" t="str">
        <f t="shared" si="186"/>
        <v/>
      </c>
      <c r="DA46" s="169" t="str">
        <f t="shared" ref="DA46:DA53" si="202">IF( OR(ISBLANK(CM46),CM46=""),"", CM46)</f>
        <v/>
      </c>
      <c r="DB46" s="172" t="str">
        <f t="shared" si="169"/>
        <v/>
      </c>
      <c r="DC46" s="171" t="str">
        <f t="array" ref="DC46">IFERROR(IF(CW46="ac"+ISNUMBER(SEARCH("'",DB46))+DA46="","", IF(ISNUMBER(SEARCH("lw",DB46)), CO46 + SUBSTITUTE(DB46,"lw+",""), MROUND(SWITCH(CW46,"sq",DA$7,"bn",DB$7,"dl",DC$7,"")*IF(DB46&gt;10, DB46/100, VLOOKUP(DB46, _rpe,SUBSTITUTE(DA46,"+","")+1,0)), IF( SWITCH(CW46,"sq",DA$7,"bn",DB$7,"dl", DC$7,"")&lt; IF(_uom="lbs", 175, 80), 1.25, IF(_uom="lbs",5,2.5))))), "")</f>
        <v/>
      </c>
      <c r="DD46" s="148"/>
      <c r="DE46" s="33"/>
      <c r="DF46" s="171"/>
      <c r="DG46" s="124" t="str">
        <f>IFERROR(__xludf.DUMMYFUNCTION("IF(DC46=MAX(FILTER(DC$10:DC$199,LOOKUP(ROW(CW$10:CW$199),FILTER(ROW(CW$10:CW$199),CW$10:CW$199&lt;&gt;CW$9:CW$198))=LOOKUP(ROW(CW46),FILTER(ROW(CW$10:CW$199),CW$10:CW$199&lt;&gt;CW$9:CW$198)))),DD46,)"),"")</f>
        <v/>
      </c>
      <c r="DH46" s="122"/>
      <c r="DI46" s="33"/>
      <c r="DJ46" s="143" t="str">
        <f t="shared" si="23"/>
        <v/>
      </c>
      <c r="DK46" s="38" t="str">
        <f>IFERROR(__xludf.DUMMYFUNCTION("""COMPUTED_VALUE"""),"")</f>
        <v/>
      </c>
      <c r="DL46" s="144">
        <v>46167.0</v>
      </c>
      <c r="DM46" s="167" t="str">
        <f t="shared" ref="DM46:DN46" si="187">IF(ISBLANK(CY46),"",CY46)</f>
        <v/>
      </c>
      <c r="DN46" s="168" t="str">
        <f t="shared" si="187"/>
        <v/>
      </c>
      <c r="DO46" s="169" t="str">
        <f t="shared" ref="DO46:DO53" si="204">IF( OR(ISBLANK(DA46),DA46=""),"", DA46)</f>
        <v/>
      </c>
      <c r="DP46" s="172" t="str">
        <f t="shared" ref="DP46:DP53" si="205">IF(ISBLANK(DB46),"",DB46)</f>
        <v/>
      </c>
      <c r="DQ46" s="171" t="str">
        <f t="array" ref="DQ46">IFERROR(IF(DK46="ac"+ISNUMBER(SEARCH("'",DP46))+DO46="","", IF(ISNUMBER(SEARCH("lw",DP46)), DC46 + SUBSTITUTE(DP46,"lw+",""), MROUND(SWITCH(DK46,"sq",DO$7,"bn",DP$7,"dl",DQ$7,"")*IF(DP46&gt;10, DP46/100, VLOOKUP(DP46, _rpe,SUBSTITUTE(DO46,"+","")+1,0)), IF( SWITCH(DK46,"sq",DO$7,"bn",DP$7,"dl", DQ$7,"")&lt; IF(_uom="lbs", 175, 80), 1.25, IF(_uom="lbs",5,2.5))))), "")</f>
        <v/>
      </c>
      <c r="DR46" s="148"/>
      <c r="DS46" s="33"/>
      <c r="DT46" s="171"/>
      <c r="DU46" s="124" t="str">
        <f>IFERROR(__xludf.DUMMYFUNCTION("IF(DQ46=MAX(FILTER(DQ$10:DQ$199,LOOKUP(ROW(DK$10:DK$199),FILTER(ROW(DK$10:DK$199),DK$10:DK$199&lt;&gt;DK$9:DK$198))=LOOKUP(ROW(DK46),FILTER(ROW(DK$10:DK$199),DK$10:DK$199&lt;&gt;DK$9:DK$198)))),DR46,)"),"")</f>
        <v/>
      </c>
      <c r="DV46" s="122"/>
      <c r="DW46" s="33"/>
      <c r="DX46" s="143"/>
      <c r="DY46" s="38"/>
      <c r="DZ46" s="144"/>
      <c r="EA46" s="150"/>
      <c r="EB46" s="174"/>
      <c r="EC46" s="175"/>
      <c r="ED46" s="176"/>
      <c r="EE46" s="155"/>
      <c r="EF46" s="148"/>
      <c r="EG46" s="33"/>
      <c r="EH46" s="155"/>
      <c r="EI46" s="148"/>
      <c r="EJ46" s="33"/>
      <c r="EK46" s="33"/>
      <c r="EL46" s="143"/>
      <c r="EM46" s="38"/>
      <c r="EN46" s="144"/>
      <c r="EO46" s="150"/>
      <c r="EP46" s="174"/>
      <c r="EQ46" s="175"/>
      <c r="ER46" s="176"/>
      <c r="ES46" s="155"/>
      <c r="ET46" s="148"/>
      <c r="EU46" s="33"/>
      <c r="EV46" s="155"/>
      <c r="EW46" s="148"/>
      <c r="EX46" s="33"/>
      <c r="EY46" s="33"/>
      <c r="EZ46" s="143"/>
      <c r="FA46" s="38"/>
      <c r="FB46" s="144"/>
      <c r="FC46" s="150"/>
      <c r="FD46" s="174"/>
      <c r="FE46" s="175"/>
      <c r="FF46" s="176"/>
      <c r="FG46" s="155"/>
      <c r="FH46" s="148"/>
      <c r="FI46" s="33"/>
      <c r="FJ46" s="155"/>
      <c r="FK46" s="148"/>
      <c r="FL46" s="33"/>
      <c r="FM46" s="33"/>
      <c r="FN46" s="143"/>
      <c r="FO46" s="38"/>
      <c r="FP46" s="144"/>
      <c r="FQ46" s="150"/>
      <c r="FR46" s="174"/>
      <c r="FS46" s="175"/>
      <c r="FT46" s="176"/>
      <c r="FU46" s="155"/>
      <c r="FV46" s="148"/>
      <c r="FW46" s="33"/>
      <c r="FX46" s="155"/>
      <c r="FY46" s="148"/>
      <c r="FZ46" s="33"/>
      <c r="GA46" s="33"/>
      <c r="GB46" s="143"/>
      <c r="GC46" s="38"/>
      <c r="GD46" s="144"/>
      <c r="GE46" s="150"/>
      <c r="GF46" s="174"/>
      <c r="GG46" s="175"/>
      <c r="GH46" s="176"/>
      <c r="GI46" s="155"/>
      <c r="GJ46" s="148"/>
      <c r="GK46" s="33"/>
      <c r="GL46" s="155"/>
      <c r="GM46" s="148"/>
      <c r="GN46" s="33"/>
      <c r="GO46" s="33"/>
      <c r="GP46" s="143"/>
      <c r="GQ46" s="38"/>
      <c r="GR46" s="144"/>
      <c r="GS46" s="150"/>
      <c r="GT46" s="174"/>
      <c r="GU46" s="175"/>
      <c r="GV46" s="176"/>
      <c r="GW46" s="155"/>
      <c r="GX46" s="148"/>
      <c r="GY46" s="33"/>
      <c r="GZ46" s="155"/>
      <c r="HA46" s="148"/>
      <c r="HB46" s="33"/>
      <c r="HC46" s="33"/>
      <c r="HD46" s="143"/>
      <c r="HE46" s="38"/>
      <c r="HF46" s="144"/>
      <c r="HG46" s="150"/>
      <c r="HH46" s="174"/>
      <c r="HI46" s="175"/>
      <c r="HJ46" s="176"/>
      <c r="HK46" s="155"/>
      <c r="HL46" s="148"/>
      <c r="HM46" s="33"/>
      <c r="HN46" s="155"/>
      <c r="HO46" s="148"/>
      <c r="HP46" s="33"/>
      <c r="HQ46" s="33"/>
      <c r="HR46" s="143"/>
      <c r="HS46" s="38"/>
      <c r="HT46" s="144"/>
      <c r="HU46" s="150"/>
      <c r="HV46" s="174"/>
      <c r="HW46" s="175"/>
      <c r="HX46" s="176"/>
      <c r="HY46" s="155"/>
      <c r="HZ46" s="148"/>
      <c r="IA46" s="33"/>
      <c r="IB46" s="155"/>
      <c r="IC46" s="148"/>
      <c r="ID46" s="33"/>
      <c r="IE46" s="33"/>
      <c r="IF46" s="143"/>
      <c r="IG46" s="38"/>
      <c r="IH46" s="144"/>
      <c r="II46" s="150"/>
      <c r="IJ46" s="174"/>
      <c r="IK46" s="175"/>
      <c r="IL46" s="176"/>
      <c r="IM46" s="155"/>
      <c r="IN46" s="148"/>
      <c r="IO46" s="33"/>
      <c r="IP46" s="155"/>
      <c r="IQ46" s="148"/>
      <c r="IR46" s="33"/>
      <c r="IS46" s="33"/>
      <c r="IT46" s="143"/>
      <c r="IU46" s="38"/>
      <c r="IV46" s="144"/>
      <c r="IW46" s="143" t="str">
        <f t="shared" si="24"/>
        <v>#REF!</v>
      </c>
      <c r="IX46" s="38"/>
      <c r="IY46" s="144" t="e">
        <v>#REF!</v>
      </c>
    </row>
    <row r="47" hidden="1">
      <c r="A47" s="33"/>
      <c r="B47" s="181"/>
      <c r="C47" s="38" t="str">
        <f>IFERROR(__xludf.DUMMYFUNCTION("""COMPUTED_VALUE"""),"")</f>
        <v/>
      </c>
      <c r="D47" s="144">
        <v>46111.0</v>
      </c>
      <c r="E47" s="167"/>
      <c r="F47" s="168"/>
      <c r="G47" s="169"/>
      <c r="H47" s="170"/>
      <c r="I47" s="171" t="str">
        <f t="array" ref="I47">IFERROR(IF(C47="ac"+ISNUMBER(SEARCH("'",H47))+G47="","", MROUND(SWITCH(C47,"sq",'Personal Info'!$O$15,"bn",'Personal Info'!$S$15,"dl",'Personal Info'!$W$15,"")*IF(H47&gt;10, H47/100, VLOOKUP(H47, _rpe,SUBSTITUTE(G47,"+","")+1,0)), IF( SWITCH(C47:C210,"sq",'Personal Info'!$O$15,"bn",'Personal Info'!$S$15,"dl", 'Personal Info'!$W$15,"")&lt; IF(_uom="lbs", 175, 80), 1.25, IF(_uom="lbs",5,2.5)))),"")</f>
        <v/>
      </c>
      <c r="J47" s="148"/>
      <c r="K47" s="33"/>
      <c r="L47" s="171"/>
      <c r="M47" s="124" t="str">
        <f>IFERROR(__xludf.DUMMYFUNCTION("IF(I47=MAX(FILTER(I$10:I$199,LOOKUP(ROW(C$10:C$199),FILTER(ROW(C$10:C$199),C$10:C$199&lt;&gt;C$9:C$198))=LOOKUP(ROW(C47),FILTER(ROW(C$10:C$199),C$10:C$199&lt;&gt;C$9:C$198)))),J47,)"),"")</f>
        <v/>
      </c>
      <c r="N47" s="122"/>
      <c r="O47" s="33"/>
      <c r="P47" s="143" t="str">
        <f t="shared" si="12"/>
        <v/>
      </c>
      <c r="Q47" s="38" t="str">
        <f>IFERROR(__xludf.DUMMYFUNCTION("""COMPUTED_VALUE"""),"")</f>
        <v/>
      </c>
      <c r="R47" s="144">
        <v>46118.0</v>
      </c>
      <c r="S47" s="167" t="str">
        <f t="shared" si="13"/>
        <v/>
      </c>
      <c r="T47" s="168" t="str">
        <f t="shared" si="170"/>
        <v/>
      </c>
      <c r="U47" s="169" t="str">
        <f t="shared" si="188"/>
        <v/>
      </c>
      <c r="V47" s="172" t="str">
        <f t="shared" si="189"/>
        <v/>
      </c>
      <c r="W47" s="171" t="str">
        <f t="array" ref="W47">IFERROR(IF(Q47="ac"+ISNUMBER(SEARCH("'",V47))+U47="","", IF(ISNUMBER(SEARCH("lw",V47)), I47 + SUBSTITUTE(V47,"lw+",""), MROUND(SWITCH(Q47,"sq",U$7,"bn",V$7,"dl",W$7,"")*IF(V47&gt;10, V47/100, VLOOKUP(V47, _rpe,SUBSTITUTE(U47,"+","")+1,0)), IF( SWITCH(Q47,"sq",U$7,"bn",V$7,"dl", W$7,"")&lt; IF(_uom="lbs", 175, 80), 1.25, IF(_uom="lbs",5,2.5))))), "")</f>
        <v/>
      </c>
      <c r="X47" s="148"/>
      <c r="Y47" s="33"/>
      <c r="Z47" s="171"/>
      <c r="AA47" s="124" t="str">
        <f>IFERROR(__xludf.DUMMYFUNCTION("IF(W47=MAX(FILTER(W$10:W$199,LOOKUP(ROW(Q$10:Q$199),FILTER(ROW(Q$10:Q$199),Q$10:Q$199&lt;&gt;Q$9:Q$198))=LOOKUP(ROW(Q47),FILTER(ROW(Q$10:Q$199),Q$10:Q$199&lt;&gt;Q$9:Q$198)))),X47,)"),"")</f>
        <v/>
      </c>
      <c r="AB47" s="122"/>
      <c r="AC47" s="33"/>
      <c r="AD47" s="143" t="str">
        <f t="shared" si="14"/>
        <v/>
      </c>
      <c r="AE47" s="38" t="str">
        <f>IFERROR(__xludf.DUMMYFUNCTION("""COMPUTED_VALUE"""),"")</f>
        <v/>
      </c>
      <c r="AF47" s="144">
        <v>46125.0</v>
      </c>
      <c r="AG47" s="167" t="str">
        <f t="shared" si="54"/>
        <v/>
      </c>
      <c r="AH47" s="168" t="str">
        <f t="shared" si="151"/>
        <v/>
      </c>
      <c r="AI47" s="169" t="str">
        <f t="shared" si="190"/>
        <v/>
      </c>
      <c r="AJ47" s="172" t="str">
        <f t="shared" si="191"/>
        <v/>
      </c>
      <c r="AK47" s="171" t="str">
        <f t="array" ref="AK47">IFERROR(IF(AE47="ac"+ISNUMBER(SEARCH("'",AJ47))+AI47="","", IF(ISNUMBER(SEARCH("lw",AJ47)), W47 + SUBSTITUTE(AJ47,"lw+",""), MROUND(SWITCH(AE47,"sq",AI$7,"bn",AJ$7,"dl",AK$7,"")*IF(AJ47&gt;10, AJ47/100, VLOOKUP(AJ47, _rpe,SUBSTITUTE(AI47,"+","")+1,0)), IF( SWITCH(AE47,"sq",AI$7,"bn",AJ$7,"dl", AK$7,"")&lt; IF(_uom="lbs", 175, 80), 1.25, IF(_uom="lbs",5,2.5))))), "")</f>
        <v/>
      </c>
      <c r="AL47" s="148"/>
      <c r="AM47" s="33"/>
      <c r="AN47" s="171"/>
      <c r="AO47" s="124" t="str">
        <f>IFERROR(__xludf.DUMMYFUNCTION("IF(AK47=MAX(FILTER(AK$10:AK$199,LOOKUP(ROW(AE$10:AE$199),FILTER(ROW(AE$10:AE$199),AE$10:AE$199&lt;&gt;AE$9:AE$198))=LOOKUP(ROW(AE47),FILTER(ROW(AE$10:AE$199),AE$10:AE$199&lt;&gt;AE$9:AE$198)))),AL47,)"),"")</f>
        <v/>
      </c>
      <c r="AP47" s="122"/>
      <c r="AQ47" s="33"/>
      <c r="AR47" s="143" t="str">
        <f t="shared" si="16"/>
        <v/>
      </c>
      <c r="AS47" s="38" t="str">
        <f>IFERROR(__xludf.DUMMYFUNCTION("""COMPUTED_VALUE"""),"")</f>
        <v/>
      </c>
      <c r="AT47" s="144">
        <v>46132.0</v>
      </c>
      <c r="AU47" s="167" t="str">
        <f t="shared" si="26"/>
        <v/>
      </c>
      <c r="AV47" s="168" t="str">
        <f t="shared" si="152"/>
        <v/>
      </c>
      <c r="AW47" s="169" t="str">
        <f t="shared" si="192"/>
        <v/>
      </c>
      <c r="AX47" s="172" t="str">
        <f t="shared" si="158"/>
        <v/>
      </c>
      <c r="AY47" s="171" t="str">
        <f t="array" ref="AY47">IFERROR(IF(AS47="ac"+ISNUMBER(SEARCH("'",AX47))+AW47="","", IF(ISNUMBER(SEARCH("lw",AX47)), AK47 + SUBSTITUTE(AX47,"lw+",""), MROUND(SWITCH(AS47,"sq",AW$7,"bn",AX$7,"dl",AY$7,"")*IF(AX47&gt;10, AX47/100, VLOOKUP(AX47, _rpe,SUBSTITUTE(AW47,"+","")+1,0)), IF( SWITCH(AS47,"sq",AW$7,"bn",AX$7,"dl", AY$7,"")&lt; IF(_uom="lbs", 175, 80), 1.25, IF(_uom="lbs",5,2.5))))), "")</f>
        <v/>
      </c>
      <c r="AZ47" s="148"/>
      <c r="BA47" s="33"/>
      <c r="BB47" s="171"/>
      <c r="BC47" s="124" t="str">
        <f>IFERROR(__xludf.DUMMYFUNCTION("IF(AY47=MAX(FILTER(AY$10:AY$199,LOOKUP(ROW(AS$10:AS$199),FILTER(ROW(AS$10:AS$199),AS$10:AS$199&lt;&gt;AS$9:AS$198))=LOOKUP(ROW(AS47),FILTER(ROW(AS$10:AS$199),AS$10:AS$199&lt;&gt;AS$9:AS$198)))),AZ47,)"),"")</f>
        <v/>
      </c>
      <c r="BD47" s="122"/>
      <c r="BE47" s="33"/>
      <c r="BF47" s="143" t="str">
        <f t="shared" si="17"/>
        <v/>
      </c>
      <c r="BG47" s="38" t="str">
        <f>IFERROR(__xludf.DUMMYFUNCTION("""COMPUTED_VALUE"""),"")</f>
        <v/>
      </c>
      <c r="BH47" s="144">
        <v>46139.0</v>
      </c>
      <c r="BI47" s="167" t="str">
        <f t="shared" si="18"/>
        <v/>
      </c>
      <c r="BJ47" s="168" t="str">
        <f t="shared" si="193"/>
        <v/>
      </c>
      <c r="BK47" s="169" t="str">
        <f t="shared" si="194"/>
        <v/>
      </c>
      <c r="BL47" s="172" t="str">
        <f t="shared" si="195"/>
        <v/>
      </c>
      <c r="BM47" s="171" t="str">
        <f t="array" ref="BM47">IFERROR(IF(BG47="ac"+ISNUMBER(SEARCH("'",BL47))+BK47="","", IF(ISNUMBER(SEARCH("lw",BL47)), AY47 + SUBSTITUTE(BL47,"lw+",""), MROUND(SWITCH(BG47,"sq",BK$7,"bn",BL$7,"dl",BM$7,"")*IF(BL47&gt;10, BL47/100, VLOOKUP(BL47, _rpe,SUBSTITUTE(BK47,"+","")+1,0)), IF( SWITCH(BG47,"sq",BK$7,"bn",BL$7,"dl", BM$7,"")&lt; IF(_uom="lbs", 175, 80), 1.25, IF(_uom="lbs",5,2.5))))), "")</f>
        <v/>
      </c>
      <c r="BN47" s="148"/>
      <c r="BO47" s="33"/>
      <c r="BP47" s="171"/>
      <c r="BQ47" s="124" t="str">
        <f>IFERROR(__xludf.DUMMYFUNCTION("IF(BM47=MAX(FILTER(BM$10:BM$199,LOOKUP(ROW(BG$10:BG$199),FILTER(ROW(BG$10:BG$199),BG$10:BG$199&lt;&gt;BG$9:BG$198))=LOOKUP(ROW(BG47),FILTER(ROW(BG$10:BG$199),BG$10:BG$199&lt;&gt;BG$9:BG$198)))),BN47,)"),"")</f>
        <v/>
      </c>
      <c r="BR47" s="122"/>
      <c r="BS47" s="33"/>
      <c r="BT47" s="143" t="str">
        <f t="shared" si="19"/>
        <v/>
      </c>
      <c r="BU47" s="38" t="str">
        <f>IFERROR(__xludf.DUMMYFUNCTION("""COMPUTED_VALUE"""),"")</f>
        <v/>
      </c>
      <c r="BV47" s="144">
        <v>46146.0</v>
      </c>
      <c r="BW47" s="167" t="str">
        <f t="shared" si="20"/>
        <v/>
      </c>
      <c r="BX47" s="168" t="str">
        <f t="shared" si="196"/>
        <v/>
      </c>
      <c r="BY47" s="169" t="str">
        <f t="shared" si="197"/>
        <v/>
      </c>
      <c r="BZ47" s="172" t="str">
        <f t="shared" si="198"/>
        <v/>
      </c>
      <c r="CA47" s="171" t="str">
        <f t="array" ref="CA47">IFERROR(IF(BU47="ac"+ISNUMBER(SEARCH("'",BZ47))+BY47="","", IF(ISNUMBER(SEARCH("lw",BZ47)), BM47 + SUBSTITUTE(BZ47,"lw+",""), MROUND(SWITCH(BU47,"sq",BY$7,"bn",BZ$7,"dl",CA$7,"")*IF(BZ47&gt;10, BZ47/100, VLOOKUP(BZ47, _rpe,SUBSTITUTE(BY47,"+","")+1,0)), IF( SWITCH(BU47,"sq",BY$7,"bn",BZ$7,"dl", CA$7,"")&lt; IF(_uom="lbs", 175, 80), 1.25, IF(_uom="lbs",5,2.5))))), "")</f>
        <v/>
      </c>
      <c r="CB47" s="148"/>
      <c r="CC47" s="33"/>
      <c r="CD47" s="171"/>
      <c r="CE47" s="124" t="str">
        <f>IFERROR(__xludf.DUMMYFUNCTION("IF(CA47=MAX(FILTER(CA$10:CA$199,LOOKUP(ROW(BU$10:BU$199),FILTER(ROW(BU$10:BU$199),BU$10:BU$199&lt;&gt;BU$9:BU$198))=LOOKUP(ROW(BU47),FILTER(ROW(BU$10:BU$199),BU$10:BU$199&lt;&gt;BU$9:BU$198)))),CB47,)"),"")</f>
        <v/>
      </c>
      <c r="CF47" s="122"/>
      <c r="CG47" s="33"/>
      <c r="CH47" s="143" t="str">
        <f t="shared" si="21"/>
        <v/>
      </c>
      <c r="CI47" s="38" t="str">
        <f>IFERROR(__xludf.DUMMYFUNCTION("""COMPUTED_VALUE"""),"")</f>
        <v/>
      </c>
      <c r="CJ47" s="144">
        <v>46153.0</v>
      </c>
      <c r="CK47" s="167" t="str">
        <f t="shared" si="27"/>
        <v/>
      </c>
      <c r="CL47" s="168" t="str">
        <f t="shared" si="199"/>
        <v/>
      </c>
      <c r="CM47" s="169" t="str">
        <f t="shared" si="200"/>
        <v/>
      </c>
      <c r="CN47" s="172" t="str">
        <f t="shared" si="201"/>
        <v/>
      </c>
      <c r="CO47" s="171" t="str">
        <f t="array" ref="CO47">IFERROR(IF(CI47="ac"+ISNUMBER(SEARCH("'",CN47))+CM47="","", IF(ISNUMBER(SEARCH("lw",CN47)), CA47 + SUBSTITUTE(CN47,"lw+",""), MROUND(SWITCH(CI47,"sq",CM$7,"bn",CN$7,"dl",CO$7,"")*IF(CN47&gt;10, CN47/100, VLOOKUP(CN47, _rpe,SUBSTITUTE(CM47,"+","")+1,0)), IF( SWITCH(CI47,"sq",CM$7,"bn",CN$7,"dl", CO$7,"")&lt; IF(_uom="lbs", 175, 80), 1.25, IF(_uom="lbs",5,2.5))))), "")</f>
        <v/>
      </c>
      <c r="CP47" s="148"/>
      <c r="CQ47" s="33"/>
      <c r="CR47" s="171"/>
      <c r="CS47" s="124" t="str">
        <f>IFERROR(__xludf.DUMMYFUNCTION("IF(CO47=MAX(FILTER(CO$10:CO$199,LOOKUP(ROW(CI$10:CI$199),FILTER(ROW(CI$10:CI$199),CI$10:CI$199&lt;&gt;CI$9:CI$198))=LOOKUP(ROW(CI47),FILTER(ROW(CI$10:CI$199),CI$10:CI$199&lt;&gt;CI$9:CI$198)))),CP47,)"),"")</f>
        <v/>
      </c>
      <c r="CT47" s="122"/>
      <c r="CU47" s="33"/>
      <c r="CV47" s="143" t="str">
        <f t="shared" si="22"/>
        <v/>
      </c>
      <c r="CW47" s="38" t="str">
        <f>IFERROR(__xludf.DUMMYFUNCTION("""COMPUTED_VALUE"""),"")</f>
        <v/>
      </c>
      <c r="CX47" s="144">
        <v>46160.0</v>
      </c>
      <c r="CY47" s="167" t="str">
        <f t="shared" si="28"/>
        <v/>
      </c>
      <c r="CZ47" s="168" t="str">
        <f t="shared" si="186"/>
        <v/>
      </c>
      <c r="DA47" s="169" t="str">
        <f t="shared" si="202"/>
        <v/>
      </c>
      <c r="DB47" s="172" t="str">
        <f t="shared" si="169"/>
        <v/>
      </c>
      <c r="DC47" s="171" t="str">
        <f t="array" ref="DC47">IFERROR(IF(CW47="ac"+ISNUMBER(SEARCH("'",DB47))+DA47="","", IF(ISNUMBER(SEARCH("lw",DB47)), CO47 + SUBSTITUTE(DB47,"lw+",""), MROUND(SWITCH(CW47,"sq",DA$7,"bn",DB$7,"dl",DC$7,"")*IF(DB47&gt;10, DB47/100, VLOOKUP(DB47, _rpe,SUBSTITUTE(DA47,"+","")+1,0)), IF( SWITCH(CW47,"sq",DA$7,"bn",DB$7,"dl", DC$7,"")&lt; IF(_uom="lbs", 175, 80), 1.25, IF(_uom="lbs",5,2.5))))), "")</f>
        <v/>
      </c>
      <c r="DD47" s="148"/>
      <c r="DE47" s="33"/>
      <c r="DF47" s="171"/>
      <c r="DG47" s="124" t="str">
        <f>IFERROR(__xludf.DUMMYFUNCTION("IF(DC47=MAX(FILTER(DC$10:DC$199,LOOKUP(ROW(CW$10:CW$199),FILTER(ROW(CW$10:CW$199),CW$10:CW$199&lt;&gt;CW$9:CW$198))=LOOKUP(ROW(CW47),FILTER(ROW(CW$10:CW$199),CW$10:CW$199&lt;&gt;CW$9:CW$198)))),DD47,)"),"")</f>
        <v/>
      </c>
      <c r="DH47" s="122"/>
      <c r="DI47" s="33"/>
      <c r="DJ47" s="143" t="str">
        <f t="shared" si="23"/>
        <v/>
      </c>
      <c r="DK47" s="38" t="str">
        <f>IFERROR(__xludf.DUMMYFUNCTION("""COMPUTED_VALUE"""),"")</f>
        <v/>
      </c>
      <c r="DL47" s="144">
        <v>46167.0</v>
      </c>
      <c r="DM47" s="167" t="str">
        <f t="shared" ref="DM47:DN47" si="203">IF(ISBLANK(CY47),"",CY47)</f>
        <v/>
      </c>
      <c r="DN47" s="168" t="str">
        <f t="shared" si="203"/>
        <v/>
      </c>
      <c r="DO47" s="169" t="str">
        <f t="shared" si="204"/>
        <v/>
      </c>
      <c r="DP47" s="172" t="str">
        <f t="shared" si="205"/>
        <v/>
      </c>
      <c r="DQ47" s="171" t="str">
        <f t="array" ref="DQ47">IFERROR(IF(DK47="ac"+ISNUMBER(SEARCH("'",DP47))+DO47="","", IF(ISNUMBER(SEARCH("lw",DP47)), DC47 + SUBSTITUTE(DP47,"lw+",""), MROUND(SWITCH(DK47,"sq",DO$7,"bn",DP$7,"dl",DQ$7,"")*IF(DP47&gt;10, DP47/100, VLOOKUP(DP47, _rpe,SUBSTITUTE(DO47,"+","")+1,0)), IF( SWITCH(DK47,"sq",DO$7,"bn",DP$7,"dl", DQ$7,"")&lt; IF(_uom="lbs", 175, 80), 1.25, IF(_uom="lbs",5,2.5))))), "")</f>
        <v/>
      </c>
      <c r="DR47" s="148"/>
      <c r="DS47" s="33"/>
      <c r="DT47" s="171"/>
      <c r="DU47" s="124" t="str">
        <f>IFERROR(__xludf.DUMMYFUNCTION("IF(DQ47=MAX(FILTER(DQ$10:DQ$199,LOOKUP(ROW(DK$10:DK$199),FILTER(ROW(DK$10:DK$199),DK$10:DK$199&lt;&gt;DK$9:DK$198))=LOOKUP(ROW(DK47),FILTER(ROW(DK$10:DK$199),DK$10:DK$199&lt;&gt;DK$9:DK$198)))),DR47,)"),"")</f>
        <v/>
      </c>
      <c r="DV47" s="122"/>
      <c r="DW47" s="33"/>
      <c r="DX47" s="143"/>
      <c r="DY47" s="38"/>
      <c r="DZ47" s="144"/>
      <c r="EA47" s="150"/>
      <c r="EB47" s="174"/>
      <c r="EC47" s="175"/>
      <c r="ED47" s="176"/>
      <c r="EE47" s="155"/>
      <c r="EF47" s="148"/>
      <c r="EG47" s="33"/>
      <c r="EH47" s="155"/>
      <c r="EI47" s="148"/>
      <c r="EJ47" s="33"/>
      <c r="EK47" s="33"/>
      <c r="EL47" s="143"/>
      <c r="EM47" s="38"/>
      <c r="EN47" s="144"/>
      <c r="EO47" s="150"/>
      <c r="EP47" s="174"/>
      <c r="EQ47" s="175"/>
      <c r="ER47" s="176"/>
      <c r="ES47" s="155"/>
      <c r="ET47" s="148"/>
      <c r="EU47" s="33"/>
      <c r="EV47" s="155"/>
      <c r="EW47" s="148"/>
      <c r="EX47" s="33"/>
      <c r="EY47" s="33"/>
      <c r="EZ47" s="143"/>
      <c r="FA47" s="38"/>
      <c r="FB47" s="144"/>
      <c r="FC47" s="150"/>
      <c r="FD47" s="174"/>
      <c r="FE47" s="175"/>
      <c r="FF47" s="176"/>
      <c r="FG47" s="155"/>
      <c r="FH47" s="148"/>
      <c r="FI47" s="33"/>
      <c r="FJ47" s="155"/>
      <c r="FK47" s="148"/>
      <c r="FL47" s="33"/>
      <c r="FM47" s="33"/>
      <c r="FN47" s="143"/>
      <c r="FO47" s="38"/>
      <c r="FP47" s="144"/>
      <c r="FQ47" s="150"/>
      <c r="FR47" s="174"/>
      <c r="FS47" s="175"/>
      <c r="FT47" s="176"/>
      <c r="FU47" s="155"/>
      <c r="FV47" s="148"/>
      <c r="FW47" s="33"/>
      <c r="FX47" s="155"/>
      <c r="FY47" s="148"/>
      <c r="FZ47" s="33"/>
      <c r="GA47" s="33"/>
      <c r="GB47" s="143"/>
      <c r="GC47" s="38"/>
      <c r="GD47" s="144"/>
      <c r="GE47" s="150"/>
      <c r="GF47" s="174"/>
      <c r="GG47" s="175"/>
      <c r="GH47" s="176"/>
      <c r="GI47" s="155"/>
      <c r="GJ47" s="148"/>
      <c r="GK47" s="33"/>
      <c r="GL47" s="155"/>
      <c r="GM47" s="148"/>
      <c r="GN47" s="33"/>
      <c r="GO47" s="33"/>
      <c r="GP47" s="143"/>
      <c r="GQ47" s="38"/>
      <c r="GR47" s="144"/>
      <c r="GS47" s="150"/>
      <c r="GT47" s="174"/>
      <c r="GU47" s="175"/>
      <c r="GV47" s="176"/>
      <c r="GW47" s="155"/>
      <c r="GX47" s="148"/>
      <c r="GY47" s="33"/>
      <c r="GZ47" s="155"/>
      <c r="HA47" s="148"/>
      <c r="HB47" s="33"/>
      <c r="HC47" s="33"/>
      <c r="HD47" s="143"/>
      <c r="HE47" s="38"/>
      <c r="HF47" s="144"/>
      <c r="HG47" s="150"/>
      <c r="HH47" s="174"/>
      <c r="HI47" s="175"/>
      <c r="HJ47" s="176"/>
      <c r="HK47" s="155"/>
      <c r="HL47" s="148"/>
      <c r="HM47" s="33"/>
      <c r="HN47" s="155"/>
      <c r="HO47" s="148"/>
      <c r="HP47" s="33"/>
      <c r="HQ47" s="33"/>
      <c r="HR47" s="143"/>
      <c r="HS47" s="38"/>
      <c r="HT47" s="144"/>
      <c r="HU47" s="150"/>
      <c r="HV47" s="174"/>
      <c r="HW47" s="175"/>
      <c r="HX47" s="176"/>
      <c r="HY47" s="155"/>
      <c r="HZ47" s="148"/>
      <c r="IA47" s="33"/>
      <c r="IB47" s="155"/>
      <c r="IC47" s="148"/>
      <c r="ID47" s="33"/>
      <c r="IE47" s="33"/>
      <c r="IF47" s="143"/>
      <c r="IG47" s="38"/>
      <c r="IH47" s="144"/>
      <c r="II47" s="150"/>
      <c r="IJ47" s="174"/>
      <c r="IK47" s="175"/>
      <c r="IL47" s="176"/>
      <c r="IM47" s="155"/>
      <c r="IN47" s="148"/>
      <c r="IO47" s="33"/>
      <c r="IP47" s="155"/>
      <c r="IQ47" s="148"/>
      <c r="IR47" s="33"/>
      <c r="IS47" s="33"/>
      <c r="IT47" s="143"/>
      <c r="IU47" s="38"/>
      <c r="IV47" s="144"/>
      <c r="IW47" s="143" t="str">
        <f t="shared" si="24"/>
        <v>#REF!</v>
      </c>
      <c r="IX47" s="38"/>
      <c r="IY47" s="144" t="e">
        <v>#REF!</v>
      </c>
    </row>
    <row r="48" hidden="1">
      <c r="A48" s="33"/>
      <c r="B48" s="181"/>
      <c r="C48" s="38" t="str">
        <f>IFERROR(__xludf.DUMMYFUNCTION("""COMPUTED_VALUE"""),"")</f>
        <v/>
      </c>
      <c r="D48" s="144">
        <v>46111.0</v>
      </c>
      <c r="E48" s="167"/>
      <c r="F48" s="168"/>
      <c r="G48" s="169"/>
      <c r="H48" s="170"/>
      <c r="I48" s="171" t="str">
        <f t="array" ref="I48">IFERROR(IF(C48="ac"+ISNUMBER(SEARCH("'",H48))+G48="","", MROUND(SWITCH(C48,"sq",'Personal Info'!$O$15,"bn",'Personal Info'!$S$15,"dl",'Personal Info'!$W$15,"")*IF(H48&gt;10, H48/100, VLOOKUP(H48, _rpe,SUBSTITUTE(G48,"+","")+1,0)), IF( SWITCH(C48:C210,"sq",'Personal Info'!$O$15,"bn",'Personal Info'!$S$15,"dl", 'Personal Info'!$W$15,"")&lt; IF(_uom="lbs", 175, 80), 1.25, IF(_uom="lbs",5,2.5)))),"")</f>
        <v/>
      </c>
      <c r="J48" s="148"/>
      <c r="K48" s="33"/>
      <c r="L48" s="171"/>
      <c r="M48" s="124" t="str">
        <f>IFERROR(__xludf.DUMMYFUNCTION("IF(I48=MAX(FILTER(I$10:I$199,LOOKUP(ROW(C$10:C$199),FILTER(ROW(C$10:C$199),C$10:C$199&lt;&gt;C$9:C$198))=LOOKUP(ROW(C48),FILTER(ROW(C$10:C$199),C$10:C$199&lt;&gt;C$9:C$198)))),J48,)"),"")</f>
        <v/>
      </c>
      <c r="N48" s="122"/>
      <c r="O48" s="33"/>
      <c r="P48" s="143" t="str">
        <f t="shared" si="12"/>
        <v/>
      </c>
      <c r="Q48" s="38" t="str">
        <f>IFERROR(__xludf.DUMMYFUNCTION("""COMPUTED_VALUE"""),"")</f>
        <v/>
      </c>
      <c r="R48" s="144">
        <v>46118.0</v>
      </c>
      <c r="S48" s="167" t="str">
        <f t="shared" si="13"/>
        <v/>
      </c>
      <c r="T48" s="168" t="str">
        <f t="shared" si="170"/>
        <v/>
      </c>
      <c r="U48" s="169" t="str">
        <f t="shared" si="188"/>
        <v/>
      </c>
      <c r="V48" s="172" t="str">
        <f t="shared" si="189"/>
        <v/>
      </c>
      <c r="W48" s="171" t="str">
        <f t="array" ref="W48">IFERROR(IF(Q48="ac"+ISNUMBER(SEARCH("'",V48))+U48="","", IF(ISNUMBER(SEARCH("lw",V48)), I48 + SUBSTITUTE(V48,"lw+",""), MROUND(SWITCH(Q48,"sq",U$7,"bn",V$7,"dl",W$7,"")*IF(V48&gt;10, V48/100, VLOOKUP(V48, _rpe,SUBSTITUTE(U48,"+","")+1,0)), IF( SWITCH(Q48,"sq",U$7,"bn",V$7,"dl", W$7,"")&lt; IF(_uom="lbs", 175, 80), 1.25, IF(_uom="lbs",5,2.5))))), "")</f>
        <v/>
      </c>
      <c r="X48" s="148"/>
      <c r="Y48" s="33"/>
      <c r="Z48" s="171"/>
      <c r="AA48" s="124" t="str">
        <f>IFERROR(__xludf.DUMMYFUNCTION("IF(W48=MAX(FILTER(W$10:W$199,LOOKUP(ROW(Q$10:Q$199),FILTER(ROW(Q$10:Q$199),Q$10:Q$199&lt;&gt;Q$9:Q$198))=LOOKUP(ROW(Q48),FILTER(ROW(Q$10:Q$199),Q$10:Q$199&lt;&gt;Q$9:Q$198)))),X48,)"),"")</f>
        <v/>
      </c>
      <c r="AB48" s="122"/>
      <c r="AC48" s="33"/>
      <c r="AD48" s="143" t="str">
        <f t="shared" si="14"/>
        <v/>
      </c>
      <c r="AE48" s="38" t="str">
        <f>IFERROR(__xludf.DUMMYFUNCTION("""COMPUTED_VALUE"""),"")</f>
        <v/>
      </c>
      <c r="AF48" s="144">
        <v>46125.0</v>
      </c>
      <c r="AG48" s="167" t="str">
        <f t="shared" si="54"/>
        <v/>
      </c>
      <c r="AH48" s="168" t="str">
        <f t="shared" si="151"/>
        <v/>
      </c>
      <c r="AI48" s="169" t="str">
        <f t="shared" si="190"/>
        <v/>
      </c>
      <c r="AJ48" s="172" t="str">
        <f t="shared" si="191"/>
        <v/>
      </c>
      <c r="AK48" s="171" t="str">
        <f t="array" ref="AK48">IFERROR(IF(AE48="ac"+ISNUMBER(SEARCH("'",AJ48))+AI48="","", IF(ISNUMBER(SEARCH("lw",AJ48)), W48 + SUBSTITUTE(AJ48,"lw+",""), MROUND(SWITCH(AE48,"sq",AI$7,"bn",AJ$7,"dl",AK$7,"")*IF(AJ48&gt;10, AJ48/100, VLOOKUP(AJ48, _rpe,SUBSTITUTE(AI48,"+","")+1,0)), IF( SWITCH(AE48,"sq",AI$7,"bn",AJ$7,"dl", AK$7,"")&lt; IF(_uom="lbs", 175, 80), 1.25, IF(_uom="lbs",5,2.5))))), "")</f>
        <v/>
      </c>
      <c r="AL48" s="148"/>
      <c r="AM48" s="33"/>
      <c r="AN48" s="171"/>
      <c r="AO48" s="124" t="str">
        <f>IFERROR(__xludf.DUMMYFUNCTION("IF(AK48=MAX(FILTER(AK$10:AK$199,LOOKUP(ROW(AE$10:AE$199),FILTER(ROW(AE$10:AE$199),AE$10:AE$199&lt;&gt;AE$9:AE$198))=LOOKUP(ROW(AE48),FILTER(ROW(AE$10:AE$199),AE$10:AE$199&lt;&gt;AE$9:AE$198)))),AL48,)"),"")</f>
        <v/>
      </c>
      <c r="AP48" s="122"/>
      <c r="AQ48" s="33"/>
      <c r="AR48" s="143" t="str">
        <f t="shared" si="16"/>
        <v/>
      </c>
      <c r="AS48" s="38" t="str">
        <f>IFERROR(__xludf.DUMMYFUNCTION("""COMPUTED_VALUE"""),"")</f>
        <v/>
      </c>
      <c r="AT48" s="144">
        <v>46132.0</v>
      </c>
      <c r="AU48" s="167" t="str">
        <f t="shared" si="26"/>
        <v/>
      </c>
      <c r="AV48" s="168" t="str">
        <f t="shared" si="152"/>
        <v/>
      </c>
      <c r="AW48" s="169" t="str">
        <f t="shared" si="192"/>
        <v/>
      </c>
      <c r="AX48" s="172" t="str">
        <f t="shared" si="158"/>
        <v/>
      </c>
      <c r="AY48" s="171" t="str">
        <f t="array" ref="AY48">IFERROR(IF(AS48="ac"+ISNUMBER(SEARCH("'",AX48))+AW48="","", IF(ISNUMBER(SEARCH("lw",AX48)), AK48 + SUBSTITUTE(AX48,"lw+",""), MROUND(SWITCH(AS48,"sq",AW$7,"bn",AX$7,"dl",AY$7,"")*IF(AX48&gt;10, AX48/100, VLOOKUP(AX48, _rpe,SUBSTITUTE(AW48,"+","")+1,0)), IF( SWITCH(AS48,"sq",AW$7,"bn",AX$7,"dl", AY$7,"")&lt; IF(_uom="lbs", 175, 80), 1.25, IF(_uom="lbs",5,2.5))))), "")</f>
        <v/>
      </c>
      <c r="AZ48" s="148"/>
      <c r="BA48" s="33"/>
      <c r="BB48" s="171"/>
      <c r="BC48" s="124" t="str">
        <f>IFERROR(__xludf.DUMMYFUNCTION("IF(AY48=MAX(FILTER(AY$10:AY$199,LOOKUP(ROW(AS$10:AS$199),FILTER(ROW(AS$10:AS$199),AS$10:AS$199&lt;&gt;AS$9:AS$198))=LOOKUP(ROW(AS48),FILTER(ROW(AS$10:AS$199),AS$10:AS$199&lt;&gt;AS$9:AS$198)))),AZ48,)"),"")</f>
        <v/>
      </c>
      <c r="BD48" s="122"/>
      <c r="BE48" s="33"/>
      <c r="BF48" s="143" t="str">
        <f t="shared" si="17"/>
        <v/>
      </c>
      <c r="BG48" s="38" t="str">
        <f>IFERROR(__xludf.DUMMYFUNCTION("""COMPUTED_VALUE"""),"")</f>
        <v/>
      </c>
      <c r="BH48" s="144">
        <v>46139.0</v>
      </c>
      <c r="BI48" s="167" t="str">
        <f t="shared" si="18"/>
        <v/>
      </c>
      <c r="BJ48" s="168" t="str">
        <f t="shared" si="193"/>
        <v/>
      </c>
      <c r="BK48" s="169" t="str">
        <f t="shared" si="194"/>
        <v/>
      </c>
      <c r="BL48" s="172" t="str">
        <f t="shared" si="195"/>
        <v/>
      </c>
      <c r="BM48" s="171" t="str">
        <f t="array" ref="BM48">IFERROR(IF(BG48="ac"+ISNUMBER(SEARCH("'",BL48))+BK48="","", IF(ISNUMBER(SEARCH("lw",BL48)), AY48 + SUBSTITUTE(BL48,"lw+",""), MROUND(SWITCH(BG48,"sq",BK$7,"bn",BL$7,"dl",BM$7,"")*IF(BL48&gt;10, BL48/100, VLOOKUP(BL48, _rpe,SUBSTITUTE(BK48,"+","")+1,0)), IF( SWITCH(BG48,"sq",BK$7,"bn",BL$7,"dl", BM$7,"")&lt; IF(_uom="lbs", 175, 80), 1.25, IF(_uom="lbs",5,2.5))))), "")</f>
        <v/>
      </c>
      <c r="BN48" s="148"/>
      <c r="BO48" s="33"/>
      <c r="BP48" s="171"/>
      <c r="BQ48" s="124" t="str">
        <f>IFERROR(__xludf.DUMMYFUNCTION("IF(BM48=MAX(FILTER(BM$10:BM$199,LOOKUP(ROW(BG$10:BG$199),FILTER(ROW(BG$10:BG$199),BG$10:BG$199&lt;&gt;BG$9:BG$198))=LOOKUP(ROW(BG48),FILTER(ROW(BG$10:BG$199),BG$10:BG$199&lt;&gt;BG$9:BG$198)))),BN48,)"),"")</f>
        <v/>
      </c>
      <c r="BR48" s="122"/>
      <c r="BS48" s="33"/>
      <c r="BT48" s="143" t="str">
        <f t="shared" si="19"/>
        <v/>
      </c>
      <c r="BU48" s="38" t="str">
        <f>IFERROR(__xludf.DUMMYFUNCTION("""COMPUTED_VALUE"""),"")</f>
        <v/>
      </c>
      <c r="BV48" s="144">
        <v>46146.0</v>
      </c>
      <c r="BW48" s="167" t="str">
        <f t="shared" si="20"/>
        <v/>
      </c>
      <c r="BX48" s="168" t="str">
        <f t="shared" si="196"/>
        <v/>
      </c>
      <c r="BY48" s="169" t="str">
        <f t="shared" si="197"/>
        <v/>
      </c>
      <c r="BZ48" s="172" t="str">
        <f t="shared" si="198"/>
        <v/>
      </c>
      <c r="CA48" s="171" t="str">
        <f t="array" ref="CA48">IFERROR(IF(BU48="ac"+ISNUMBER(SEARCH("'",BZ48))+BY48="","", IF(ISNUMBER(SEARCH("lw",BZ48)), BM48 + SUBSTITUTE(BZ48,"lw+",""), MROUND(SWITCH(BU48,"sq",BY$7,"bn",BZ$7,"dl",CA$7,"")*IF(BZ48&gt;10, BZ48/100, VLOOKUP(BZ48, _rpe,SUBSTITUTE(BY48,"+","")+1,0)), IF( SWITCH(BU48,"sq",BY$7,"bn",BZ$7,"dl", CA$7,"")&lt; IF(_uom="lbs", 175, 80), 1.25, IF(_uom="lbs",5,2.5))))), "")</f>
        <v/>
      </c>
      <c r="CB48" s="148"/>
      <c r="CC48" s="33"/>
      <c r="CD48" s="171"/>
      <c r="CE48" s="124" t="str">
        <f>IFERROR(__xludf.DUMMYFUNCTION("IF(CA48=MAX(FILTER(CA$10:CA$199,LOOKUP(ROW(BU$10:BU$199),FILTER(ROW(BU$10:BU$199),BU$10:BU$199&lt;&gt;BU$9:BU$198))=LOOKUP(ROW(BU48),FILTER(ROW(BU$10:BU$199),BU$10:BU$199&lt;&gt;BU$9:BU$198)))),CB48,)"),"")</f>
        <v/>
      </c>
      <c r="CF48" s="122"/>
      <c r="CG48" s="33"/>
      <c r="CH48" s="143" t="str">
        <f t="shared" si="21"/>
        <v/>
      </c>
      <c r="CI48" s="38" t="str">
        <f>IFERROR(__xludf.DUMMYFUNCTION("""COMPUTED_VALUE"""),"")</f>
        <v/>
      </c>
      <c r="CJ48" s="144">
        <v>46153.0</v>
      </c>
      <c r="CK48" s="167" t="str">
        <f t="shared" si="27"/>
        <v/>
      </c>
      <c r="CL48" s="168" t="str">
        <f t="shared" si="199"/>
        <v/>
      </c>
      <c r="CM48" s="169" t="str">
        <f t="shared" si="200"/>
        <v/>
      </c>
      <c r="CN48" s="172" t="str">
        <f t="shared" si="201"/>
        <v/>
      </c>
      <c r="CO48" s="171" t="str">
        <f t="array" ref="CO48">IFERROR(IF(CI48="ac"+ISNUMBER(SEARCH("'",CN48))+CM48="","", IF(ISNUMBER(SEARCH("lw",CN48)), CA48 + SUBSTITUTE(CN48,"lw+",""), MROUND(SWITCH(CI48,"sq",CM$7,"bn",CN$7,"dl",CO$7,"")*IF(CN48&gt;10, CN48/100, VLOOKUP(CN48, _rpe,SUBSTITUTE(CM48,"+","")+1,0)), IF( SWITCH(CI48,"sq",CM$7,"bn",CN$7,"dl", CO$7,"")&lt; IF(_uom="lbs", 175, 80), 1.25, IF(_uom="lbs",5,2.5))))), "")</f>
        <v/>
      </c>
      <c r="CP48" s="148"/>
      <c r="CQ48" s="33"/>
      <c r="CR48" s="171"/>
      <c r="CS48" s="124" t="str">
        <f>IFERROR(__xludf.DUMMYFUNCTION("IF(CO48=MAX(FILTER(CO$10:CO$199,LOOKUP(ROW(CI$10:CI$199),FILTER(ROW(CI$10:CI$199),CI$10:CI$199&lt;&gt;CI$9:CI$198))=LOOKUP(ROW(CI48),FILTER(ROW(CI$10:CI$199),CI$10:CI$199&lt;&gt;CI$9:CI$198)))),CP48,)"),"")</f>
        <v/>
      </c>
      <c r="CT48" s="122"/>
      <c r="CU48" s="33"/>
      <c r="CV48" s="143" t="str">
        <f t="shared" si="22"/>
        <v/>
      </c>
      <c r="CW48" s="38" t="str">
        <f>IFERROR(__xludf.DUMMYFUNCTION("""COMPUTED_VALUE"""),"")</f>
        <v/>
      </c>
      <c r="CX48" s="144">
        <v>46160.0</v>
      </c>
      <c r="CY48" s="167" t="str">
        <f t="shared" si="28"/>
        <v/>
      </c>
      <c r="CZ48" s="168" t="str">
        <f t="shared" si="186"/>
        <v/>
      </c>
      <c r="DA48" s="169" t="str">
        <f t="shared" si="202"/>
        <v/>
      </c>
      <c r="DB48" s="172" t="str">
        <f t="shared" si="169"/>
        <v/>
      </c>
      <c r="DC48" s="171" t="str">
        <f t="array" ref="DC48">IFERROR(IF(CW48="ac"+ISNUMBER(SEARCH("'",DB48))+DA48="","", IF(ISNUMBER(SEARCH("lw",DB48)), CO48 + SUBSTITUTE(DB48,"lw+",""), MROUND(SWITCH(CW48,"sq",DA$7,"bn",DB$7,"dl",DC$7,"")*IF(DB48&gt;10, DB48/100, VLOOKUP(DB48, _rpe,SUBSTITUTE(DA48,"+","")+1,0)), IF( SWITCH(CW48,"sq",DA$7,"bn",DB$7,"dl", DC$7,"")&lt; IF(_uom="lbs", 175, 80), 1.25, IF(_uom="lbs",5,2.5))))), "")</f>
        <v/>
      </c>
      <c r="DD48" s="148"/>
      <c r="DE48" s="33"/>
      <c r="DF48" s="171"/>
      <c r="DG48" s="124" t="str">
        <f>IFERROR(__xludf.DUMMYFUNCTION("IF(DC48=MAX(FILTER(DC$10:DC$199,LOOKUP(ROW(CW$10:CW$199),FILTER(ROW(CW$10:CW$199),CW$10:CW$199&lt;&gt;CW$9:CW$198))=LOOKUP(ROW(CW48),FILTER(ROW(CW$10:CW$199),CW$10:CW$199&lt;&gt;CW$9:CW$198)))),DD48,)"),"")</f>
        <v/>
      </c>
      <c r="DH48" s="122"/>
      <c r="DI48" s="33"/>
      <c r="DJ48" s="143" t="str">
        <f t="shared" si="23"/>
        <v/>
      </c>
      <c r="DK48" s="38" t="str">
        <f>IFERROR(__xludf.DUMMYFUNCTION("""COMPUTED_VALUE"""),"")</f>
        <v/>
      </c>
      <c r="DL48" s="144">
        <v>46167.0</v>
      </c>
      <c r="DM48" s="167" t="str">
        <f t="shared" ref="DM48:DN48" si="206">IF(ISBLANK(CY48),"",CY48)</f>
        <v/>
      </c>
      <c r="DN48" s="168" t="str">
        <f t="shared" si="206"/>
        <v/>
      </c>
      <c r="DO48" s="169" t="str">
        <f t="shared" si="204"/>
        <v/>
      </c>
      <c r="DP48" s="172" t="str">
        <f t="shared" si="205"/>
        <v/>
      </c>
      <c r="DQ48" s="171" t="str">
        <f t="array" ref="DQ48">IFERROR(IF(DK48="ac"+ISNUMBER(SEARCH("'",DP48))+DO48="","", IF(ISNUMBER(SEARCH("lw",DP48)), DC48 + SUBSTITUTE(DP48,"lw+",""), MROUND(SWITCH(DK48,"sq",DO$7,"bn",DP$7,"dl",DQ$7,"")*IF(DP48&gt;10, DP48/100, VLOOKUP(DP48, _rpe,SUBSTITUTE(DO48,"+","")+1,0)), IF( SWITCH(DK48,"sq",DO$7,"bn",DP$7,"dl", DQ$7,"")&lt; IF(_uom="lbs", 175, 80), 1.25, IF(_uom="lbs",5,2.5))))), "")</f>
        <v/>
      </c>
      <c r="DR48" s="148"/>
      <c r="DS48" s="33"/>
      <c r="DT48" s="171"/>
      <c r="DU48" s="124" t="str">
        <f>IFERROR(__xludf.DUMMYFUNCTION("IF(DQ48=MAX(FILTER(DQ$10:DQ$199,LOOKUP(ROW(DK$10:DK$199),FILTER(ROW(DK$10:DK$199),DK$10:DK$199&lt;&gt;DK$9:DK$198))=LOOKUP(ROW(DK48),FILTER(ROW(DK$10:DK$199),DK$10:DK$199&lt;&gt;DK$9:DK$198)))),DR48,)"),"")</f>
        <v/>
      </c>
      <c r="DV48" s="122"/>
      <c r="DW48" s="33"/>
      <c r="DX48" s="143"/>
      <c r="DY48" s="38"/>
      <c r="DZ48" s="144"/>
      <c r="EA48" s="150"/>
      <c r="EB48" s="174"/>
      <c r="EC48" s="175"/>
      <c r="ED48" s="176"/>
      <c r="EE48" s="155"/>
      <c r="EF48" s="148"/>
      <c r="EG48" s="33"/>
      <c r="EH48" s="155"/>
      <c r="EI48" s="148"/>
      <c r="EJ48" s="33"/>
      <c r="EK48" s="33"/>
      <c r="EL48" s="143"/>
      <c r="EM48" s="38"/>
      <c r="EN48" s="144"/>
      <c r="EO48" s="150"/>
      <c r="EP48" s="174"/>
      <c r="EQ48" s="175"/>
      <c r="ER48" s="176"/>
      <c r="ES48" s="155"/>
      <c r="ET48" s="148"/>
      <c r="EU48" s="33"/>
      <c r="EV48" s="155"/>
      <c r="EW48" s="148"/>
      <c r="EX48" s="33"/>
      <c r="EY48" s="33"/>
      <c r="EZ48" s="143"/>
      <c r="FA48" s="38"/>
      <c r="FB48" s="144"/>
      <c r="FC48" s="150"/>
      <c r="FD48" s="174"/>
      <c r="FE48" s="175"/>
      <c r="FF48" s="176"/>
      <c r="FG48" s="155"/>
      <c r="FH48" s="148"/>
      <c r="FI48" s="33"/>
      <c r="FJ48" s="155"/>
      <c r="FK48" s="148"/>
      <c r="FL48" s="33"/>
      <c r="FM48" s="33"/>
      <c r="FN48" s="143"/>
      <c r="FO48" s="38"/>
      <c r="FP48" s="144"/>
      <c r="FQ48" s="150"/>
      <c r="FR48" s="174"/>
      <c r="FS48" s="175"/>
      <c r="FT48" s="176"/>
      <c r="FU48" s="155"/>
      <c r="FV48" s="148"/>
      <c r="FW48" s="33"/>
      <c r="FX48" s="155"/>
      <c r="FY48" s="148"/>
      <c r="FZ48" s="33"/>
      <c r="GA48" s="33"/>
      <c r="GB48" s="143"/>
      <c r="GC48" s="38"/>
      <c r="GD48" s="144"/>
      <c r="GE48" s="150"/>
      <c r="GF48" s="174"/>
      <c r="GG48" s="175"/>
      <c r="GH48" s="176"/>
      <c r="GI48" s="155"/>
      <c r="GJ48" s="148"/>
      <c r="GK48" s="33"/>
      <c r="GL48" s="155"/>
      <c r="GM48" s="148"/>
      <c r="GN48" s="33"/>
      <c r="GO48" s="33"/>
      <c r="GP48" s="143"/>
      <c r="GQ48" s="38"/>
      <c r="GR48" s="144"/>
      <c r="GS48" s="150"/>
      <c r="GT48" s="174"/>
      <c r="GU48" s="175"/>
      <c r="GV48" s="176"/>
      <c r="GW48" s="155"/>
      <c r="GX48" s="148"/>
      <c r="GY48" s="33"/>
      <c r="GZ48" s="155"/>
      <c r="HA48" s="148"/>
      <c r="HB48" s="33"/>
      <c r="HC48" s="33"/>
      <c r="HD48" s="143"/>
      <c r="HE48" s="38"/>
      <c r="HF48" s="144"/>
      <c r="HG48" s="150"/>
      <c r="HH48" s="174"/>
      <c r="HI48" s="175"/>
      <c r="HJ48" s="176"/>
      <c r="HK48" s="155"/>
      <c r="HL48" s="148"/>
      <c r="HM48" s="33"/>
      <c r="HN48" s="155"/>
      <c r="HO48" s="148"/>
      <c r="HP48" s="33"/>
      <c r="HQ48" s="33"/>
      <c r="HR48" s="143"/>
      <c r="HS48" s="38"/>
      <c r="HT48" s="144"/>
      <c r="HU48" s="150"/>
      <c r="HV48" s="174"/>
      <c r="HW48" s="175"/>
      <c r="HX48" s="176"/>
      <c r="HY48" s="155"/>
      <c r="HZ48" s="148"/>
      <c r="IA48" s="33"/>
      <c r="IB48" s="155"/>
      <c r="IC48" s="148"/>
      <c r="ID48" s="33"/>
      <c r="IE48" s="33"/>
      <c r="IF48" s="143"/>
      <c r="IG48" s="38"/>
      <c r="IH48" s="144"/>
      <c r="II48" s="150"/>
      <c r="IJ48" s="174"/>
      <c r="IK48" s="175"/>
      <c r="IL48" s="176"/>
      <c r="IM48" s="155"/>
      <c r="IN48" s="148"/>
      <c r="IO48" s="33"/>
      <c r="IP48" s="155"/>
      <c r="IQ48" s="148"/>
      <c r="IR48" s="33"/>
      <c r="IS48" s="33"/>
      <c r="IT48" s="143"/>
      <c r="IU48" s="38"/>
      <c r="IV48" s="144"/>
      <c r="IW48" s="143" t="str">
        <f t="shared" si="24"/>
        <v>#REF!</v>
      </c>
      <c r="IX48" s="38"/>
      <c r="IY48" s="144" t="e">
        <v>#REF!</v>
      </c>
    </row>
    <row r="49" hidden="1">
      <c r="A49" s="33"/>
      <c r="B49" s="181"/>
      <c r="C49" s="38" t="str">
        <f>IFERROR(__xludf.DUMMYFUNCTION("""COMPUTED_VALUE"""),"")</f>
        <v/>
      </c>
      <c r="D49" s="144">
        <v>46111.0</v>
      </c>
      <c r="E49" s="167"/>
      <c r="F49" s="168"/>
      <c r="G49" s="169"/>
      <c r="H49" s="170"/>
      <c r="I49" s="171" t="str">
        <f t="array" ref="I49">IFERROR(IF(C49="ac"+ISNUMBER(SEARCH("'",H49))+G49="","", MROUND(SWITCH(C49,"sq",'Personal Info'!$O$15,"bn",'Personal Info'!$S$15,"dl",'Personal Info'!$W$15,"")*IF(H49&gt;10, H49/100, VLOOKUP(H49, _rpe,SUBSTITUTE(G49,"+","")+1,0)), IF( SWITCH(C49:C210,"sq",'Personal Info'!$O$15,"bn",'Personal Info'!$S$15,"dl", 'Personal Info'!$W$15,"")&lt; IF(_uom="lbs", 175, 80), 1.25, IF(_uom="lbs",5,2.5)))),"")</f>
        <v/>
      </c>
      <c r="J49" s="148"/>
      <c r="K49" s="33"/>
      <c r="L49" s="171"/>
      <c r="M49" s="124" t="str">
        <f>IFERROR(__xludf.DUMMYFUNCTION("IF(I49=MAX(FILTER(I$10:I$199,LOOKUP(ROW(C$10:C$199),FILTER(ROW(C$10:C$199),C$10:C$199&lt;&gt;C$9:C$198))=LOOKUP(ROW(C49),FILTER(ROW(C$10:C$199),C$10:C$199&lt;&gt;C$9:C$198)))),J49,)"),"")</f>
        <v/>
      </c>
      <c r="N49" s="122"/>
      <c r="O49" s="33"/>
      <c r="P49" s="143" t="str">
        <f t="shared" si="12"/>
        <v/>
      </c>
      <c r="Q49" s="38" t="str">
        <f>IFERROR(__xludf.DUMMYFUNCTION("""COMPUTED_VALUE"""),"")</f>
        <v/>
      </c>
      <c r="R49" s="144">
        <v>46118.0</v>
      </c>
      <c r="S49" s="167" t="str">
        <f t="shared" si="13"/>
        <v/>
      </c>
      <c r="T49" s="168" t="str">
        <f t="shared" si="170"/>
        <v/>
      </c>
      <c r="U49" s="169" t="str">
        <f t="shared" si="188"/>
        <v/>
      </c>
      <c r="V49" s="172" t="str">
        <f t="shared" si="189"/>
        <v/>
      </c>
      <c r="W49" s="171" t="str">
        <f t="array" ref="W49">IFERROR(IF(Q49="ac"+ISNUMBER(SEARCH("'",V49))+U49="","", IF(ISNUMBER(SEARCH("lw",V49)), I49 + SUBSTITUTE(V49,"lw+",""), MROUND(SWITCH(Q49,"sq",U$7,"bn",V$7,"dl",W$7,"")*IF(V49&gt;10, V49/100, VLOOKUP(V49, _rpe,SUBSTITUTE(U49,"+","")+1,0)), IF( SWITCH(Q49,"sq",U$7,"bn",V$7,"dl", W$7,"")&lt; IF(_uom="lbs", 175, 80), 1.25, IF(_uom="lbs",5,2.5))))), "")</f>
        <v/>
      </c>
      <c r="X49" s="148"/>
      <c r="Y49" s="33"/>
      <c r="Z49" s="171"/>
      <c r="AA49" s="124" t="str">
        <f>IFERROR(__xludf.DUMMYFUNCTION("IF(W49=MAX(FILTER(W$10:W$199,LOOKUP(ROW(Q$10:Q$199),FILTER(ROW(Q$10:Q$199),Q$10:Q$199&lt;&gt;Q$9:Q$198))=LOOKUP(ROW(Q49),FILTER(ROW(Q$10:Q$199),Q$10:Q$199&lt;&gt;Q$9:Q$198)))),X49,)"),"")</f>
        <v/>
      </c>
      <c r="AB49" s="122"/>
      <c r="AC49" s="33"/>
      <c r="AD49" s="143" t="str">
        <f t="shared" si="14"/>
        <v/>
      </c>
      <c r="AE49" s="38" t="str">
        <f>IFERROR(__xludf.DUMMYFUNCTION("""COMPUTED_VALUE"""),"")</f>
        <v/>
      </c>
      <c r="AF49" s="144">
        <v>46125.0</v>
      </c>
      <c r="AG49" s="167" t="str">
        <f t="shared" si="54"/>
        <v/>
      </c>
      <c r="AH49" s="168" t="str">
        <f t="shared" si="151"/>
        <v/>
      </c>
      <c r="AI49" s="169" t="str">
        <f t="shared" si="190"/>
        <v/>
      </c>
      <c r="AJ49" s="172" t="str">
        <f t="shared" si="191"/>
        <v/>
      </c>
      <c r="AK49" s="171" t="str">
        <f t="array" ref="AK49">IFERROR(IF(AE49="ac"+ISNUMBER(SEARCH("'",AJ49))+AI49="","", IF(ISNUMBER(SEARCH("lw",AJ49)), W49 + SUBSTITUTE(AJ49,"lw+",""), MROUND(SWITCH(AE49,"sq",AI$7,"bn",AJ$7,"dl",AK$7,"")*IF(AJ49&gt;10, AJ49/100, VLOOKUP(AJ49, _rpe,SUBSTITUTE(AI49,"+","")+1,0)), IF( SWITCH(AE49,"sq",AI$7,"bn",AJ$7,"dl", AK$7,"")&lt; IF(_uom="lbs", 175, 80), 1.25, IF(_uom="lbs",5,2.5))))), "")</f>
        <v/>
      </c>
      <c r="AL49" s="148"/>
      <c r="AM49" s="33"/>
      <c r="AN49" s="171"/>
      <c r="AO49" s="124" t="str">
        <f>IFERROR(__xludf.DUMMYFUNCTION("IF(AK49=MAX(FILTER(AK$10:AK$199,LOOKUP(ROW(AE$10:AE$199),FILTER(ROW(AE$10:AE$199),AE$10:AE$199&lt;&gt;AE$9:AE$198))=LOOKUP(ROW(AE49),FILTER(ROW(AE$10:AE$199),AE$10:AE$199&lt;&gt;AE$9:AE$198)))),AL49,)"),"")</f>
        <v/>
      </c>
      <c r="AP49" s="122"/>
      <c r="AQ49" s="33"/>
      <c r="AR49" s="143" t="str">
        <f t="shared" si="16"/>
        <v/>
      </c>
      <c r="AS49" s="38" t="str">
        <f>IFERROR(__xludf.DUMMYFUNCTION("""COMPUTED_VALUE"""),"")</f>
        <v/>
      </c>
      <c r="AT49" s="144">
        <v>46132.0</v>
      </c>
      <c r="AU49" s="167" t="str">
        <f t="shared" si="26"/>
        <v/>
      </c>
      <c r="AV49" s="168" t="str">
        <f t="shared" si="152"/>
        <v/>
      </c>
      <c r="AW49" s="169" t="str">
        <f t="shared" si="192"/>
        <v/>
      </c>
      <c r="AX49" s="172" t="str">
        <f t="shared" si="158"/>
        <v/>
      </c>
      <c r="AY49" s="171" t="str">
        <f t="array" ref="AY49">IFERROR(IF(AS49="ac"+ISNUMBER(SEARCH("'",AX49))+AW49="","", IF(ISNUMBER(SEARCH("lw",AX49)), AK49 + SUBSTITUTE(AX49,"lw+",""), MROUND(SWITCH(AS49,"sq",AW$7,"bn",AX$7,"dl",AY$7,"")*IF(AX49&gt;10, AX49/100, VLOOKUP(AX49, _rpe,SUBSTITUTE(AW49,"+","")+1,0)), IF( SWITCH(AS49,"sq",AW$7,"bn",AX$7,"dl", AY$7,"")&lt; IF(_uom="lbs", 175, 80), 1.25, IF(_uom="lbs",5,2.5))))), "")</f>
        <v/>
      </c>
      <c r="AZ49" s="148"/>
      <c r="BA49" s="33"/>
      <c r="BB49" s="171"/>
      <c r="BC49" s="124" t="str">
        <f>IFERROR(__xludf.DUMMYFUNCTION("IF(AY49=MAX(FILTER(AY$10:AY$199,LOOKUP(ROW(AS$10:AS$199),FILTER(ROW(AS$10:AS$199),AS$10:AS$199&lt;&gt;AS$9:AS$198))=LOOKUP(ROW(AS49),FILTER(ROW(AS$10:AS$199),AS$10:AS$199&lt;&gt;AS$9:AS$198)))),AZ49,)"),"")</f>
        <v/>
      </c>
      <c r="BD49" s="122"/>
      <c r="BE49" s="33"/>
      <c r="BF49" s="143" t="str">
        <f t="shared" si="17"/>
        <v/>
      </c>
      <c r="BG49" s="38" t="str">
        <f>IFERROR(__xludf.DUMMYFUNCTION("""COMPUTED_VALUE"""),"")</f>
        <v/>
      </c>
      <c r="BH49" s="144">
        <v>46139.0</v>
      </c>
      <c r="BI49" s="167" t="str">
        <f t="shared" si="18"/>
        <v/>
      </c>
      <c r="BJ49" s="168" t="str">
        <f t="shared" si="193"/>
        <v/>
      </c>
      <c r="BK49" s="169" t="str">
        <f t="shared" si="194"/>
        <v/>
      </c>
      <c r="BL49" s="172" t="str">
        <f t="shared" si="195"/>
        <v/>
      </c>
      <c r="BM49" s="171" t="str">
        <f t="array" ref="BM49">IFERROR(IF(BG49="ac"+ISNUMBER(SEARCH("'",BL49))+BK49="","", IF(ISNUMBER(SEARCH("lw",BL49)), AY49 + SUBSTITUTE(BL49,"lw+",""), MROUND(SWITCH(BG49,"sq",BK$7,"bn",BL$7,"dl",BM$7,"")*IF(BL49&gt;10, BL49/100, VLOOKUP(BL49, _rpe,SUBSTITUTE(BK49,"+","")+1,0)), IF( SWITCH(BG49,"sq",BK$7,"bn",BL$7,"dl", BM$7,"")&lt; IF(_uom="lbs", 175, 80), 1.25, IF(_uom="lbs",5,2.5))))), "")</f>
        <v/>
      </c>
      <c r="BN49" s="148"/>
      <c r="BO49" s="33"/>
      <c r="BP49" s="171"/>
      <c r="BQ49" s="124" t="str">
        <f>IFERROR(__xludf.DUMMYFUNCTION("IF(BM49=MAX(FILTER(BM$10:BM$199,LOOKUP(ROW(BG$10:BG$199),FILTER(ROW(BG$10:BG$199),BG$10:BG$199&lt;&gt;BG$9:BG$198))=LOOKUP(ROW(BG49),FILTER(ROW(BG$10:BG$199),BG$10:BG$199&lt;&gt;BG$9:BG$198)))),BN49,)"),"")</f>
        <v/>
      </c>
      <c r="BR49" s="122"/>
      <c r="BS49" s="33"/>
      <c r="BT49" s="143" t="str">
        <f t="shared" si="19"/>
        <v/>
      </c>
      <c r="BU49" s="38" t="str">
        <f>IFERROR(__xludf.DUMMYFUNCTION("""COMPUTED_VALUE"""),"")</f>
        <v/>
      </c>
      <c r="BV49" s="144">
        <v>46146.0</v>
      </c>
      <c r="BW49" s="167" t="str">
        <f t="shared" si="20"/>
        <v/>
      </c>
      <c r="BX49" s="168" t="str">
        <f t="shared" si="196"/>
        <v/>
      </c>
      <c r="BY49" s="169" t="str">
        <f t="shared" si="197"/>
        <v/>
      </c>
      <c r="BZ49" s="172" t="str">
        <f t="shared" si="198"/>
        <v/>
      </c>
      <c r="CA49" s="171" t="str">
        <f t="array" ref="CA49">IFERROR(IF(BU49="ac"+ISNUMBER(SEARCH("'",BZ49))+BY49="","", IF(ISNUMBER(SEARCH("lw",BZ49)), BM49 + SUBSTITUTE(BZ49,"lw+",""), MROUND(SWITCH(BU49,"sq",BY$7,"bn",BZ$7,"dl",CA$7,"")*IF(BZ49&gt;10, BZ49/100, VLOOKUP(BZ49, _rpe,SUBSTITUTE(BY49,"+","")+1,0)), IF( SWITCH(BU49,"sq",BY$7,"bn",BZ$7,"dl", CA$7,"")&lt; IF(_uom="lbs", 175, 80), 1.25, IF(_uom="lbs",5,2.5))))), "")</f>
        <v/>
      </c>
      <c r="CB49" s="148"/>
      <c r="CC49" s="33"/>
      <c r="CD49" s="171"/>
      <c r="CE49" s="124" t="str">
        <f>IFERROR(__xludf.DUMMYFUNCTION("IF(CA49=MAX(FILTER(CA$10:CA$199,LOOKUP(ROW(BU$10:BU$199),FILTER(ROW(BU$10:BU$199),BU$10:BU$199&lt;&gt;BU$9:BU$198))=LOOKUP(ROW(BU49),FILTER(ROW(BU$10:BU$199),BU$10:BU$199&lt;&gt;BU$9:BU$198)))),CB49,)"),"")</f>
        <v/>
      </c>
      <c r="CF49" s="122"/>
      <c r="CG49" s="33"/>
      <c r="CH49" s="143" t="str">
        <f t="shared" si="21"/>
        <v/>
      </c>
      <c r="CI49" s="38" t="str">
        <f>IFERROR(__xludf.DUMMYFUNCTION("""COMPUTED_VALUE"""),"")</f>
        <v/>
      </c>
      <c r="CJ49" s="144">
        <v>46153.0</v>
      </c>
      <c r="CK49" s="167" t="str">
        <f t="shared" si="27"/>
        <v/>
      </c>
      <c r="CL49" s="168" t="str">
        <f t="shared" si="199"/>
        <v/>
      </c>
      <c r="CM49" s="169" t="str">
        <f t="shared" si="200"/>
        <v/>
      </c>
      <c r="CN49" s="172" t="str">
        <f t="shared" si="201"/>
        <v/>
      </c>
      <c r="CO49" s="171" t="str">
        <f t="array" ref="CO49">IFERROR(IF(CI49="ac"+ISNUMBER(SEARCH("'",CN49))+CM49="","", IF(ISNUMBER(SEARCH("lw",CN49)), CA49 + SUBSTITUTE(CN49,"lw+",""), MROUND(SWITCH(CI49,"sq",CM$7,"bn",CN$7,"dl",CO$7,"")*IF(CN49&gt;10, CN49/100, VLOOKUP(CN49, _rpe,SUBSTITUTE(CM49,"+","")+1,0)), IF( SWITCH(CI49,"sq",CM$7,"bn",CN$7,"dl", CO$7,"")&lt; IF(_uom="lbs", 175, 80), 1.25, IF(_uom="lbs",5,2.5))))), "")</f>
        <v/>
      </c>
      <c r="CP49" s="148"/>
      <c r="CQ49" s="33"/>
      <c r="CR49" s="171"/>
      <c r="CS49" s="124" t="str">
        <f>IFERROR(__xludf.DUMMYFUNCTION("IF(CO49=MAX(FILTER(CO$10:CO$199,LOOKUP(ROW(CI$10:CI$199),FILTER(ROW(CI$10:CI$199),CI$10:CI$199&lt;&gt;CI$9:CI$198))=LOOKUP(ROW(CI49),FILTER(ROW(CI$10:CI$199),CI$10:CI$199&lt;&gt;CI$9:CI$198)))),CP49,)"),"")</f>
        <v/>
      </c>
      <c r="CT49" s="122"/>
      <c r="CU49" s="33"/>
      <c r="CV49" s="143" t="str">
        <f t="shared" si="22"/>
        <v/>
      </c>
      <c r="CW49" s="38" t="str">
        <f>IFERROR(__xludf.DUMMYFUNCTION("""COMPUTED_VALUE"""),"")</f>
        <v/>
      </c>
      <c r="CX49" s="144">
        <v>46160.0</v>
      </c>
      <c r="CY49" s="167" t="str">
        <f t="shared" si="28"/>
        <v/>
      </c>
      <c r="CZ49" s="168" t="str">
        <f t="shared" si="186"/>
        <v/>
      </c>
      <c r="DA49" s="169" t="str">
        <f t="shared" si="202"/>
        <v/>
      </c>
      <c r="DB49" s="172" t="str">
        <f t="shared" si="169"/>
        <v/>
      </c>
      <c r="DC49" s="171" t="str">
        <f t="array" ref="DC49">IFERROR(IF(CW49="ac"+ISNUMBER(SEARCH("'",DB49))+DA49="","", IF(ISNUMBER(SEARCH("lw",DB49)), CO49 + SUBSTITUTE(DB49,"lw+",""), MROUND(SWITCH(CW49,"sq",DA$7,"bn",DB$7,"dl",DC$7,"")*IF(DB49&gt;10, DB49/100, VLOOKUP(DB49, _rpe,SUBSTITUTE(DA49,"+","")+1,0)), IF( SWITCH(CW49,"sq",DA$7,"bn",DB$7,"dl", DC$7,"")&lt; IF(_uom="lbs", 175, 80), 1.25, IF(_uom="lbs",5,2.5))))), "")</f>
        <v/>
      </c>
      <c r="DD49" s="148"/>
      <c r="DE49" s="33"/>
      <c r="DF49" s="171"/>
      <c r="DG49" s="124" t="str">
        <f>IFERROR(__xludf.DUMMYFUNCTION("IF(DC49=MAX(FILTER(DC$10:DC$199,LOOKUP(ROW(CW$10:CW$199),FILTER(ROW(CW$10:CW$199),CW$10:CW$199&lt;&gt;CW$9:CW$198))=LOOKUP(ROW(CW49),FILTER(ROW(CW$10:CW$199),CW$10:CW$199&lt;&gt;CW$9:CW$198)))),DD49,)"),"")</f>
        <v/>
      </c>
      <c r="DH49" s="122"/>
      <c r="DI49" s="33"/>
      <c r="DJ49" s="143" t="str">
        <f t="shared" si="23"/>
        <v/>
      </c>
      <c r="DK49" s="38" t="str">
        <f>IFERROR(__xludf.DUMMYFUNCTION("""COMPUTED_VALUE"""),"")</f>
        <v/>
      </c>
      <c r="DL49" s="144">
        <v>46167.0</v>
      </c>
      <c r="DM49" s="167" t="str">
        <f t="shared" ref="DM49:DN49" si="207">IF(ISBLANK(CY49),"",CY49)</f>
        <v/>
      </c>
      <c r="DN49" s="168" t="str">
        <f t="shared" si="207"/>
        <v/>
      </c>
      <c r="DO49" s="169" t="str">
        <f t="shared" si="204"/>
        <v/>
      </c>
      <c r="DP49" s="172" t="str">
        <f t="shared" si="205"/>
        <v/>
      </c>
      <c r="DQ49" s="171" t="str">
        <f t="array" ref="DQ49">IFERROR(IF(DK49="ac"+ISNUMBER(SEARCH("'",DP49))+DO49="","", IF(ISNUMBER(SEARCH("lw",DP49)), DC49 + SUBSTITUTE(DP49,"lw+",""), MROUND(SWITCH(DK49,"sq",DO$7,"bn",DP$7,"dl",DQ$7,"")*IF(DP49&gt;10, DP49/100, VLOOKUP(DP49, _rpe,SUBSTITUTE(DO49,"+","")+1,0)), IF( SWITCH(DK49,"sq",DO$7,"bn",DP$7,"dl", DQ$7,"")&lt; IF(_uom="lbs", 175, 80), 1.25, IF(_uom="lbs",5,2.5))))), "")</f>
        <v/>
      </c>
      <c r="DR49" s="148"/>
      <c r="DS49" s="33"/>
      <c r="DT49" s="171"/>
      <c r="DU49" s="124" t="str">
        <f>IFERROR(__xludf.DUMMYFUNCTION("IF(DQ49=MAX(FILTER(DQ$10:DQ$199,LOOKUP(ROW(DK$10:DK$199),FILTER(ROW(DK$10:DK$199),DK$10:DK$199&lt;&gt;DK$9:DK$198))=LOOKUP(ROW(DK49),FILTER(ROW(DK$10:DK$199),DK$10:DK$199&lt;&gt;DK$9:DK$198)))),DR49,)"),"")</f>
        <v/>
      </c>
      <c r="DV49" s="122"/>
      <c r="DW49" s="33"/>
      <c r="DX49" s="143"/>
      <c r="DY49" s="38"/>
      <c r="DZ49" s="144"/>
      <c r="EA49" s="150"/>
      <c r="EB49" s="174"/>
      <c r="EC49" s="175"/>
      <c r="ED49" s="176"/>
      <c r="EE49" s="155"/>
      <c r="EF49" s="148"/>
      <c r="EG49" s="33"/>
      <c r="EH49" s="155"/>
      <c r="EI49" s="148"/>
      <c r="EJ49" s="33"/>
      <c r="EK49" s="33"/>
      <c r="EL49" s="143"/>
      <c r="EM49" s="38"/>
      <c r="EN49" s="144"/>
      <c r="EO49" s="150"/>
      <c r="EP49" s="174"/>
      <c r="EQ49" s="175"/>
      <c r="ER49" s="176"/>
      <c r="ES49" s="155"/>
      <c r="ET49" s="148"/>
      <c r="EU49" s="33"/>
      <c r="EV49" s="155"/>
      <c r="EW49" s="148"/>
      <c r="EX49" s="33"/>
      <c r="EY49" s="33"/>
      <c r="EZ49" s="143"/>
      <c r="FA49" s="38"/>
      <c r="FB49" s="144"/>
      <c r="FC49" s="150"/>
      <c r="FD49" s="174"/>
      <c r="FE49" s="175"/>
      <c r="FF49" s="176"/>
      <c r="FG49" s="155"/>
      <c r="FH49" s="148"/>
      <c r="FI49" s="33"/>
      <c r="FJ49" s="155"/>
      <c r="FK49" s="148"/>
      <c r="FL49" s="33"/>
      <c r="FM49" s="33"/>
      <c r="FN49" s="143"/>
      <c r="FO49" s="38"/>
      <c r="FP49" s="144"/>
      <c r="FQ49" s="150"/>
      <c r="FR49" s="174"/>
      <c r="FS49" s="175"/>
      <c r="FT49" s="176"/>
      <c r="FU49" s="155"/>
      <c r="FV49" s="148"/>
      <c r="FW49" s="33"/>
      <c r="FX49" s="155"/>
      <c r="FY49" s="148"/>
      <c r="FZ49" s="33"/>
      <c r="GA49" s="33"/>
      <c r="GB49" s="143"/>
      <c r="GC49" s="38"/>
      <c r="GD49" s="144"/>
      <c r="GE49" s="150"/>
      <c r="GF49" s="174"/>
      <c r="GG49" s="175"/>
      <c r="GH49" s="176"/>
      <c r="GI49" s="155"/>
      <c r="GJ49" s="148"/>
      <c r="GK49" s="33"/>
      <c r="GL49" s="155"/>
      <c r="GM49" s="148"/>
      <c r="GN49" s="33"/>
      <c r="GO49" s="33"/>
      <c r="GP49" s="143"/>
      <c r="GQ49" s="38"/>
      <c r="GR49" s="144"/>
      <c r="GS49" s="150"/>
      <c r="GT49" s="174"/>
      <c r="GU49" s="175"/>
      <c r="GV49" s="176"/>
      <c r="GW49" s="155"/>
      <c r="GX49" s="148"/>
      <c r="GY49" s="33"/>
      <c r="GZ49" s="155"/>
      <c r="HA49" s="148"/>
      <c r="HB49" s="33"/>
      <c r="HC49" s="33"/>
      <c r="HD49" s="143"/>
      <c r="HE49" s="38"/>
      <c r="HF49" s="144"/>
      <c r="HG49" s="150"/>
      <c r="HH49" s="174"/>
      <c r="HI49" s="175"/>
      <c r="HJ49" s="176"/>
      <c r="HK49" s="155"/>
      <c r="HL49" s="148"/>
      <c r="HM49" s="33"/>
      <c r="HN49" s="155"/>
      <c r="HO49" s="148"/>
      <c r="HP49" s="33"/>
      <c r="HQ49" s="33"/>
      <c r="HR49" s="143"/>
      <c r="HS49" s="38"/>
      <c r="HT49" s="144"/>
      <c r="HU49" s="150"/>
      <c r="HV49" s="174"/>
      <c r="HW49" s="175"/>
      <c r="HX49" s="176"/>
      <c r="HY49" s="155"/>
      <c r="HZ49" s="148"/>
      <c r="IA49" s="33"/>
      <c r="IB49" s="155"/>
      <c r="IC49" s="148"/>
      <c r="ID49" s="33"/>
      <c r="IE49" s="33"/>
      <c r="IF49" s="143"/>
      <c r="IG49" s="38"/>
      <c r="IH49" s="144"/>
      <c r="II49" s="150"/>
      <c r="IJ49" s="174"/>
      <c r="IK49" s="175"/>
      <c r="IL49" s="176"/>
      <c r="IM49" s="155"/>
      <c r="IN49" s="148"/>
      <c r="IO49" s="33"/>
      <c r="IP49" s="155"/>
      <c r="IQ49" s="148"/>
      <c r="IR49" s="33"/>
      <c r="IS49" s="33"/>
      <c r="IT49" s="143"/>
      <c r="IU49" s="38"/>
      <c r="IV49" s="144"/>
      <c r="IW49" s="143" t="str">
        <f t="shared" si="24"/>
        <v>#REF!</v>
      </c>
      <c r="IX49" s="38"/>
      <c r="IY49" s="144" t="e">
        <v>#REF!</v>
      </c>
    </row>
    <row r="50" hidden="1">
      <c r="A50" s="33"/>
      <c r="B50" s="181"/>
      <c r="C50" s="38" t="str">
        <f>IFERROR(__xludf.DUMMYFUNCTION("""COMPUTED_VALUE"""),"")</f>
        <v/>
      </c>
      <c r="D50" s="144">
        <v>46111.0</v>
      </c>
      <c r="E50" s="167"/>
      <c r="F50" s="168"/>
      <c r="G50" s="169"/>
      <c r="H50" s="170"/>
      <c r="I50" s="171" t="str">
        <f t="array" ref="I50">IFERROR(IF(C50="ac"+ISNUMBER(SEARCH("'",H50))+G50="","", MROUND(SWITCH(C50,"sq",'Personal Info'!$O$15,"bn",'Personal Info'!$S$15,"dl",'Personal Info'!$W$15,"")*IF(H50&gt;10, H50/100, VLOOKUP(H50, _rpe,SUBSTITUTE(G50,"+","")+1,0)), IF( SWITCH(C50:C210,"sq",'Personal Info'!$O$15,"bn",'Personal Info'!$S$15,"dl", 'Personal Info'!$W$15,"")&lt; IF(_uom="lbs", 175, 80), 1.25, IF(_uom="lbs",5,2.5)))),"")</f>
        <v/>
      </c>
      <c r="J50" s="148"/>
      <c r="K50" s="33"/>
      <c r="L50" s="171"/>
      <c r="M50" s="124" t="str">
        <f>IFERROR(__xludf.DUMMYFUNCTION("IF(I50=MAX(FILTER(I$10:I$199,LOOKUP(ROW(C$10:C$199),FILTER(ROW(C$10:C$199),C$10:C$199&lt;&gt;C$9:C$198))=LOOKUP(ROW(C50),FILTER(ROW(C$10:C$199),C$10:C$199&lt;&gt;C$9:C$198)))),J50,)"),"")</f>
        <v/>
      </c>
      <c r="N50" s="122"/>
      <c r="O50" s="39"/>
      <c r="P50" s="143" t="str">
        <f t="shared" si="12"/>
        <v/>
      </c>
      <c r="Q50" s="38" t="str">
        <f>IFERROR(__xludf.DUMMYFUNCTION("""COMPUTED_VALUE"""),"")</f>
        <v/>
      </c>
      <c r="R50" s="144">
        <v>46118.0</v>
      </c>
      <c r="S50" s="167" t="str">
        <f t="shared" si="13"/>
        <v/>
      </c>
      <c r="T50" s="168" t="str">
        <f t="shared" si="170"/>
        <v/>
      </c>
      <c r="U50" s="169" t="str">
        <f t="shared" si="188"/>
        <v/>
      </c>
      <c r="V50" s="172" t="str">
        <f t="shared" si="189"/>
        <v/>
      </c>
      <c r="W50" s="171" t="str">
        <f t="array" ref="W50">IFERROR(IF(Q50="ac"+ISNUMBER(SEARCH("'",V50))+U50="","", IF(ISNUMBER(SEARCH("lw",V50)), I50 + SUBSTITUTE(V50,"lw+",""), MROUND(SWITCH(Q50,"sq",U$7,"bn",V$7,"dl",W$7,"")*IF(V50&gt;10, V50/100, VLOOKUP(V50, _rpe,SUBSTITUTE(U50,"+","")+1,0)), IF( SWITCH(Q50,"sq",U$7,"bn",V$7,"dl", W$7,"")&lt; IF(_uom="lbs", 175, 80), 1.25, IF(_uom="lbs",5,2.5))))), "")</f>
        <v/>
      </c>
      <c r="X50" s="148"/>
      <c r="Y50" s="33"/>
      <c r="Z50" s="171"/>
      <c r="AA50" s="124" t="str">
        <f>IFERROR(__xludf.DUMMYFUNCTION("IF(W50=MAX(FILTER(W$10:W$199,LOOKUP(ROW(Q$10:Q$199),FILTER(ROW(Q$10:Q$199),Q$10:Q$199&lt;&gt;Q$9:Q$198))=LOOKUP(ROW(Q50),FILTER(ROW(Q$10:Q$199),Q$10:Q$199&lt;&gt;Q$9:Q$198)))),X50,)"),"")</f>
        <v/>
      </c>
      <c r="AB50" s="122"/>
      <c r="AC50" s="39"/>
      <c r="AD50" s="143" t="str">
        <f t="shared" si="14"/>
        <v/>
      </c>
      <c r="AE50" s="38" t="str">
        <f>IFERROR(__xludf.DUMMYFUNCTION("""COMPUTED_VALUE"""),"")</f>
        <v/>
      </c>
      <c r="AF50" s="144">
        <v>46125.0</v>
      </c>
      <c r="AG50" s="167" t="str">
        <f t="shared" si="54"/>
        <v/>
      </c>
      <c r="AH50" s="168" t="str">
        <f t="shared" si="151"/>
        <v/>
      </c>
      <c r="AI50" s="169" t="str">
        <f t="shared" si="190"/>
        <v/>
      </c>
      <c r="AJ50" s="172" t="str">
        <f t="shared" si="191"/>
        <v/>
      </c>
      <c r="AK50" s="171" t="str">
        <f t="array" ref="AK50">IFERROR(IF(AE50="ac"+ISNUMBER(SEARCH("'",AJ50))+AI50="","", IF(ISNUMBER(SEARCH("lw",AJ50)), W50 + SUBSTITUTE(AJ50,"lw+",""), MROUND(SWITCH(AE50,"sq",AI$7,"bn",AJ$7,"dl",AK$7,"")*IF(AJ50&gt;10, AJ50/100, VLOOKUP(AJ50, _rpe,SUBSTITUTE(AI50,"+","")+1,0)), IF( SWITCH(AE50,"sq",AI$7,"bn",AJ$7,"dl", AK$7,"")&lt; IF(_uom="lbs", 175, 80), 1.25, IF(_uom="lbs",5,2.5))))), "")</f>
        <v/>
      </c>
      <c r="AL50" s="148"/>
      <c r="AM50" s="33"/>
      <c r="AN50" s="171"/>
      <c r="AO50" s="124" t="str">
        <f>IFERROR(__xludf.DUMMYFUNCTION("IF(AK50=MAX(FILTER(AK$10:AK$199,LOOKUP(ROW(AE$10:AE$199),FILTER(ROW(AE$10:AE$199),AE$10:AE$199&lt;&gt;AE$9:AE$198))=LOOKUP(ROW(AE50),FILTER(ROW(AE$10:AE$199),AE$10:AE$199&lt;&gt;AE$9:AE$198)))),AL50,)"),"")</f>
        <v/>
      </c>
      <c r="AP50" s="122"/>
      <c r="AQ50" s="39"/>
      <c r="AR50" s="143" t="str">
        <f t="shared" si="16"/>
        <v/>
      </c>
      <c r="AS50" s="38" t="str">
        <f>IFERROR(__xludf.DUMMYFUNCTION("""COMPUTED_VALUE"""),"")</f>
        <v/>
      </c>
      <c r="AT50" s="144">
        <v>46132.0</v>
      </c>
      <c r="AU50" s="167" t="str">
        <f t="shared" si="26"/>
        <v/>
      </c>
      <c r="AV50" s="168" t="str">
        <f t="shared" si="152"/>
        <v/>
      </c>
      <c r="AW50" s="169" t="str">
        <f t="shared" si="192"/>
        <v/>
      </c>
      <c r="AX50" s="172" t="str">
        <f t="shared" si="158"/>
        <v/>
      </c>
      <c r="AY50" s="171" t="str">
        <f t="array" ref="AY50">IFERROR(IF(AS50="ac"+ISNUMBER(SEARCH("'",AX50))+AW50="","", IF(ISNUMBER(SEARCH("lw",AX50)), AK50 + SUBSTITUTE(AX50,"lw+",""), MROUND(SWITCH(AS50,"sq",AW$7,"bn",AX$7,"dl",AY$7,"")*IF(AX50&gt;10, AX50/100, VLOOKUP(AX50, _rpe,SUBSTITUTE(AW50,"+","")+1,0)), IF( SWITCH(AS50,"sq",AW$7,"bn",AX$7,"dl", AY$7,"")&lt; IF(_uom="lbs", 175, 80), 1.25, IF(_uom="lbs",5,2.5))))), "")</f>
        <v/>
      </c>
      <c r="AZ50" s="148"/>
      <c r="BA50" s="33"/>
      <c r="BB50" s="171"/>
      <c r="BC50" s="124" t="str">
        <f>IFERROR(__xludf.DUMMYFUNCTION("IF(AY50=MAX(FILTER(AY$10:AY$199,LOOKUP(ROW(AS$10:AS$199),FILTER(ROW(AS$10:AS$199),AS$10:AS$199&lt;&gt;AS$9:AS$198))=LOOKUP(ROW(AS50),FILTER(ROW(AS$10:AS$199),AS$10:AS$199&lt;&gt;AS$9:AS$198)))),AZ50,)"),"")</f>
        <v/>
      </c>
      <c r="BD50" s="122"/>
      <c r="BE50" s="39"/>
      <c r="BF50" s="143" t="str">
        <f t="shared" si="17"/>
        <v/>
      </c>
      <c r="BG50" s="38" t="str">
        <f>IFERROR(__xludf.DUMMYFUNCTION("""COMPUTED_VALUE"""),"")</f>
        <v/>
      </c>
      <c r="BH50" s="144">
        <v>46139.0</v>
      </c>
      <c r="BI50" s="167" t="str">
        <f t="shared" si="18"/>
        <v/>
      </c>
      <c r="BJ50" s="168" t="str">
        <f t="shared" si="193"/>
        <v/>
      </c>
      <c r="BK50" s="169" t="str">
        <f t="shared" si="194"/>
        <v/>
      </c>
      <c r="BL50" s="172" t="str">
        <f t="shared" si="195"/>
        <v/>
      </c>
      <c r="BM50" s="171" t="str">
        <f t="array" ref="BM50">IFERROR(IF(BG50="ac"+ISNUMBER(SEARCH("'",BL50))+BK50="","", IF(ISNUMBER(SEARCH("lw",BL50)), AY50 + SUBSTITUTE(BL50,"lw+",""), MROUND(SWITCH(BG50,"sq",BK$7,"bn",BL$7,"dl",BM$7,"")*IF(BL50&gt;10, BL50/100, VLOOKUP(BL50, _rpe,SUBSTITUTE(BK50,"+","")+1,0)), IF( SWITCH(BG50,"sq",BK$7,"bn",BL$7,"dl", BM$7,"")&lt; IF(_uom="lbs", 175, 80), 1.25, IF(_uom="lbs",5,2.5))))), "")</f>
        <v/>
      </c>
      <c r="BN50" s="148"/>
      <c r="BO50" s="33"/>
      <c r="BP50" s="171"/>
      <c r="BQ50" s="124" t="str">
        <f>IFERROR(__xludf.DUMMYFUNCTION("IF(BM50=MAX(FILTER(BM$10:BM$199,LOOKUP(ROW(BG$10:BG$199),FILTER(ROW(BG$10:BG$199),BG$10:BG$199&lt;&gt;BG$9:BG$198))=LOOKUP(ROW(BG50),FILTER(ROW(BG$10:BG$199),BG$10:BG$199&lt;&gt;BG$9:BG$198)))),BN50,)"),"")</f>
        <v/>
      </c>
      <c r="BR50" s="122"/>
      <c r="BS50" s="39"/>
      <c r="BT50" s="143" t="str">
        <f t="shared" si="19"/>
        <v/>
      </c>
      <c r="BU50" s="38" t="str">
        <f>IFERROR(__xludf.DUMMYFUNCTION("""COMPUTED_VALUE"""),"")</f>
        <v/>
      </c>
      <c r="BV50" s="144">
        <v>46146.0</v>
      </c>
      <c r="BW50" s="167" t="str">
        <f t="shared" si="20"/>
        <v/>
      </c>
      <c r="BX50" s="168" t="str">
        <f t="shared" si="196"/>
        <v/>
      </c>
      <c r="BY50" s="169" t="str">
        <f t="shared" si="197"/>
        <v/>
      </c>
      <c r="BZ50" s="172" t="str">
        <f t="shared" si="198"/>
        <v/>
      </c>
      <c r="CA50" s="171" t="str">
        <f t="array" ref="CA50">IFERROR(IF(BU50="ac"+ISNUMBER(SEARCH("'",BZ50))+BY50="","", IF(ISNUMBER(SEARCH("lw",BZ50)), BM50 + SUBSTITUTE(BZ50,"lw+",""), MROUND(SWITCH(BU50,"sq",BY$7,"bn",BZ$7,"dl",CA$7,"")*IF(BZ50&gt;10, BZ50/100, VLOOKUP(BZ50, _rpe,SUBSTITUTE(BY50,"+","")+1,0)), IF( SWITCH(BU50,"sq",BY$7,"bn",BZ$7,"dl", CA$7,"")&lt; IF(_uom="lbs", 175, 80), 1.25, IF(_uom="lbs",5,2.5))))), "")</f>
        <v/>
      </c>
      <c r="CB50" s="148"/>
      <c r="CC50" s="33"/>
      <c r="CD50" s="171"/>
      <c r="CE50" s="124" t="str">
        <f>IFERROR(__xludf.DUMMYFUNCTION("IF(CA50=MAX(FILTER(CA$10:CA$199,LOOKUP(ROW(BU$10:BU$199),FILTER(ROW(BU$10:BU$199),BU$10:BU$199&lt;&gt;BU$9:BU$198))=LOOKUP(ROW(BU50),FILTER(ROW(BU$10:BU$199),BU$10:BU$199&lt;&gt;BU$9:BU$198)))),CB50,)"),"")</f>
        <v/>
      </c>
      <c r="CF50" s="122"/>
      <c r="CG50" s="39"/>
      <c r="CH50" s="143" t="str">
        <f t="shared" si="21"/>
        <v/>
      </c>
      <c r="CI50" s="38" t="str">
        <f>IFERROR(__xludf.DUMMYFUNCTION("""COMPUTED_VALUE"""),"")</f>
        <v/>
      </c>
      <c r="CJ50" s="144">
        <v>46153.0</v>
      </c>
      <c r="CK50" s="167" t="str">
        <f t="shared" si="27"/>
        <v/>
      </c>
      <c r="CL50" s="168" t="str">
        <f t="shared" si="199"/>
        <v/>
      </c>
      <c r="CM50" s="169" t="str">
        <f t="shared" si="200"/>
        <v/>
      </c>
      <c r="CN50" s="172" t="str">
        <f t="shared" si="201"/>
        <v/>
      </c>
      <c r="CO50" s="171" t="str">
        <f t="array" ref="CO50">IFERROR(IF(CI50="ac"+ISNUMBER(SEARCH("'",CN50))+CM50="","", IF(ISNUMBER(SEARCH("lw",CN50)), CA50 + SUBSTITUTE(CN50,"lw+",""), MROUND(SWITCH(CI50,"sq",CM$7,"bn",CN$7,"dl",CO$7,"")*IF(CN50&gt;10, CN50/100, VLOOKUP(CN50, _rpe,SUBSTITUTE(CM50,"+","")+1,0)), IF( SWITCH(CI50,"sq",CM$7,"bn",CN$7,"dl", CO$7,"")&lt; IF(_uom="lbs", 175, 80), 1.25, IF(_uom="lbs",5,2.5))))), "")</f>
        <v/>
      </c>
      <c r="CP50" s="148"/>
      <c r="CQ50" s="33"/>
      <c r="CR50" s="171"/>
      <c r="CS50" s="124" t="str">
        <f>IFERROR(__xludf.DUMMYFUNCTION("IF(CO50=MAX(FILTER(CO$10:CO$199,LOOKUP(ROW(CI$10:CI$199),FILTER(ROW(CI$10:CI$199),CI$10:CI$199&lt;&gt;CI$9:CI$198))=LOOKUP(ROW(CI50),FILTER(ROW(CI$10:CI$199),CI$10:CI$199&lt;&gt;CI$9:CI$198)))),CP50,)"),"")</f>
        <v/>
      </c>
      <c r="CT50" s="122"/>
      <c r="CU50" s="39"/>
      <c r="CV50" s="143" t="str">
        <f t="shared" si="22"/>
        <v/>
      </c>
      <c r="CW50" s="38" t="str">
        <f>IFERROR(__xludf.DUMMYFUNCTION("""COMPUTED_VALUE"""),"")</f>
        <v/>
      </c>
      <c r="CX50" s="144">
        <v>46160.0</v>
      </c>
      <c r="CY50" s="167" t="str">
        <f t="shared" si="28"/>
        <v/>
      </c>
      <c r="CZ50" s="168" t="str">
        <f t="shared" si="186"/>
        <v/>
      </c>
      <c r="DA50" s="169" t="str">
        <f t="shared" si="202"/>
        <v/>
      </c>
      <c r="DB50" s="172" t="str">
        <f t="shared" si="169"/>
        <v/>
      </c>
      <c r="DC50" s="171" t="str">
        <f t="array" ref="DC50">IFERROR(IF(CW50="ac"+ISNUMBER(SEARCH("'",DB50))+DA50="","", IF(ISNUMBER(SEARCH("lw",DB50)), CO50 + SUBSTITUTE(DB50,"lw+",""), MROUND(SWITCH(CW50,"sq",DA$7,"bn",DB$7,"dl",DC$7,"")*IF(DB50&gt;10, DB50/100, VLOOKUP(DB50, _rpe,SUBSTITUTE(DA50,"+","")+1,0)), IF( SWITCH(CW50,"sq",DA$7,"bn",DB$7,"dl", DC$7,"")&lt; IF(_uom="lbs", 175, 80), 1.25, IF(_uom="lbs",5,2.5))))), "")</f>
        <v/>
      </c>
      <c r="DD50" s="148"/>
      <c r="DE50" s="33"/>
      <c r="DF50" s="171"/>
      <c r="DG50" s="124" t="str">
        <f>IFERROR(__xludf.DUMMYFUNCTION("IF(DC50=MAX(FILTER(DC$10:DC$199,LOOKUP(ROW(CW$10:CW$199),FILTER(ROW(CW$10:CW$199),CW$10:CW$199&lt;&gt;CW$9:CW$198))=LOOKUP(ROW(CW50),FILTER(ROW(CW$10:CW$199),CW$10:CW$199&lt;&gt;CW$9:CW$198)))),DD50,)"),"")</f>
        <v/>
      </c>
      <c r="DH50" s="122"/>
      <c r="DI50" s="39"/>
      <c r="DJ50" s="143" t="str">
        <f t="shared" si="23"/>
        <v/>
      </c>
      <c r="DK50" s="38" t="str">
        <f>IFERROR(__xludf.DUMMYFUNCTION("""COMPUTED_VALUE"""),"")</f>
        <v/>
      </c>
      <c r="DL50" s="144">
        <v>46167.0</v>
      </c>
      <c r="DM50" s="167" t="str">
        <f t="shared" ref="DM50:DN50" si="208">IF(ISBLANK(CY50),"",CY50)</f>
        <v/>
      </c>
      <c r="DN50" s="168" t="str">
        <f t="shared" si="208"/>
        <v/>
      </c>
      <c r="DO50" s="169" t="str">
        <f t="shared" si="204"/>
        <v/>
      </c>
      <c r="DP50" s="172" t="str">
        <f t="shared" si="205"/>
        <v/>
      </c>
      <c r="DQ50" s="171" t="str">
        <f t="array" ref="DQ50">IFERROR(IF(DK50="ac"+ISNUMBER(SEARCH("'",DP50))+DO50="","", IF(ISNUMBER(SEARCH("lw",DP50)), DC50 + SUBSTITUTE(DP50,"lw+",""), MROUND(SWITCH(DK50,"sq",DO$7,"bn",DP$7,"dl",DQ$7,"")*IF(DP50&gt;10, DP50/100, VLOOKUP(DP50, _rpe,SUBSTITUTE(DO50,"+","")+1,0)), IF( SWITCH(DK50,"sq",DO$7,"bn",DP$7,"dl", DQ$7,"")&lt; IF(_uom="lbs", 175, 80), 1.25, IF(_uom="lbs",5,2.5))))), "")</f>
        <v/>
      </c>
      <c r="DR50" s="148"/>
      <c r="DS50" s="33"/>
      <c r="DT50" s="171"/>
      <c r="DU50" s="124" t="str">
        <f>IFERROR(__xludf.DUMMYFUNCTION("IF(DQ50=MAX(FILTER(DQ$10:DQ$199,LOOKUP(ROW(DK$10:DK$199),FILTER(ROW(DK$10:DK$199),DK$10:DK$199&lt;&gt;DK$9:DK$198))=LOOKUP(ROW(DK50),FILTER(ROW(DK$10:DK$199),DK$10:DK$199&lt;&gt;DK$9:DK$198)))),DR50,)"),"")</f>
        <v/>
      </c>
      <c r="DV50" s="122"/>
      <c r="DW50" s="39"/>
      <c r="DX50" s="143"/>
      <c r="DY50" s="38"/>
      <c r="DZ50" s="144"/>
      <c r="EA50" s="150"/>
      <c r="EB50" s="174"/>
      <c r="EC50" s="175"/>
      <c r="ED50" s="176"/>
      <c r="EE50" s="155"/>
      <c r="EF50" s="148"/>
      <c r="EG50" s="33"/>
      <c r="EH50" s="155"/>
      <c r="EI50" s="148"/>
      <c r="EJ50" s="33"/>
      <c r="EK50" s="39"/>
      <c r="EL50" s="143"/>
      <c r="EM50" s="38"/>
      <c r="EN50" s="144"/>
      <c r="EO50" s="150"/>
      <c r="EP50" s="174"/>
      <c r="EQ50" s="175"/>
      <c r="ER50" s="176"/>
      <c r="ES50" s="155"/>
      <c r="ET50" s="148"/>
      <c r="EU50" s="33"/>
      <c r="EV50" s="155"/>
      <c r="EW50" s="148"/>
      <c r="EX50" s="33"/>
      <c r="EY50" s="39"/>
      <c r="EZ50" s="143"/>
      <c r="FA50" s="38"/>
      <c r="FB50" s="144"/>
      <c r="FC50" s="150"/>
      <c r="FD50" s="174"/>
      <c r="FE50" s="175"/>
      <c r="FF50" s="176"/>
      <c r="FG50" s="155"/>
      <c r="FH50" s="148"/>
      <c r="FI50" s="33"/>
      <c r="FJ50" s="155"/>
      <c r="FK50" s="148"/>
      <c r="FL50" s="33"/>
      <c r="FM50" s="39"/>
      <c r="FN50" s="143"/>
      <c r="FO50" s="38"/>
      <c r="FP50" s="144"/>
      <c r="FQ50" s="150"/>
      <c r="FR50" s="174"/>
      <c r="FS50" s="175"/>
      <c r="FT50" s="176"/>
      <c r="FU50" s="155"/>
      <c r="FV50" s="148"/>
      <c r="FW50" s="33"/>
      <c r="FX50" s="155"/>
      <c r="FY50" s="148"/>
      <c r="FZ50" s="33"/>
      <c r="GA50" s="39"/>
      <c r="GB50" s="143"/>
      <c r="GC50" s="38"/>
      <c r="GD50" s="144"/>
      <c r="GE50" s="150"/>
      <c r="GF50" s="174"/>
      <c r="GG50" s="175"/>
      <c r="GH50" s="176"/>
      <c r="GI50" s="155"/>
      <c r="GJ50" s="148"/>
      <c r="GK50" s="33"/>
      <c r="GL50" s="155"/>
      <c r="GM50" s="148"/>
      <c r="GN50" s="33"/>
      <c r="GO50" s="39"/>
      <c r="GP50" s="143"/>
      <c r="GQ50" s="38"/>
      <c r="GR50" s="144"/>
      <c r="GS50" s="150"/>
      <c r="GT50" s="174"/>
      <c r="GU50" s="175"/>
      <c r="GV50" s="176"/>
      <c r="GW50" s="155"/>
      <c r="GX50" s="148"/>
      <c r="GY50" s="33"/>
      <c r="GZ50" s="155"/>
      <c r="HA50" s="148"/>
      <c r="HB50" s="33"/>
      <c r="HC50" s="39"/>
      <c r="HD50" s="143"/>
      <c r="HE50" s="38"/>
      <c r="HF50" s="144"/>
      <c r="HG50" s="150"/>
      <c r="HH50" s="174"/>
      <c r="HI50" s="175"/>
      <c r="HJ50" s="176"/>
      <c r="HK50" s="155"/>
      <c r="HL50" s="148"/>
      <c r="HM50" s="33"/>
      <c r="HN50" s="155"/>
      <c r="HO50" s="148"/>
      <c r="HP50" s="33"/>
      <c r="HQ50" s="39"/>
      <c r="HR50" s="143"/>
      <c r="HS50" s="38"/>
      <c r="HT50" s="144"/>
      <c r="HU50" s="150"/>
      <c r="HV50" s="174"/>
      <c r="HW50" s="175"/>
      <c r="HX50" s="176"/>
      <c r="HY50" s="155"/>
      <c r="HZ50" s="148"/>
      <c r="IA50" s="33"/>
      <c r="IB50" s="155"/>
      <c r="IC50" s="148"/>
      <c r="ID50" s="33"/>
      <c r="IE50" s="39"/>
      <c r="IF50" s="143"/>
      <c r="IG50" s="38"/>
      <c r="IH50" s="144"/>
      <c r="II50" s="150"/>
      <c r="IJ50" s="174"/>
      <c r="IK50" s="175"/>
      <c r="IL50" s="176"/>
      <c r="IM50" s="155"/>
      <c r="IN50" s="148"/>
      <c r="IO50" s="33"/>
      <c r="IP50" s="155"/>
      <c r="IQ50" s="148"/>
      <c r="IR50" s="33"/>
      <c r="IS50" s="39"/>
      <c r="IT50" s="143"/>
      <c r="IU50" s="38"/>
      <c r="IV50" s="144"/>
      <c r="IW50" s="143" t="str">
        <f t="shared" si="24"/>
        <v>#REF!</v>
      </c>
      <c r="IX50" s="38"/>
      <c r="IY50" s="144" t="e">
        <v>#REF!</v>
      </c>
    </row>
    <row r="51" hidden="1">
      <c r="A51" s="33"/>
      <c r="B51" s="181"/>
      <c r="C51" s="38" t="str">
        <f>IFERROR(__xludf.DUMMYFUNCTION("""COMPUTED_VALUE"""),"")</f>
        <v/>
      </c>
      <c r="D51" s="144">
        <v>46111.0</v>
      </c>
      <c r="E51" s="167"/>
      <c r="F51" s="168"/>
      <c r="G51" s="169"/>
      <c r="H51" s="170"/>
      <c r="I51" s="171" t="str">
        <f t="array" ref="I51">IFERROR(IF(C51="ac"+ISNUMBER(SEARCH("'",H51))+G51="","", MROUND(SWITCH(C51,"sq",'Personal Info'!$O$15,"bn",'Personal Info'!$S$15,"dl",'Personal Info'!$W$15,"")*IF(H51&gt;10, H51/100, VLOOKUP(H51, _rpe,SUBSTITUTE(G51,"+","")+1,0)), IF( SWITCH(C51:C210,"sq",'Personal Info'!$O$15,"bn",'Personal Info'!$S$15,"dl", 'Personal Info'!$W$15,"")&lt; IF(_uom="lbs", 175, 80), 1.25, IF(_uom="lbs",5,2.5)))),"")</f>
        <v/>
      </c>
      <c r="J51" s="148"/>
      <c r="K51" s="33"/>
      <c r="L51" s="171"/>
      <c r="M51" s="124" t="str">
        <f>IFERROR(__xludf.DUMMYFUNCTION("IF(I51=MAX(FILTER(I$10:I$199,LOOKUP(ROW(C$10:C$199),FILTER(ROW(C$10:C$199),C$10:C$199&lt;&gt;C$9:C$198))=LOOKUP(ROW(C51),FILTER(ROW(C$10:C$199),C$10:C$199&lt;&gt;C$9:C$198)))),J51,)"),"")</f>
        <v/>
      </c>
      <c r="N51" s="122"/>
      <c r="O51" s="39"/>
      <c r="P51" s="143" t="str">
        <f t="shared" si="12"/>
        <v/>
      </c>
      <c r="Q51" s="38" t="str">
        <f>IFERROR(__xludf.DUMMYFUNCTION("""COMPUTED_VALUE"""),"")</f>
        <v/>
      </c>
      <c r="R51" s="144">
        <v>46118.0</v>
      </c>
      <c r="S51" s="167" t="str">
        <f t="shared" si="13"/>
        <v/>
      </c>
      <c r="T51" s="168" t="str">
        <f t="shared" si="170"/>
        <v/>
      </c>
      <c r="U51" s="169" t="str">
        <f t="shared" si="188"/>
        <v/>
      </c>
      <c r="V51" s="172" t="str">
        <f t="shared" si="189"/>
        <v/>
      </c>
      <c r="W51" s="171" t="str">
        <f t="array" ref="W51">IFERROR(IF(Q51="ac"+ISNUMBER(SEARCH("'",V51))+U51="","", IF(ISNUMBER(SEARCH("lw",V51)), I51 + SUBSTITUTE(V51,"lw+",""), MROUND(SWITCH(Q51,"sq",U$7,"bn",V$7,"dl",W$7,"")*IF(V51&gt;10, V51/100, VLOOKUP(V51, _rpe,SUBSTITUTE(U51,"+","")+1,0)), IF( SWITCH(Q51,"sq",U$7,"bn",V$7,"dl", W$7,"")&lt; IF(_uom="lbs", 175, 80), 1.25, IF(_uom="lbs",5,2.5))))), "")</f>
        <v/>
      </c>
      <c r="X51" s="148"/>
      <c r="Y51" s="33"/>
      <c r="Z51" s="171"/>
      <c r="AA51" s="124" t="str">
        <f>IFERROR(__xludf.DUMMYFUNCTION("IF(W51=MAX(FILTER(W$10:W$199,LOOKUP(ROW(Q$10:Q$199),FILTER(ROW(Q$10:Q$199),Q$10:Q$199&lt;&gt;Q$9:Q$198))=LOOKUP(ROW(Q51),FILTER(ROW(Q$10:Q$199),Q$10:Q$199&lt;&gt;Q$9:Q$198)))),X51,)"),"")</f>
        <v/>
      </c>
      <c r="AB51" s="122"/>
      <c r="AC51" s="39"/>
      <c r="AD51" s="143" t="str">
        <f t="shared" si="14"/>
        <v/>
      </c>
      <c r="AE51" s="38" t="str">
        <f>IFERROR(__xludf.DUMMYFUNCTION("""COMPUTED_VALUE"""),"")</f>
        <v/>
      </c>
      <c r="AF51" s="144">
        <v>46125.0</v>
      </c>
      <c r="AG51" s="167" t="str">
        <f t="shared" si="54"/>
        <v/>
      </c>
      <c r="AH51" s="168" t="str">
        <f t="shared" si="151"/>
        <v/>
      </c>
      <c r="AI51" s="169" t="str">
        <f t="shared" si="190"/>
        <v/>
      </c>
      <c r="AJ51" s="172" t="str">
        <f t="shared" si="191"/>
        <v/>
      </c>
      <c r="AK51" s="171" t="str">
        <f t="array" ref="AK51">IFERROR(IF(AE51="ac"+ISNUMBER(SEARCH("'",AJ51))+AI51="","", IF(ISNUMBER(SEARCH("lw",AJ51)), W51 + SUBSTITUTE(AJ51,"lw+",""), MROUND(SWITCH(AE51,"sq",AI$7,"bn",AJ$7,"dl",AK$7,"")*IF(AJ51&gt;10, AJ51/100, VLOOKUP(AJ51, _rpe,SUBSTITUTE(AI51,"+","")+1,0)), IF( SWITCH(AE51,"sq",AI$7,"bn",AJ$7,"dl", AK$7,"")&lt; IF(_uom="lbs", 175, 80), 1.25, IF(_uom="lbs",5,2.5))))), "")</f>
        <v/>
      </c>
      <c r="AL51" s="148"/>
      <c r="AM51" s="33"/>
      <c r="AN51" s="171"/>
      <c r="AO51" s="124" t="str">
        <f>IFERROR(__xludf.DUMMYFUNCTION("IF(AK51=MAX(FILTER(AK$10:AK$199,LOOKUP(ROW(AE$10:AE$199),FILTER(ROW(AE$10:AE$199),AE$10:AE$199&lt;&gt;AE$9:AE$198))=LOOKUP(ROW(AE51),FILTER(ROW(AE$10:AE$199),AE$10:AE$199&lt;&gt;AE$9:AE$198)))),AL51,)"),"")</f>
        <v/>
      </c>
      <c r="AP51" s="122"/>
      <c r="AQ51" s="39"/>
      <c r="AR51" s="143" t="str">
        <f t="shared" si="16"/>
        <v/>
      </c>
      <c r="AS51" s="38" t="str">
        <f>IFERROR(__xludf.DUMMYFUNCTION("""COMPUTED_VALUE"""),"")</f>
        <v/>
      </c>
      <c r="AT51" s="144">
        <v>46132.0</v>
      </c>
      <c r="AU51" s="167" t="str">
        <f t="shared" si="26"/>
        <v/>
      </c>
      <c r="AV51" s="168" t="str">
        <f t="shared" si="152"/>
        <v/>
      </c>
      <c r="AW51" s="169" t="str">
        <f t="shared" si="192"/>
        <v/>
      </c>
      <c r="AX51" s="172" t="str">
        <f t="shared" si="158"/>
        <v/>
      </c>
      <c r="AY51" s="171" t="str">
        <f t="array" ref="AY51">IFERROR(IF(AS51="ac"+ISNUMBER(SEARCH("'",AX51))+AW51="","", IF(ISNUMBER(SEARCH("lw",AX51)), AK51 + SUBSTITUTE(AX51,"lw+",""), MROUND(SWITCH(AS51,"sq",AW$7,"bn",AX$7,"dl",AY$7,"")*IF(AX51&gt;10, AX51/100, VLOOKUP(AX51, _rpe,SUBSTITUTE(AW51,"+","")+1,0)), IF( SWITCH(AS51,"sq",AW$7,"bn",AX$7,"dl", AY$7,"")&lt; IF(_uom="lbs", 175, 80), 1.25, IF(_uom="lbs",5,2.5))))), "")</f>
        <v/>
      </c>
      <c r="AZ51" s="148"/>
      <c r="BA51" s="33"/>
      <c r="BB51" s="171"/>
      <c r="BC51" s="124" t="str">
        <f>IFERROR(__xludf.DUMMYFUNCTION("IF(AY51=MAX(FILTER(AY$10:AY$199,LOOKUP(ROW(AS$10:AS$199),FILTER(ROW(AS$10:AS$199),AS$10:AS$199&lt;&gt;AS$9:AS$198))=LOOKUP(ROW(AS51),FILTER(ROW(AS$10:AS$199),AS$10:AS$199&lt;&gt;AS$9:AS$198)))),AZ51,)"),"")</f>
        <v/>
      </c>
      <c r="BD51" s="122"/>
      <c r="BE51" s="39"/>
      <c r="BF51" s="143" t="str">
        <f t="shared" si="17"/>
        <v/>
      </c>
      <c r="BG51" s="38" t="str">
        <f>IFERROR(__xludf.DUMMYFUNCTION("""COMPUTED_VALUE"""),"")</f>
        <v/>
      </c>
      <c r="BH51" s="144">
        <v>46139.0</v>
      </c>
      <c r="BI51" s="167" t="str">
        <f t="shared" si="18"/>
        <v/>
      </c>
      <c r="BJ51" s="168" t="str">
        <f t="shared" si="193"/>
        <v/>
      </c>
      <c r="BK51" s="169" t="str">
        <f t="shared" si="194"/>
        <v/>
      </c>
      <c r="BL51" s="172" t="str">
        <f t="shared" si="195"/>
        <v/>
      </c>
      <c r="BM51" s="171" t="str">
        <f t="array" ref="BM51">IFERROR(IF(BG51="ac"+ISNUMBER(SEARCH("'",BL51))+BK51="","", IF(ISNUMBER(SEARCH("lw",BL51)), AY51 + SUBSTITUTE(BL51,"lw+",""), MROUND(SWITCH(BG51,"sq",BK$7,"bn",BL$7,"dl",BM$7,"")*IF(BL51&gt;10, BL51/100, VLOOKUP(BL51, _rpe,SUBSTITUTE(BK51,"+","")+1,0)), IF( SWITCH(BG51,"sq",BK$7,"bn",BL$7,"dl", BM$7,"")&lt; IF(_uom="lbs", 175, 80), 1.25, IF(_uom="lbs",5,2.5))))), "")</f>
        <v/>
      </c>
      <c r="BN51" s="148"/>
      <c r="BO51" s="33"/>
      <c r="BP51" s="171"/>
      <c r="BQ51" s="124" t="str">
        <f>IFERROR(__xludf.DUMMYFUNCTION("IF(BM51=MAX(FILTER(BM$10:BM$199,LOOKUP(ROW(BG$10:BG$199),FILTER(ROW(BG$10:BG$199),BG$10:BG$199&lt;&gt;BG$9:BG$198))=LOOKUP(ROW(BG51),FILTER(ROW(BG$10:BG$199),BG$10:BG$199&lt;&gt;BG$9:BG$198)))),BN51,)"),"")</f>
        <v/>
      </c>
      <c r="BR51" s="122"/>
      <c r="BS51" s="39"/>
      <c r="BT51" s="143" t="str">
        <f t="shared" si="19"/>
        <v/>
      </c>
      <c r="BU51" s="38" t="str">
        <f>IFERROR(__xludf.DUMMYFUNCTION("""COMPUTED_VALUE"""),"")</f>
        <v/>
      </c>
      <c r="BV51" s="144">
        <v>46146.0</v>
      </c>
      <c r="BW51" s="167" t="str">
        <f t="shared" si="20"/>
        <v/>
      </c>
      <c r="BX51" s="168" t="str">
        <f t="shared" si="196"/>
        <v/>
      </c>
      <c r="BY51" s="169" t="str">
        <f t="shared" si="197"/>
        <v/>
      </c>
      <c r="BZ51" s="172" t="str">
        <f t="shared" si="198"/>
        <v/>
      </c>
      <c r="CA51" s="171" t="str">
        <f t="array" ref="CA51">IFERROR(IF(BU51="ac"+ISNUMBER(SEARCH("'",BZ51))+BY51="","", IF(ISNUMBER(SEARCH("lw",BZ51)), BM51 + SUBSTITUTE(BZ51,"lw+",""), MROUND(SWITCH(BU51,"sq",BY$7,"bn",BZ$7,"dl",CA$7,"")*IF(BZ51&gt;10, BZ51/100, VLOOKUP(BZ51, _rpe,SUBSTITUTE(BY51,"+","")+1,0)), IF( SWITCH(BU51,"sq",BY$7,"bn",BZ$7,"dl", CA$7,"")&lt; IF(_uom="lbs", 175, 80), 1.25, IF(_uom="lbs",5,2.5))))), "")</f>
        <v/>
      </c>
      <c r="CB51" s="148"/>
      <c r="CC51" s="33"/>
      <c r="CD51" s="171"/>
      <c r="CE51" s="124" t="str">
        <f>IFERROR(__xludf.DUMMYFUNCTION("IF(CA51=MAX(FILTER(CA$10:CA$199,LOOKUP(ROW(BU$10:BU$199),FILTER(ROW(BU$10:BU$199),BU$10:BU$199&lt;&gt;BU$9:BU$198))=LOOKUP(ROW(BU51),FILTER(ROW(BU$10:BU$199),BU$10:BU$199&lt;&gt;BU$9:BU$198)))),CB51,)"),"")</f>
        <v/>
      </c>
      <c r="CF51" s="122"/>
      <c r="CG51" s="39"/>
      <c r="CH51" s="143" t="str">
        <f t="shared" si="21"/>
        <v/>
      </c>
      <c r="CI51" s="38" t="str">
        <f>IFERROR(__xludf.DUMMYFUNCTION("""COMPUTED_VALUE"""),"")</f>
        <v/>
      </c>
      <c r="CJ51" s="144">
        <v>46153.0</v>
      </c>
      <c r="CK51" s="167" t="str">
        <f t="shared" si="27"/>
        <v/>
      </c>
      <c r="CL51" s="168" t="str">
        <f t="shared" si="199"/>
        <v/>
      </c>
      <c r="CM51" s="169" t="str">
        <f t="shared" si="200"/>
        <v/>
      </c>
      <c r="CN51" s="172" t="str">
        <f t="shared" si="201"/>
        <v/>
      </c>
      <c r="CO51" s="171" t="str">
        <f t="array" ref="CO51">IFERROR(IF(CI51="ac"+ISNUMBER(SEARCH("'",CN51))+CM51="","", IF(ISNUMBER(SEARCH("lw",CN51)), CA51 + SUBSTITUTE(CN51,"lw+",""), MROUND(SWITCH(CI51,"sq",CM$7,"bn",CN$7,"dl",CO$7,"")*IF(CN51&gt;10, CN51/100, VLOOKUP(CN51, _rpe,SUBSTITUTE(CM51,"+","")+1,0)), IF( SWITCH(CI51,"sq",CM$7,"bn",CN$7,"dl", CO$7,"")&lt; IF(_uom="lbs", 175, 80), 1.25, IF(_uom="lbs",5,2.5))))), "")</f>
        <v/>
      </c>
      <c r="CP51" s="148"/>
      <c r="CQ51" s="33"/>
      <c r="CR51" s="171"/>
      <c r="CS51" s="124" t="str">
        <f>IFERROR(__xludf.DUMMYFUNCTION("IF(CO51=MAX(FILTER(CO$10:CO$199,LOOKUP(ROW(CI$10:CI$199),FILTER(ROW(CI$10:CI$199),CI$10:CI$199&lt;&gt;CI$9:CI$198))=LOOKUP(ROW(CI51),FILTER(ROW(CI$10:CI$199),CI$10:CI$199&lt;&gt;CI$9:CI$198)))),CP51,)"),"")</f>
        <v/>
      </c>
      <c r="CT51" s="122"/>
      <c r="CU51" s="39"/>
      <c r="CV51" s="143" t="str">
        <f t="shared" si="22"/>
        <v/>
      </c>
      <c r="CW51" s="38" t="str">
        <f>IFERROR(__xludf.DUMMYFUNCTION("""COMPUTED_VALUE"""),"")</f>
        <v/>
      </c>
      <c r="CX51" s="144">
        <v>46160.0</v>
      </c>
      <c r="CY51" s="167" t="str">
        <f t="shared" si="28"/>
        <v/>
      </c>
      <c r="CZ51" s="168" t="str">
        <f t="shared" si="186"/>
        <v/>
      </c>
      <c r="DA51" s="169" t="str">
        <f t="shared" si="202"/>
        <v/>
      </c>
      <c r="DB51" s="172" t="str">
        <f t="shared" si="169"/>
        <v/>
      </c>
      <c r="DC51" s="171" t="str">
        <f t="array" ref="DC51">IFERROR(IF(CW51="ac"+ISNUMBER(SEARCH("'",DB51))+DA51="","", IF(ISNUMBER(SEARCH("lw",DB51)), CO51 + SUBSTITUTE(DB51,"lw+",""), MROUND(SWITCH(CW51,"sq",DA$7,"bn",DB$7,"dl",DC$7,"")*IF(DB51&gt;10, DB51/100, VLOOKUP(DB51, _rpe,SUBSTITUTE(DA51,"+","")+1,0)), IF( SWITCH(CW51,"sq",DA$7,"bn",DB$7,"dl", DC$7,"")&lt; IF(_uom="lbs", 175, 80), 1.25, IF(_uom="lbs",5,2.5))))), "")</f>
        <v/>
      </c>
      <c r="DD51" s="148"/>
      <c r="DE51" s="33"/>
      <c r="DF51" s="171"/>
      <c r="DG51" s="124" t="str">
        <f>IFERROR(__xludf.DUMMYFUNCTION("IF(DC51=MAX(FILTER(DC$10:DC$199,LOOKUP(ROW(CW$10:CW$199),FILTER(ROW(CW$10:CW$199),CW$10:CW$199&lt;&gt;CW$9:CW$198))=LOOKUP(ROW(CW51),FILTER(ROW(CW$10:CW$199),CW$10:CW$199&lt;&gt;CW$9:CW$198)))),DD51,)"),"")</f>
        <v/>
      </c>
      <c r="DH51" s="122"/>
      <c r="DI51" s="39"/>
      <c r="DJ51" s="143" t="str">
        <f t="shared" si="23"/>
        <v/>
      </c>
      <c r="DK51" s="38" t="str">
        <f>IFERROR(__xludf.DUMMYFUNCTION("""COMPUTED_VALUE"""),"")</f>
        <v/>
      </c>
      <c r="DL51" s="144">
        <v>46167.0</v>
      </c>
      <c r="DM51" s="167" t="str">
        <f t="shared" ref="DM51:DN51" si="209">IF(ISBLANK(CY51),"",CY51)</f>
        <v/>
      </c>
      <c r="DN51" s="168" t="str">
        <f t="shared" si="209"/>
        <v/>
      </c>
      <c r="DO51" s="169" t="str">
        <f t="shared" si="204"/>
        <v/>
      </c>
      <c r="DP51" s="172" t="str">
        <f t="shared" si="205"/>
        <v/>
      </c>
      <c r="DQ51" s="171" t="str">
        <f t="array" ref="DQ51">IFERROR(IF(DK51="ac"+ISNUMBER(SEARCH("'",DP51))+DO51="","", IF(ISNUMBER(SEARCH("lw",DP51)), DC51 + SUBSTITUTE(DP51,"lw+",""), MROUND(SWITCH(DK51,"sq",DO$7,"bn",DP$7,"dl",DQ$7,"")*IF(DP51&gt;10, DP51/100, VLOOKUP(DP51, _rpe,SUBSTITUTE(DO51,"+","")+1,0)), IF( SWITCH(DK51,"sq",DO$7,"bn",DP$7,"dl", DQ$7,"")&lt; IF(_uom="lbs", 175, 80), 1.25, IF(_uom="lbs",5,2.5))))), "")</f>
        <v/>
      </c>
      <c r="DR51" s="148"/>
      <c r="DS51" s="33"/>
      <c r="DT51" s="171"/>
      <c r="DU51" s="124" t="str">
        <f>IFERROR(__xludf.DUMMYFUNCTION("IF(DQ51=MAX(FILTER(DQ$10:DQ$199,LOOKUP(ROW(DK$10:DK$199),FILTER(ROW(DK$10:DK$199),DK$10:DK$199&lt;&gt;DK$9:DK$198))=LOOKUP(ROW(DK51),FILTER(ROW(DK$10:DK$199),DK$10:DK$199&lt;&gt;DK$9:DK$198)))),DR51,)"),"")</f>
        <v/>
      </c>
      <c r="DV51" s="122"/>
      <c r="DW51" s="39"/>
      <c r="DX51" s="143"/>
      <c r="DY51" s="38"/>
      <c r="DZ51" s="144"/>
      <c r="EA51" s="150"/>
      <c r="EB51" s="174"/>
      <c r="EC51" s="175"/>
      <c r="ED51" s="176"/>
      <c r="EE51" s="155"/>
      <c r="EF51" s="148"/>
      <c r="EG51" s="33"/>
      <c r="EH51" s="155"/>
      <c r="EI51" s="148"/>
      <c r="EJ51" s="33"/>
      <c r="EK51" s="39"/>
      <c r="EL51" s="143"/>
      <c r="EM51" s="38"/>
      <c r="EN51" s="144"/>
      <c r="EO51" s="150"/>
      <c r="EP51" s="174"/>
      <c r="EQ51" s="175"/>
      <c r="ER51" s="176"/>
      <c r="ES51" s="155"/>
      <c r="ET51" s="148"/>
      <c r="EU51" s="33"/>
      <c r="EV51" s="155"/>
      <c r="EW51" s="148"/>
      <c r="EX51" s="33"/>
      <c r="EY51" s="39"/>
      <c r="EZ51" s="143"/>
      <c r="FA51" s="38"/>
      <c r="FB51" s="144"/>
      <c r="FC51" s="150"/>
      <c r="FD51" s="174"/>
      <c r="FE51" s="175"/>
      <c r="FF51" s="176"/>
      <c r="FG51" s="155"/>
      <c r="FH51" s="148"/>
      <c r="FI51" s="33"/>
      <c r="FJ51" s="155"/>
      <c r="FK51" s="148"/>
      <c r="FL51" s="33"/>
      <c r="FM51" s="39"/>
      <c r="FN51" s="143"/>
      <c r="FO51" s="38"/>
      <c r="FP51" s="144"/>
      <c r="FQ51" s="150"/>
      <c r="FR51" s="174"/>
      <c r="FS51" s="175"/>
      <c r="FT51" s="176"/>
      <c r="FU51" s="155"/>
      <c r="FV51" s="148"/>
      <c r="FW51" s="33"/>
      <c r="FX51" s="155"/>
      <c r="FY51" s="148"/>
      <c r="FZ51" s="33"/>
      <c r="GA51" s="39"/>
      <c r="GB51" s="143"/>
      <c r="GC51" s="38"/>
      <c r="GD51" s="144"/>
      <c r="GE51" s="150"/>
      <c r="GF51" s="174"/>
      <c r="GG51" s="175"/>
      <c r="GH51" s="176"/>
      <c r="GI51" s="155"/>
      <c r="GJ51" s="148"/>
      <c r="GK51" s="33"/>
      <c r="GL51" s="155"/>
      <c r="GM51" s="148"/>
      <c r="GN51" s="33"/>
      <c r="GO51" s="39"/>
      <c r="GP51" s="143"/>
      <c r="GQ51" s="38"/>
      <c r="GR51" s="144"/>
      <c r="GS51" s="150"/>
      <c r="GT51" s="174"/>
      <c r="GU51" s="175"/>
      <c r="GV51" s="176"/>
      <c r="GW51" s="155"/>
      <c r="GX51" s="148"/>
      <c r="GY51" s="33"/>
      <c r="GZ51" s="155"/>
      <c r="HA51" s="148"/>
      <c r="HB51" s="33"/>
      <c r="HC51" s="39"/>
      <c r="HD51" s="143"/>
      <c r="HE51" s="38"/>
      <c r="HF51" s="144"/>
      <c r="HG51" s="150"/>
      <c r="HH51" s="174"/>
      <c r="HI51" s="175"/>
      <c r="HJ51" s="176"/>
      <c r="HK51" s="155"/>
      <c r="HL51" s="148"/>
      <c r="HM51" s="33"/>
      <c r="HN51" s="155"/>
      <c r="HO51" s="148"/>
      <c r="HP51" s="33"/>
      <c r="HQ51" s="39"/>
      <c r="HR51" s="143"/>
      <c r="HS51" s="38"/>
      <c r="HT51" s="144"/>
      <c r="HU51" s="150"/>
      <c r="HV51" s="174"/>
      <c r="HW51" s="175"/>
      <c r="HX51" s="176"/>
      <c r="HY51" s="155"/>
      <c r="HZ51" s="148"/>
      <c r="IA51" s="33"/>
      <c r="IB51" s="155"/>
      <c r="IC51" s="148"/>
      <c r="ID51" s="33"/>
      <c r="IE51" s="39"/>
      <c r="IF51" s="143"/>
      <c r="IG51" s="38"/>
      <c r="IH51" s="144"/>
      <c r="II51" s="150"/>
      <c r="IJ51" s="174"/>
      <c r="IK51" s="175"/>
      <c r="IL51" s="176"/>
      <c r="IM51" s="155"/>
      <c r="IN51" s="148"/>
      <c r="IO51" s="33"/>
      <c r="IP51" s="155"/>
      <c r="IQ51" s="148"/>
      <c r="IR51" s="33"/>
      <c r="IS51" s="39"/>
      <c r="IT51" s="143"/>
      <c r="IU51" s="38"/>
      <c r="IV51" s="144"/>
      <c r="IW51" s="143" t="str">
        <f t="shared" si="24"/>
        <v>#REF!</v>
      </c>
      <c r="IX51" s="38"/>
      <c r="IY51" s="144" t="e">
        <v>#REF!</v>
      </c>
    </row>
    <row r="52">
      <c r="A52" s="33"/>
      <c r="B52" s="181"/>
      <c r="C52" s="38" t="str">
        <f>IFERROR(__xludf.DUMMYFUNCTION("""COMPUTED_VALUE"""),"")</f>
        <v/>
      </c>
      <c r="D52" s="144">
        <v>46111.0</v>
      </c>
      <c r="E52" s="182"/>
      <c r="F52" s="168"/>
      <c r="G52" s="169"/>
      <c r="H52" s="170"/>
      <c r="I52" s="171" t="str">
        <f t="array" ref="I52">IFERROR(IF(C52="ac"+ISNUMBER(SEARCH("'",H52))+G52="","", MROUND(SWITCH(C52,"sq",'Personal Info'!$O$15,"bn",'Personal Info'!$S$15,"dl",'Personal Info'!$W$15,"")*IF(H52&gt;10, H52/100, VLOOKUP(H52, _rpe,SUBSTITUTE(G52,"+","")+1,0)), IF( SWITCH(C52:C210,"sq",'Personal Info'!$O$15,"bn",'Personal Info'!$S$15,"dl", 'Personal Info'!$W$15,"")&lt; IF(_uom="lbs", 175, 80), 1.25, IF(_uom="lbs",5,2.5)))),"")</f>
        <v/>
      </c>
      <c r="J52" s="148"/>
      <c r="K52" s="33"/>
      <c r="L52" s="171"/>
      <c r="M52" s="124" t="str">
        <f>IFERROR(__xludf.DUMMYFUNCTION("IF(I52=MAX(FILTER(I$10:I$199,LOOKUP(ROW(C$10:C$199),FILTER(ROW(C$10:C$199),C$10:C$199&lt;&gt;C$9:C$198))=LOOKUP(ROW(C52),FILTER(ROW(C$10:C$199),C$10:C$199&lt;&gt;C$9:C$198)))),J52,)"),"")</f>
        <v/>
      </c>
      <c r="N52" s="122"/>
      <c r="O52" s="39"/>
      <c r="P52" s="143" t="str">
        <f t="shared" si="12"/>
        <v/>
      </c>
      <c r="Q52" s="38" t="str">
        <f>IFERROR(__xludf.DUMMYFUNCTION("""COMPUTED_VALUE"""),"")</f>
        <v/>
      </c>
      <c r="R52" s="144">
        <v>46118.0</v>
      </c>
      <c r="S52" s="167" t="str">
        <f t="shared" si="13"/>
        <v/>
      </c>
      <c r="T52" s="168" t="str">
        <f t="shared" si="170"/>
        <v/>
      </c>
      <c r="U52" s="169" t="str">
        <f t="shared" si="188"/>
        <v/>
      </c>
      <c r="V52" s="172" t="str">
        <f t="shared" si="189"/>
        <v/>
      </c>
      <c r="W52" s="171" t="str">
        <f t="array" ref="W52">IFERROR(IF(Q52="ac"+ISNUMBER(SEARCH("'",V52))+U52="","", IF(ISNUMBER(SEARCH("lw",V52)), I52 + SUBSTITUTE(V52,"lw+",""), MROUND(SWITCH(Q52,"sq",U$7,"bn",V$7,"dl",W$7,"")*IF(V52&gt;10, V52/100, VLOOKUP(V52, _rpe,SUBSTITUTE(U52,"+","")+1,0)), IF( SWITCH(Q52,"sq",U$7,"bn",V$7,"dl", W$7,"")&lt; IF(_uom="lbs", 175, 80), 1.25, IF(_uom="lbs",5,2.5))))), "")</f>
        <v/>
      </c>
      <c r="X52" s="148"/>
      <c r="Y52" s="33"/>
      <c r="Z52" s="171"/>
      <c r="AA52" s="124" t="str">
        <f>IFERROR(__xludf.DUMMYFUNCTION("IF(W52=MAX(FILTER(W$10:W$199,LOOKUP(ROW(Q$10:Q$199),FILTER(ROW(Q$10:Q$199),Q$10:Q$199&lt;&gt;Q$9:Q$198))=LOOKUP(ROW(Q52),FILTER(ROW(Q$10:Q$199),Q$10:Q$199&lt;&gt;Q$9:Q$198)))),X52,)"),"")</f>
        <v/>
      </c>
      <c r="AB52" s="122"/>
      <c r="AC52" s="39"/>
      <c r="AD52" s="143" t="str">
        <f t="shared" si="14"/>
        <v/>
      </c>
      <c r="AE52" s="38" t="str">
        <f>IFERROR(__xludf.DUMMYFUNCTION("""COMPUTED_VALUE"""),"")</f>
        <v/>
      </c>
      <c r="AF52" s="144">
        <v>46125.0</v>
      </c>
      <c r="AG52" s="167" t="str">
        <f t="shared" si="54"/>
        <v/>
      </c>
      <c r="AH52" s="168" t="str">
        <f t="shared" si="151"/>
        <v/>
      </c>
      <c r="AI52" s="169" t="str">
        <f t="shared" si="190"/>
        <v/>
      </c>
      <c r="AJ52" s="172" t="str">
        <f t="shared" si="191"/>
        <v/>
      </c>
      <c r="AK52" s="171" t="str">
        <f t="array" ref="AK52">IFERROR(IF(AE52="ac"+ISNUMBER(SEARCH("'",AJ52))+AI52="","", IF(ISNUMBER(SEARCH("lw",AJ52)), W52 + SUBSTITUTE(AJ52,"lw+",""), MROUND(SWITCH(AE52,"sq",AI$7,"bn",AJ$7,"dl",AK$7,"")*IF(AJ52&gt;10, AJ52/100, VLOOKUP(AJ52, _rpe,SUBSTITUTE(AI52,"+","")+1,0)), IF( SWITCH(AE52,"sq",AI$7,"bn",AJ$7,"dl", AK$7,"")&lt; IF(_uom="lbs", 175, 80), 1.25, IF(_uom="lbs",5,2.5))))), "")</f>
        <v/>
      </c>
      <c r="AL52" s="148"/>
      <c r="AM52" s="33"/>
      <c r="AN52" s="171"/>
      <c r="AO52" s="124" t="str">
        <f>IFERROR(__xludf.DUMMYFUNCTION("IF(AK52=MAX(FILTER(AK$10:AK$199,LOOKUP(ROW(AE$10:AE$199),FILTER(ROW(AE$10:AE$199),AE$10:AE$199&lt;&gt;AE$9:AE$198))=LOOKUP(ROW(AE52),FILTER(ROW(AE$10:AE$199),AE$10:AE$199&lt;&gt;AE$9:AE$198)))),AL52,)"),"")</f>
        <v/>
      </c>
      <c r="AP52" s="122"/>
      <c r="AQ52" s="39"/>
      <c r="AR52" s="143" t="str">
        <f t="shared" si="16"/>
        <v/>
      </c>
      <c r="AS52" s="38" t="str">
        <f>IFERROR(__xludf.DUMMYFUNCTION("""COMPUTED_VALUE"""),"")</f>
        <v/>
      </c>
      <c r="AT52" s="144">
        <v>46132.0</v>
      </c>
      <c r="AU52" s="167" t="str">
        <f t="shared" si="26"/>
        <v/>
      </c>
      <c r="AV52" s="168" t="str">
        <f t="shared" si="152"/>
        <v/>
      </c>
      <c r="AW52" s="169" t="str">
        <f t="shared" si="192"/>
        <v/>
      </c>
      <c r="AX52" s="172" t="str">
        <f t="shared" si="158"/>
        <v/>
      </c>
      <c r="AY52" s="171" t="str">
        <f t="array" ref="AY52">IFERROR(IF(AS52="ac"+ISNUMBER(SEARCH("'",AX52))+AW52="","", IF(ISNUMBER(SEARCH("lw",AX52)), AK52 + SUBSTITUTE(AX52,"lw+",""), MROUND(SWITCH(AS52,"sq",AW$7,"bn",AX$7,"dl",AY$7,"")*IF(AX52&gt;10, AX52/100, VLOOKUP(AX52, _rpe,SUBSTITUTE(AW52,"+","")+1,0)), IF( SWITCH(AS52,"sq",AW$7,"bn",AX$7,"dl", AY$7,"")&lt; IF(_uom="lbs", 175, 80), 1.25, IF(_uom="lbs",5,2.5))))), "")</f>
        <v/>
      </c>
      <c r="AZ52" s="148"/>
      <c r="BA52" s="33"/>
      <c r="BB52" s="171"/>
      <c r="BC52" s="124" t="str">
        <f>IFERROR(__xludf.DUMMYFUNCTION("IF(AY52=MAX(FILTER(AY$10:AY$199,LOOKUP(ROW(AS$10:AS$199),FILTER(ROW(AS$10:AS$199),AS$10:AS$199&lt;&gt;AS$9:AS$198))=LOOKUP(ROW(AS52),FILTER(ROW(AS$10:AS$199),AS$10:AS$199&lt;&gt;AS$9:AS$198)))),AZ52,)"),"")</f>
        <v/>
      </c>
      <c r="BD52" s="122"/>
      <c r="BE52" s="39"/>
      <c r="BF52" s="143" t="str">
        <f t="shared" si="17"/>
        <v/>
      </c>
      <c r="BG52" s="38" t="str">
        <f>IFERROR(__xludf.DUMMYFUNCTION("""COMPUTED_VALUE"""),"")</f>
        <v/>
      </c>
      <c r="BH52" s="144">
        <v>46139.0</v>
      </c>
      <c r="BI52" s="167" t="str">
        <f t="shared" si="18"/>
        <v/>
      </c>
      <c r="BJ52" s="168" t="str">
        <f t="shared" si="193"/>
        <v/>
      </c>
      <c r="BK52" s="169" t="str">
        <f t="shared" si="194"/>
        <v/>
      </c>
      <c r="BL52" s="172" t="str">
        <f t="shared" si="195"/>
        <v/>
      </c>
      <c r="BM52" s="171" t="str">
        <f t="array" ref="BM52">IFERROR(IF(BG52="ac"+ISNUMBER(SEARCH("'",BL52))+BK52="","", IF(ISNUMBER(SEARCH("lw",BL52)), AY52 + SUBSTITUTE(BL52,"lw+",""), MROUND(SWITCH(BG52,"sq",BK$7,"bn",BL$7,"dl",BM$7,"")*IF(BL52&gt;10, BL52/100, VLOOKUP(BL52, _rpe,SUBSTITUTE(BK52,"+","")+1,0)), IF( SWITCH(BG52,"sq",BK$7,"bn",BL$7,"dl", BM$7,"")&lt; IF(_uom="lbs", 175, 80), 1.25, IF(_uom="lbs",5,2.5))))), "")</f>
        <v/>
      </c>
      <c r="BN52" s="148"/>
      <c r="BO52" s="33"/>
      <c r="BP52" s="171"/>
      <c r="BQ52" s="124" t="str">
        <f>IFERROR(__xludf.DUMMYFUNCTION("IF(BM52=MAX(FILTER(BM$10:BM$199,LOOKUP(ROW(BG$10:BG$199),FILTER(ROW(BG$10:BG$199),BG$10:BG$199&lt;&gt;BG$9:BG$198))=LOOKUP(ROW(BG52),FILTER(ROW(BG$10:BG$199),BG$10:BG$199&lt;&gt;BG$9:BG$198)))),BN52,)"),"")</f>
        <v/>
      </c>
      <c r="BR52" s="122"/>
      <c r="BS52" s="39"/>
      <c r="BT52" s="143" t="str">
        <f t="shared" si="19"/>
        <v/>
      </c>
      <c r="BU52" s="38" t="str">
        <f>IFERROR(__xludf.DUMMYFUNCTION("""COMPUTED_VALUE"""),"")</f>
        <v/>
      </c>
      <c r="BV52" s="144">
        <v>46146.0</v>
      </c>
      <c r="BW52" s="167" t="str">
        <f t="shared" si="20"/>
        <v/>
      </c>
      <c r="BX52" s="168" t="str">
        <f t="shared" si="196"/>
        <v/>
      </c>
      <c r="BY52" s="169" t="str">
        <f t="shared" si="197"/>
        <v/>
      </c>
      <c r="BZ52" s="172" t="str">
        <f t="shared" si="198"/>
        <v/>
      </c>
      <c r="CA52" s="171" t="str">
        <f t="array" ref="CA52">IFERROR(IF(BU52="ac"+ISNUMBER(SEARCH("'",BZ52))+BY52="","", IF(ISNUMBER(SEARCH("lw",BZ52)), BM52 + SUBSTITUTE(BZ52,"lw+",""), MROUND(SWITCH(BU52,"sq",BY$7,"bn",BZ$7,"dl",CA$7,"")*IF(BZ52&gt;10, BZ52/100, VLOOKUP(BZ52, _rpe,SUBSTITUTE(BY52,"+","")+1,0)), IF( SWITCH(BU52,"sq",BY$7,"bn",BZ$7,"dl", CA$7,"")&lt; IF(_uom="lbs", 175, 80), 1.25, IF(_uom="lbs",5,2.5))))), "")</f>
        <v/>
      </c>
      <c r="CB52" s="148"/>
      <c r="CC52" s="33"/>
      <c r="CD52" s="171"/>
      <c r="CE52" s="124" t="str">
        <f>IFERROR(__xludf.DUMMYFUNCTION("IF(CA52=MAX(FILTER(CA$10:CA$199,LOOKUP(ROW(BU$10:BU$199),FILTER(ROW(BU$10:BU$199),BU$10:BU$199&lt;&gt;BU$9:BU$198))=LOOKUP(ROW(BU52),FILTER(ROW(BU$10:BU$199),BU$10:BU$199&lt;&gt;BU$9:BU$198)))),CB52,)"),"")</f>
        <v/>
      </c>
      <c r="CF52" s="122"/>
      <c r="CG52" s="39"/>
      <c r="CH52" s="143" t="str">
        <f t="shared" si="21"/>
        <v/>
      </c>
      <c r="CI52" s="38" t="str">
        <f>IFERROR(__xludf.DUMMYFUNCTION("""COMPUTED_VALUE"""),"")</f>
        <v/>
      </c>
      <c r="CJ52" s="144">
        <v>46153.0</v>
      </c>
      <c r="CK52" s="167" t="str">
        <f t="shared" si="27"/>
        <v/>
      </c>
      <c r="CL52" s="168" t="str">
        <f t="shared" si="199"/>
        <v/>
      </c>
      <c r="CM52" s="169" t="str">
        <f t="shared" si="200"/>
        <v/>
      </c>
      <c r="CN52" s="172" t="str">
        <f t="shared" si="201"/>
        <v/>
      </c>
      <c r="CO52" s="171" t="str">
        <f t="array" ref="CO52">IFERROR(IF(CI52="ac"+ISNUMBER(SEARCH("'",CN52))+CM52="","", IF(ISNUMBER(SEARCH("lw",CN52)), CA52 + SUBSTITUTE(CN52,"lw+",""), MROUND(SWITCH(CI52,"sq",CM$7,"bn",CN$7,"dl",CO$7,"")*IF(CN52&gt;10, CN52/100, VLOOKUP(CN52, _rpe,SUBSTITUTE(CM52,"+","")+1,0)), IF( SWITCH(CI52,"sq",CM$7,"bn",CN$7,"dl", CO$7,"")&lt; IF(_uom="lbs", 175, 80), 1.25, IF(_uom="lbs",5,2.5))))), "")</f>
        <v/>
      </c>
      <c r="CP52" s="148"/>
      <c r="CQ52" s="33"/>
      <c r="CR52" s="171"/>
      <c r="CS52" s="124" t="str">
        <f>IFERROR(__xludf.DUMMYFUNCTION("IF(CO52=MAX(FILTER(CO$10:CO$199,LOOKUP(ROW(CI$10:CI$199),FILTER(ROW(CI$10:CI$199),CI$10:CI$199&lt;&gt;CI$9:CI$198))=LOOKUP(ROW(CI52),FILTER(ROW(CI$10:CI$199),CI$10:CI$199&lt;&gt;CI$9:CI$198)))),CP52,)"),"")</f>
        <v/>
      </c>
      <c r="CT52" s="122"/>
      <c r="CU52" s="39"/>
      <c r="CV52" s="143" t="str">
        <f t="shared" si="22"/>
        <v/>
      </c>
      <c r="CW52" s="38" t="str">
        <f>IFERROR(__xludf.DUMMYFUNCTION("""COMPUTED_VALUE"""),"")</f>
        <v/>
      </c>
      <c r="CX52" s="144">
        <v>46160.0</v>
      </c>
      <c r="CY52" s="167" t="str">
        <f t="shared" si="28"/>
        <v/>
      </c>
      <c r="CZ52" s="168" t="str">
        <f t="shared" si="186"/>
        <v/>
      </c>
      <c r="DA52" s="169" t="str">
        <f t="shared" si="202"/>
        <v/>
      </c>
      <c r="DB52" s="172" t="str">
        <f t="shared" si="169"/>
        <v/>
      </c>
      <c r="DC52" s="171" t="str">
        <f t="array" ref="DC52">IFERROR(IF(CW52="ac"+ISNUMBER(SEARCH("'",DB52))+DA52="","", IF(ISNUMBER(SEARCH("lw",DB52)), CO52 + SUBSTITUTE(DB52,"lw+",""), MROUND(SWITCH(CW52,"sq",DA$7,"bn",DB$7,"dl",DC$7,"")*IF(DB52&gt;10, DB52/100, VLOOKUP(DB52, _rpe,SUBSTITUTE(DA52,"+","")+1,0)), IF( SWITCH(CW52,"sq",DA$7,"bn",DB$7,"dl", DC$7,"")&lt; IF(_uom="lbs", 175, 80), 1.25, IF(_uom="lbs",5,2.5))))), "")</f>
        <v/>
      </c>
      <c r="DD52" s="148"/>
      <c r="DE52" s="33"/>
      <c r="DF52" s="171"/>
      <c r="DG52" s="124" t="str">
        <f>IFERROR(__xludf.DUMMYFUNCTION("IF(DC52=MAX(FILTER(DC$10:DC$199,LOOKUP(ROW(CW$10:CW$199),FILTER(ROW(CW$10:CW$199),CW$10:CW$199&lt;&gt;CW$9:CW$198))=LOOKUP(ROW(CW52),FILTER(ROW(CW$10:CW$199),CW$10:CW$199&lt;&gt;CW$9:CW$198)))),DD52,)"),"")</f>
        <v/>
      </c>
      <c r="DH52" s="122"/>
      <c r="DI52" s="39"/>
      <c r="DJ52" s="143" t="str">
        <f t="shared" si="23"/>
        <v/>
      </c>
      <c r="DK52" s="38" t="str">
        <f>IFERROR(__xludf.DUMMYFUNCTION("""COMPUTED_VALUE"""),"")</f>
        <v/>
      </c>
      <c r="DL52" s="144">
        <v>46167.0</v>
      </c>
      <c r="DM52" s="167" t="str">
        <f t="shared" ref="DM52:DN52" si="210">IF(ISBLANK(CY52),"",CY52)</f>
        <v/>
      </c>
      <c r="DN52" s="168" t="str">
        <f t="shared" si="210"/>
        <v/>
      </c>
      <c r="DO52" s="169" t="str">
        <f t="shared" si="204"/>
        <v/>
      </c>
      <c r="DP52" s="172" t="str">
        <f t="shared" si="205"/>
        <v/>
      </c>
      <c r="DQ52" s="171" t="str">
        <f t="array" ref="DQ52">IFERROR(IF(DK52="ac"+ISNUMBER(SEARCH("'",DP52))+DO52="","", IF(ISNUMBER(SEARCH("lw",DP52)), DC52 + SUBSTITUTE(DP52,"lw+",""), MROUND(SWITCH(DK52,"sq",DO$7,"bn",DP$7,"dl",DQ$7,"")*IF(DP52&gt;10, DP52/100, VLOOKUP(DP52, _rpe,SUBSTITUTE(DO52,"+","")+1,0)), IF( SWITCH(DK52,"sq",DO$7,"bn",DP$7,"dl", DQ$7,"")&lt; IF(_uom="lbs", 175, 80), 1.25, IF(_uom="lbs",5,2.5))))), "")</f>
        <v/>
      </c>
      <c r="DR52" s="148"/>
      <c r="DS52" s="33"/>
      <c r="DT52" s="171"/>
      <c r="DU52" s="124" t="str">
        <f>IFERROR(__xludf.DUMMYFUNCTION("IF(DQ52=MAX(FILTER(DQ$10:DQ$199,LOOKUP(ROW(DK$10:DK$199),FILTER(ROW(DK$10:DK$199),DK$10:DK$199&lt;&gt;DK$9:DK$198))=LOOKUP(ROW(DK52),FILTER(ROW(DK$10:DK$199),DK$10:DK$199&lt;&gt;DK$9:DK$198)))),DR52,)"),"")</f>
        <v/>
      </c>
      <c r="DV52" s="122"/>
      <c r="DW52" s="39"/>
      <c r="DX52" s="143"/>
      <c r="DY52" s="38"/>
      <c r="DZ52" s="144"/>
      <c r="EA52" s="150"/>
      <c r="EB52" s="174"/>
      <c r="EC52" s="175"/>
      <c r="ED52" s="176"/>
      <c r="EE52" s="155"/>
      <c r="EF52" s="148"/>
      <c r="EG52" s="33"/>
      <c r="EH52" s="155"/>
      <c r="EI52" s="148"/>
      <c r="EJ52" s="33"/>
      <c r="EK52" s="39"/>
      <c r="EL52" s="143"/>
      <c r="EM52" s="38"/>
      <c r="EN52" s="144"/>
      <c r="EO52" s="150"/>
      <c r="EP52" s="174"/>
      <c r="EQ52" s="175"/>
      <c r="ER52" s="176"/>
      <c r="ES52" s="155"/>
      <c r="ET52" s="148"/>
      <c r="EU52" s="33"/>
      <c r="EV52" s="155"/>
      <c r="EW52" s="148"/>
      <c r="EX52" s="33"/>
      <c r="EY52" s="39"/>
      <c r="EZ52" s="143"/>
      <c r="FA52" s="38"/>
      <c r="FB52" s="144"/>
      <c r="FC52" s="150"/>
      <c r="FD52" s="174"/>
      <c r="FE52" s="175"/>
      <c r="FF52" s="176"/>
      <c r="FG52" s="155"/>
      <c r="FH52" s="148"/>
      <c r="FI52" s="33"/>
      <c r="FJ52" s="155"/>
      <c r="FK52" s="148"/>
      <c r="FL52" s="33"/>
      <c r="FM52" s="39"/>
      <c r="FN52" s="143"/>
      <c r="FO52" s="38"/>
      <c r="FP52" s="144"/>
      <c r="FQ52" s="150"/>
      <c r="FR52" s="174"/>
      <c r="FS52" s="175"/>
      <c r="FT52" s="176"/>
      <c r="FU52" s="155"/>
      <c r="FV52" s="148"/>
      <c r="FW52" s="33"/>
      <c r="FX52" s="155"/>
      <c r="FY52" s="148"/>
      <c r="FZ52" s="33"/>
      <c r="GA52" s="39"/>
      <c r="GB52" s="143"/>
      <c r="GC52" s="38"/>
      <c r="GD52" s="144"/>
      <c r="GE52" s="150"/>
      <c r="GF52" s="174"/>
      <c r="GG52" s="175"/>
      <c r="GH52" s="176"/>
      <c r="GI52" s="155"/>
      <c r="GJ52" s="148"/>
      <c r="GK52" s="33"/>
      <c r="GL52" s="155"/>
      <c r="GM52" s="148"/>
      <c r="GN52" s="33"/>
      <c r="GO52" s="39"/>
      <c r="GP52" s="143"/>
      <c r="GQ52" s="38"/>
      <c r="GR52" s="144"/>
      <c r="GS52" s="150"/>
      <c r="GT52" s="174"/>
      <c r="GU52" s="175"/>
      <c r="GV52" s="176"/>
      <c r="GW52" s="155"/>
      <c r="GX52" s="148"/>
      <c r="GY52" s="33"/>
      <c r="GZ52" s="155"/>
      <c r="HA52" s="148"/>
      <c r="HB52" s="33"/>
      <c r="HC52" s="39"/>
      <c r="HD52" s="143"/>
      <c r="HE52" s="38"/>
      <c r="HF52" s="144"/>
      <c r="HG52" s="150"/>
      <c r="HH52" s="174"/>
      <c r="HI52" s="175"/>
      <c r="HJ52" s="176"/>
      <c r="HK52" s="155"/>
      <c r="HL52" s="148"/>
      <c r="HM52" s="33"/>
      <c r="HN52" s="155"/>
      <c r="HO52" s="148"/>
      <c r="HP52" s="33"/>
      <c r="HQ52" s="39"/>
      <c r="HR52" s="143"/>
      <c r="HS52" s="38"/>
      <c r="HT52" s="144"/>
      <c r="HU52" s="150"/>
      <c r="HV52" s="174"/>
      <c r="HW52" s="175"/>
      <c r="HX52" s="176"/>
      <c r="HY52" s="155"/>
      <c r="HZ52" s="148"/>
      <c r="IA52" s="33"/>
      <c r="IB52" s="155"/>
      <c r="IC52" s="148"/>
      <c r="ID52" s="33"/>
      <c r="IE52" s="39"/>
      <c r="IF52" s="143"/>
      <c r="IG52" s="38"/>
      <c r="IH52" s="144"/>
      <c r="II52" s="150"/>
      <c r="IJ52" s="174"/>
      <c r="IK52" s="175"/>
      <c r="IL52" s="176"/>
      <c r="IM52" s="155"/>
      <c r="IN52" s="148"/>
      <c r="IO52" s="33"/>
      <c r="IP52" s="155"/>
      <c r="IQ52" s="148"/>
      <c r="IR52" s="33"/>
      <c r="IS52" s="39"/>
      <c r="IT52" s="143"/>
      <c r="IU52" s="38"/>
      <c r="IV52" s="144"/>
      <c r="IW52" s="143" t="str">
        <f t="shared" si="24"/>
        <v>#REF!</v>
      </c>
      <c r="IX52" s="38"/>
      <c r="IY52" s="144" t="e">
        <v>#REF!</v>
      </c>
    </row>
    <row r="53">
      <c r="A53" s="33"/>
      <c r="B53" s="181"/>
      <c r="C53" s="38" t="str">
        <f>IFERROR(__xludf.DUMMYFUNCTION("""COMPUTED_VALUE"""),"ac")</f>
        <v>ac</v>
      </c>
      <c r="D53" s="144">
        <v>46111.0</v>
      </c>
      <c r="E53" s="167" t="s">
        <v>332</v>
      </c>
      <c r="F53" s="168"/>
      <c r="G53" s="169"/>
      <c r="H53" s="170"/>
      <c r="I53" s="171" t="str">
        <f t="array" ref="I53">IFERROR(IF(C53="ac"+ISNUMBER(SEARCH("'",H53))+G53="","", MROUND(SWITCH(C53,"sq",'Personal Info'!$O$15,"bn",'Personal Info'!$S$15,"dl",'Personal Info'!$W$15,"")*IF(H53&gt;10, H53/100, VLOOKUP(H53, _rpe,SUBSTITUTE(G53,"+","")+1,0)), IF( SWITCH(C53:C210,"sq",'Personal Info'!$O$15,"bn",'Personal Info'!$S$15,"dl", 'Personal Info'!$W$15,"")&lt; IF(_uom="lbs", 175, 80), 1.25, IF(_uom="lbs",5,2.5)))),"")</f>
        <v/>
      </c>
      <c r="J53" s="148"/>
      <c r="K53" s="33"/>
      <c r="L53" s="171"/>
      <c r="M53" s="124" t="str">
        <f>IFERROR(__xludf.DUMMYFUNCTION("IF(I53=MAX(FILTER(I$10:I$199,LOOKUP(ROW(C$10:C$199),FILTER(ROW(C$10:C$199),C$10:C$199&lt;&gt;C$9:C$198))=LOOKUP(ROW(C53),FILTER(ROW(C$10:C$199),C$10:C$199&lt;&gt;C$9:C$198)))),J53,)"),"")</f>
        <v/>
      </c>
      <c r="N53" s="122"/>
      <c r="O53" s="39"/>
      <c r="P53" s="143" t="str">
        <f t="shared" si="12"/>
        <v/>
      </c>
      <c r="Q53" s="38" t="str">
        <f>IFERROR(__xludf.DUMMYFUNCTION("""COMPUTED_VALUE"""),"ac")</f>
        <v>ac</v>
      </c>
      <c r="R53" s="144">
        <v>46118.0</v>
      </c>
      <c r="S53" s="167" t="str">
        <f t="shared" si="13"/>
        <v>Day 3</v>
      </c>
      <c r="T53" s="168" t="str">
        <f t="shared" si="170"/>
        <v/>
      </c>
      <c r="U53" s="169" t="str">
        <f t="shared" si="188"/>
        <v/>
      </c>
      <c r="V53" s="172" t="str">
        <f t="shared" si="189"/>
        <v/>
      </c>
      <c r="W53" s="171" t="str">
        <f t="array" ref="W53">IFERROR(IF(Q53="ac"+ISNUMBER(SEARCH("'",V53))+U53="","", IF(ISNUMBER(SEARCH("lw",V53)), I53 + SUBSTITUTE(V53,"lw+",""), MROUND(SWITCH(Q53,"sq",U$7,"bn",V$7,"dl",W$7,"")*IF(V53&gt;10, V53/100, VLOOKUP(V53, _rpe,SUBSTITUTE(U53,"+","")+1,0)), IF( SWITCH(Q53,"sq",U$7,"bn",V$7,"dl", W$7,"")&lt; IF(_uom="lbs", 175, 80), 1.25, IF(_uom="lbs",5,2.5))))), "")</f>
        <v/>
      </c>
      <c r="X53" s="148"/>
      <c r="Y53" s="33"/>
      <c r="Z53" s="171"/>
      <c r="AA53" s="124" t="str">
        <f>IFERROR(__xludf.DUMMYFUNCTION("IF(W53=MAX(FILTER(W$10:W$199,LOOKUP(ROW(Q$10:Q$199),FILTER(ROW(Q$10:Q$199),Q$10:Q$199&lt;&gt;Q$9:Q$198))=LOOKUP(ROW(Q53),FILTER(ROW(Q$10:Q$199),Q$10:Q$199&lt;&gt;Q$9:Q$198)))),X53,)"),"")</f>
        <v/>
      </c>
      <c r="AB53" s="122"/>
      <c r="AC53" s="39"/>
      <c r="AD53" s="143" t="str">
        <f t="shared" si="14"/>
        <v/>
      </c>
      <c r="AE53" s="38" t="str">
        <f>IFERROR(__xludf.DUMMYFUNCTION("""COMPUTED_VALUE"""),"ac")</f>
        <v>ac</v>
      </c>
      <c r="AF53" s="144">
        <v>46125.0</v>
      </c>
      <c r="AG53" s="167" t="str">
        <f t="shared" si="54"/>
        <v>Day 3</v>
      </c>
      <c r="AH53" s="168" t="str">
        <f t="shared" si="151"/>
        <v/>
      </c>
      <c r="AI53" s="169" t="str">
        <f t="shared" si="190"/>
        <v/>
      </c>
      <c r="AJ53" s="172" t="str">
        <f t="shared" si="191"/>
        <v/>
      </c>
      <c r="AK53" s="171" t="str">
        <f t="array" ref="AK53">IFERROR(IF(AE53="ac"+ISNUMBER(SEARCH("'",AJ53))+AI53="","", IF(ISNUMBER(SEARCH("lw",AJ53)), W53 + SUBSTITUTE(AJ53,"lw+",""), MROUND(SWITCH(AE53,"sq",AI$7,"bn",AJ$7,"dl",AK$7,"")*IF(AJ53&gt;10, AJ53/100, VLOOKUP(AJ53, _rpe,SUBSTITUTE(AI53,"+","")+1,0)), IF( SWITCH(AE53,"sq",AI$7,"bn",AJ$7,"dl", AK$7,"")&lt; IF(_uom="lbs", 175, 80), 1.25, IF(_uom="lbs",5,2.5))))), "")</f>
        <v/>
      </c>
      <c r="AL53" s="148"/>
      <c r="AM53" s="33"/>
      <c r="AN53" s="171"/>
      <c r="AO53" s="124" t="str">
        <f>IFERROR(__xludf.DUMMYFUNCTION("IF(AK53=MAX(FILTER(AK$10:AK$199,LOOKUP(ROW(AE$10:AE$199),FILTER(ROW(AE$10:AE$199),AE$10:AE$199&lt;&gt;AE$9:AE$198))=LOOKUP(ROW(AE53),FILTER(ROW(AE$10:AE$199),AE$10:AE$199&lt;&gt;AE$9:AE$198)))),AL53,)"),"")</f>
        <v/>
      </c>
      <c r="AP53" s="122"/>
      <c r="AQ53" s="39"/>
      <c r="AR53" s="143" t="str">
        <f t="shared" si="16"/>
        <v/>
      </c>
      <c r="AS53" s="38" t="str">
        <f>IFERROR(__xludf.DUMMYFUNCTION("""COMPUTED_VALUE"""),"ac")</f>
        <v>ac</v>
      </c>
      <c r="AT53" s="144">
        <v>46132.0</v>
      </c>
      <c r="AU53" s="167" t="str">
        <f t="shared" si="26"/>
        <v>Day 3</v>
      </c>
      <c r="AV53" s="168" t="str">
        <f t="shared" si="152"/>
        <v/>
      </c>
      <c r="AW53" s="169" t="str">
        <f t="shared" si="192"/>
        <v/>
      </c>
      <c r="AX53" s="172" t="str">
        <f t="shared" si="158"/>
        <v/>
      </c>
      <c r="AY53" s="171" t="str">
        <f t="array" ref="AY53">IFERROR(IF(AS53="ac"+ISNUMBER(SEARCH("'",AX53))+AW53="","", IF(ISNUMBER(SEARCH("lw",AX53)), AK53 + SUBSTITUTE(AX53,"lw+",""), MROUND(SWITCH(AS53,"sq",AW$7,"bn",AX$7,"dl",AY$7,"")*IF(AX53&gt;10, AX53/100, VLOOKUP(AX53, _rpe,SUBSTITUTE(AW53,"+","")+1,0)), IF( SWITCH(AS53,"sq",AW$7,"bn",AX$7,"dl", AY$7,"")&lt; IF(_uom="lbs", 175, 80), 1.25, IF(_uom="lbs",5,2.5))))), "")</f>
        <v/>
      </c>
      <c r="AZ53" s="148"/>
      <c r="BA53" s="33"/>
      <c r="BB53" s="171"/>
      <c r="BC53" s="124" t="str">
        <f>IFERROR(__xludf.DUMMYFUNCTION("IF(AY53=MAX(FILTER(AY$10:AY$199,LOOKUP(ROW(AS$10:AS$199),FILTER(ROW(AS$10:AS$199),AS$10:AS$199&lt;&gt;AS$9:AS$198))=LOOKUP(ROW(AS53),FILTER(ROW(AS$10:AS$199),AS$10:AS$199&lt;&gt;AS$9:AS$198)))),AZ53,)"),"")</f>
        <v/>
      </c>
      <c r="BD53" s="122"/>
      <c r="BE53" s="39"/>
      <c r="BF53" s="143" t="str">
        <f t="shared" si="17"/>
        <v/>
      </c>
      <c r="BG53" s="38" t="str">
        <f>IFERROR(__xludf.DUMMYFUNCTION("""COMPUTED_VALUE"""),"ac")</f>
        <v>ac</v>
      </c>
      <c r="BH53" s="144">
        <v>46139.0</v>
      </c>
      <c r="BI53" s="167" t="str">
        <f t="shared" si="18"/>
        <v>Day 3</v>
      </c>
      <c r="BJ53" s="168" t="str">
        <f t="shared" si="193"/>
        <v/>
      </c>
      <c r="BK53" s="169" t="str">
        <f t="shared" si="194"/>
        <v/>
      </c>
      <c r="BL53" s="172" t="str">
        <f t="shared" si="195"/>
        <v/>
      </c>
      <c r="BM53" s="171" t="str">
        <f t="array" ref="BM53">IFERROR(IF(BG53="ac"+ISNUMBER(SEARCH("'",BL53))+BK53="","", IF(ISNUMBER(SEARCH("lw",BL53)), AY53 + SUBSTITUTE(BL53,"lw+",""), MROUND(SWITCH(BG53,"sq",BK$7,"bn",BL$7,"dl",BM$7,"")*IF(BL53&gt;10, BL53/100, VLOOKUP(BL53, _rpe,SUBSTITUTE(BK53,"+","")+1,0)), IF( SWITCH(BG53,"sq",BK$7,"bn",BL$7,"dl", BM$7,"")&lt; IF(_uom="lbs", 175, 80), 1.25, IF(_uom="lbs",5,2.5))))), "")</f>
        <v/>
      </c>
      <c r="BN53" s="148"/>
      <c r="BO53" s="33"/>
      <c r="BP53" s="171"/>
      <c r="BQ53" s="124" t="str">
        <f>IFERROR(__xludf.DUMMYFUNCTION("IF(BM53=MAX(FILTER(BM$10:BM$199,LOOKUP(ROW(BG$10:BG$199),FILTER(ROW(BG$10:BG$199),BG$10:BG$199&lt;&gt;BG$9:BG$198))=LOOKUP(ROW(BG53),FILTER(ROW(BG$10:BG$199),BG$10:BG$199&lt;&gt;BG$9:BG$198)))),BN53,)"),"")</f>
        <v/>
      </c>
      <c r="BR53" s="122"/>
      <c r="BS53" s="39"/>
      <c r="BT53" s="143" t="str">
        <f t="shared" si="19"/>
        <v/>
      </c>
      <c r="BU53" s="38" t="str">
        <f>IFERROR(__xludf.DUMMYFUNCTION("""COMPUTED_VALUE"""),"ac")</f>
        <v>ac</v>
      </c>
      <c r="BV53" s="144">
        <v>46146.0</v>
      </c>
      <c r="BW53" s="167" t="str">
        <f t="shared" si="20"/>
        <v>Day 3</v>
      </c>
      <c r="BX53" s="168" t="str">
        <f t="shared" si="196"/>
        <v/>
      </c>
      <c r="BY53" s="169" t="str">
        <f t="shared" si="197"/>
        <v/>
      </c>
      <c r="BZ53" s="172" t="str">
        <f t="shared" si="198"/>
        <v/>
      </c>
      <c r="CA53" s="171" t="str">
        <f t="array" ref="CA53">IFERROR(IF(BU53="ac"+ISNUMBER(SEARCH("'",BZ53))+BY53="","", IF(ISNUMBER(SEARCH("lw",BZ53)), BM53 + SUBSTITUTE(BZ53,"lw+",""), MROUND(SWITCH(BU53,"sq",BY$7,"bn",BZ$7,"dl",CA$7,"")*IF(BZ53&gt;10, BZ53/100, VLOOKUP(BZ53, _rpe,SUBSTITUTE(BY53,"+","")+1,0)), IF( SWITCH(BU53,"sq",BY$7,"bn",BZ$7,"dl", CA$7,"")&lt; IF(_uom="lbs", 175, 80), 1.25, IF(_uom="lbs",5,2.5))))), "")</f>
        <v/>
      </c>
      <c r="CB53" s="148"/>
      <c r="CC53" s="33"/>
      <c r="CD53" s="171"/>
      <c r="CE53" s="124" t="str">
        <f>IFERROR(__xludf.DUMMYFUNCTION("IF(CA53=MAX(FILTER(CA$10:CA$199,LOOKUP(ROW(BU$10:BU$199),FILTER(ROW(BU$10:BU$199),BU$10:BU$199&lt;&gt;BU$9:BU$198))=LOOKUP(ROW(BU53),FILTER(ROW(BU$10:BU$199),BU$10:BU$199&lt;&gt;BU$9:BU$198)))),CB53,)"),"")</f>
        <v/>
      </c>
      <c r="CF53" s="122"/>
      <c r="CG53" s="39"/>
      <c r="CH53" s="143" t="str">
        <f t="shared" si="21"/>
        <v/>
      </c>
      <c r="CI53" s="38" t="str">
        <f>IFERROR(__xludf.DUMMYFUNCTION("""COMPUTED_VALUE"""),"ac")</f>
        <v>ac</v>
      </c>
      <c r="CJ53" s="144">
        <v>46153.0</v>
      </c>
      <c r="CK53" s="167" t="str">
        <f t="shared" si="27"/>
        <v>Day 3</v>
      </c>
      <c r="CL53" s="168" t="str">
        <f t="shared" si="199"/>
        <v/>
      </c>
      <c r="CM53" s="169" t="str">
        <f t="shared" si="200"/>
        <v/>
      </c>
      <c r="CN53" s="172" t="str">
        <f t="shared" si="201"/>
        <v/>
      </c>
      <c r="CO53" s="171" t="str">
        <f t="array" ref="CO53">IFERROR(IF(CI53="ac"+ISNUMBER(SEARCH("'",CN53))+CM53="","", IF(ISNUMBER(SEARCH("lw",CN53)), CA53 + SUBSTITUTE(CN53,"lw+",""), MROUND(SWITCH(CI53,"sq",CM$7,"bn",CN$7,"dl",CO$7,"")*IF(CN53&gt;10, CN53/100, VLOOKUP(CN53, _rpe,SUBSTITUTE(CM53,"+","")+1,0)), IF( SWITCH(CI53,"sq",CM$7,"bn",CN$7,"dl", CO$7,"")&lt; IF(_uom="lbs", 175, 80), 1.25, IF(_uom="lbs",5,2.5))))), "")</f>
        <v/>
      </c>
      <c r="CP53" s="148"/>
      <c r="CQ53" s="33"/>
      <c r="CR53" s="171"/>
      <c r="CS53" s="124" t="str">
        <f>IFERROR(__xludf.DUMMYFUNCTION("IF(CO53=MAX(FILTER(CO$10:CO$199,LOOKUP(ROW(CI$10:CI$199),FILTER(ROW(CI$10:CI$199),CI$10:CI$199&lt;&gt;CI$9:CI$198))=LOOKUP(ROW(CI53),FILTER(ROW(CI$10:CI$199),CI$10:CI$199&lt;&gt;CI$9:CI$198)))),CP53,)"),"")</f>
        <v/>
      </c>
      <c r="CT53" s="122"/>
      <c r="CU53" s="39"/>
      <c r="CV53" s="143" t="str">
        <f t="shared" si="22"/>
        <v/>
      </c>
      <c r="CW53" s="38" t="str">
        <f>IFERROR(__xludf.DUMMYFUNCTION("""COMPUTED_VALUE"""),"ac")</f>
        <v>ac</v>
      </c>
      <c r="CX53" s="144">
        <v>46160.0</v>
      </c>
      <c r="CY53" s="167" t="str">
        <f t="shared" si="28"/>
        <v>Day 3</v>
      </c>
      <c r="CZ53" s="168" t="str">
        <f t="shared" si="186"/>
        <v/>
      </c>
      <c r="DA53" s="169" t="str">
        <f t="shared" si="202"/>
        <v/>
      </c>
      <c r="DB53" s="172" t="str">
        <f t="shared" si="169"/>
        <v/>
      </c>
      <c r="DC53" s="171" t="str">
        <f t="array" ref="DC53">IFERROR(IF(CW53="ac"+ISNUMBER(SEARCH("'",DB53))+DA53="","", IF(ISNUMBER(SEARCH("lw",DB53)), CO53 + SUBSTITUTE(DB53,"lw+",""), MROUND(SWITCH(CW53,"sq",DA$7,"bn",DB$7,"dl",DC$7,"")*IF(DB53&gt;10, DB53/100, VLOOKUP(DB53, _rpe,SUBSTITUTE(DA53,"+","")+1,0)), IF( SWITCH(CW53,"sq",DA$7,"bn",DB$7,"dl", DC$7,"")&lt; IF(_uom="lbs", 175, 80), 1.25, IF(_uom="lbs",5,2.5))))), "")</f>
        <v/>
      </c>
      <c r="DD53" s="148"/>
      <c r="DE53" s="33"/>
      <c r="DF53" s="171"/>
      <c r="DG53" s="124" t="str">
        <f>IFERROR(__xludf.DUMMYFUNCTION("IF(DC53=MAX(FILTER(DC$10:DC$199,LOOKUP(ROW(CW$10:CW$199),FILTER(ROW(CW$10:CW$199),CW$10:CW$199&lt;&gt;CW$9:CW$198))=LOOKUP(ROW(CW53),FILTER(ROW(CW$10:CW$199),CW$10:CW$199&lt;&gt;CW$9:CW$198)))),DD53,)"),"")</f>
        <v/>
      </c>
      <c r="DH53" s="122"/>
      <c r="DI53" s="39"/>
      <c r="DJ53" s="143" t="str">
        <f t="shared" si="23"/>
        <v/>
      </c>
      <c r="DK53" s="38" t="str">
        <f>IFERROR(__xludf.DUMMYFUNCTION("""COMPUTED_VALUE"""),"ac")</f>
        <v>ac</v>
      </c>
      <c r="DL53" s="144">
        <v>46167.0</v>
      </c>
      <c r="DM53" s="167" t="str">
        <f t="shared" ref="DM53:DN53" si="211">IF(ISBLANK(CY53),"",CY53)</f>
        <v>Day 3</v>
      </c>
      <c r="DN53" s="168" t="str">
        <f t="shared" si="211"/>
        <v/>
      </c>
      <c r="DO53" s="169" t="str">
        <f t="shared" si="204"/>
        <v/>
      </c>
      <c r="DP53" s="172" t="str">
        <f t="shared" si="205"/>
        <v/>
      </c>
      <c r="DQ53" s="171" t="str">
        <f t="array" ref="DQ53">IFERROR(IF(DK53="ac"+ISNUMBER(SEARCH("'",DP53))+DO53="","", IF(ISNUMBER(SEARCH("lw",DP53)), DC53 + SUBSTITUTE(DP53,"lw+",""), MROUND(SWITCH(DK53,"sq",DO$7,"bn",DP$7,"dl",DQ$7,"")*IF(DP53&gt;10, DP53/100, VLOOKUP(DP53, _rpe,SUBSTITUTE(DO53,"+","")+1,0)), IF( SWITCH(DK53,"sq",DO$7,"bn",DP$7,"dl", DQ$7,"")&lt; IF(_uom="lbs", 175, 80), 1.25, IF(_uom="lbs",5,2.5))))), "")</f>
        <v/>
      </c>
      <c r="DR53" s="148"/>
      <c r="DS53" s="33"/>
      <c r="DT53" s="171"/>
      <c r="DU53" s="124" t="str">
        <f>IFERROR(__xludf.DUMMYFUNCTION("IF(DQ53=MAX(FILTER(DQ$10:DQ$199,LOOKUP(ROW(DK$10:DK$199),FILTER(ROW(DK$10:DK$199),DK$10:DK$199&lt;&gt;DK$9:DK$198))=LOOKUP(ROW(DK53),FILTER(ROW(DK$10:DK$199),DK$10:DK$199&lt;&gt;DK$9:DK$198)))),DR53,)"),"")</f>
        <v/>
      </c>
      <c r="DV53" s="122"/>
      <c r="DW53" s="39"/>
      <c r="DX53" s="143"/>
      <c r="DY53" s="38"/>
      <c r="DZ53" s="144"/>
      <c r="EA53" s="150"/>
      <c r="EB53" s="174"/>
      <c r="EC53" s="175"/>
      <c r="ED53" s="176"/>
      <c r="EE53" s="155"/>
      <c r="EF53" s="148"/>
      <c r="EG53" s="33"/>
      <c r="EH53" s="155"/>
      <c r="EI53" s="148"/>
      <c r="EJ53" s="33"/>
      <c r="EK53" s="39"/>
      <c r="EL53" s="143"/>
      <c r="EM53" s="38"/>
      <c r="EN53" s="144"/>
      <c r="EO53" s="150"/>
      <c r="EP53" s="174"/>
      <c r="EQ53" s="175"/>
      <c r="ER53" s="176"/>
      <c r="ES53" s="155"/>
      <c r="ET53" s="148"/>
      <c r="EU53" s="33"/>
      <c r="EV53" s="155"/>
      <c r="EW53" s="148"/>
      <c r="EX53" s="33"/>
      <c r="EY53" s="39"/>
      <c r="EZ53" s="143"/>
      <c r="FA53" s="38"/>
      <c r="FB53" s="144"/>
      <c r="FC53" s="150"/>
      <c r="FD53" s="174"/>
      <c r="FE53" s="175"/>
      <c r="FF53" s="176"/>
      <c r="FG53" s="155"/>
      <c r="FH53" s="148"/>
      <c r="FI53" s="33"/>
      <c r="FJ53" s="155"/>
      <c r="FK53" s="148"/>
      <c r="FL53" s="33"/>
      <c r="FM53" s="39"/>
      <c r="FN53" s="143"/>
      <c r="FO53" s="38"/>
      <c r="FP53" s="144"/>
      <c r="FQ53" s="150"/>
      <c r="FR53" s="174"/>
      <c r="FS53" s="175"/>
      <c r="FT53" s="176"/>
      <c r="FU53" s="155"/>
      <c r="FV53" s="148"/>
      <c r="FW53" s="33"/>
      <c r="FX53" s="155"/>
      <c r="FY53" s="148"/>
      <c r="FZ53" s="33"/>
      <c r="GA53" s="39"/>
      <c r="GB53" s="143"/>
      <c r="GC53" s="38"/>
      <c r="GD53" s="144"/>
      <c r="GE53" s="150"/>
      <c r="GF53" s="174"/>
      <c r="GG53" s="175"/>
      <c r="GH53" s="176"/>
      <c r="GI53" s="155"/>
      <c r="GJ53" s="148"/>
      <c r="GK53" s="33"/>
      <c r="GL53" s="155"/>
      <c r="GM53" s="148"/>
      <c r="GN53" s="33"/>
      <c r="GO53" s="39"/>
      <c r="GP53" s="143"/>
      <c r="GQ53" s="38"/>
      <c r="GR53" s="144"/>
      <c r="GS53" s="150"/>
      <c r="GT53" s="174"/>
      <c r="GU53" s="175"/>
      <c r="GV53" s="176"/>
      <c r="GW53" s="155"/>
      <c r="GX53" s="148"/>
      <c r="GY53" s="33"/>
      <c r="GZ53" s="155"/>
      <c r="HA53" s="148"/>
      <c r="HB53" s="33"/>
      <c r="HC53" s="39"/>
      <c r="HD53" s="143"/>
      <c r="HE53" s="38"/>
      <c r="HF53" s="144"/>
      <c r="HG53" s="150"/>
      <c r="HH53" s="174"/>
      <c r="HI53" s="175"/>
      <c r="HJ53" s="176"/>
      <c r="HK53" s="155"/>
      <c r="HL53" s="148"/>
      <c r="HM53" s="33"/>
      <c r="HN53" s="155"/>
      <c r="HO53" s="148"/>
      <c r="HP53" s="33"/>
      <c r="HQ53" s="39"/>
      <c r="HR53" s="143"/>
      <c r="HS53" s="38"/>
      <c r="HT53" s="144"/>
      <c r="HU53" s="150"/>
      <c r="HV53" s="174"/>
      <c r="HW53" s="175"/>
      <c r="HX53" s="176"/>
      <c r="HY53" s="155"/>
      <c r="HZ53" s="148"/>
      <c r="IA53" s="33"/>
      <c r="IB53" s="155"/>
      <c r="IC53" s="148"/>
      <c r="ID53" s="33"/>
      <c r="IE53" s="39"/>
      <c r="IF53" s="143"/>
      <c r="IG53" s="38"/>
      <c r="IH53" s="144"/>
      <c r="II53" s="150"/>
      <c r="IJ53" s="174"/>
      <c r="IK53" s="175"/>
      <c r="IL53" s="176"/>
      <c r="IM53" s="155"/>
      <c r="IN53" s="148"/>
      <c r="IO53" s="33"/>
      <c r="IP53" s="155"/>
      <c r="IQ53" s="148"/>
      <c r="IR53" s="33"/>
      <c r="IS53" s="39"/>
      <c r="IT53" s="143"/>
      <c r="IU53" s="38"/>
      <c r="IV53" s="144"/>
      <c r="IW53" s="143" t="str">
        <f t="shared" si="24"/>
        <v>#REF!</v>
      </c>
      <c r="IX53" s="38"/>
      <c r="IY53" s="144" t="e">
        <v>#REF!</v>
      </c>
    </row>
    <row r="54" collapsed="1">
      <c r="A54" s="33"/>
      <c r="B54" s="143" t="s">
        <v>333</v>
      </c>
      <c r="C54" s="38" t="str">
        <f>IFERROR(__xludf.DUMMYFUNCTION("""COMPUTED_VALUE"""),"sq")</f>
        <v>sq</v>
      </c>
      <c r="D54" s="144">
        <v>46111.0</v>
      </c>
      <c r="E54" s="167" t="s">
        <v>175</v>
      </c>
      <c r="F54" s="168">
        <v>6.0</v>
      </c>
      <c r="G54" s="169">
        <v>4.0</v>
      </c>
      <c r="H54" s="170">
        <v>73.0</v>
      </c>
      <c r="I54" s="171">
        <f t="array" ref="I54">IFERROR(IF(C54="ac"+ISNUMBER(SEARCH("'",H54))+G54="","", MROUND(SWITCH(C54,"sq",'Personal Info'!$O$15,"bn",'Personal Info'!$S$15,"dl",'Personal Info'!$W$15,"")*IF(H54&gt;10, H54/100, VLOOKUP(H54, _rpe,SUBSTITUTE(G54,"+","")+1,0)), IF( SWITCH(C54:C210,"sq",'Personal Info'!$O$15,"bn",'Personal Info'!$S$15,"dl", 'Personal Info'!$W$15,"")&lt; IF(_uom="lbs", 175, 80), 1.25, IF(_uom="lbs",5,2.5)))),"")</f>
        <v>145</v>
      </c>
      <c r="J54" s="148"/>
      <c r="K54" s="33"/>
      <c r="L54" s="171"/>
      <c r="M54" s="124" t="str">
        <f>IFERROR(__xludf.DUMMYFUNCTION("IF(I54=MAX(FILTER(I$10:I$199,LOOKUP(ROW(C$10:C$199),FILTER(ROW(C$10:C$199),C$10:C$199&lt;&gt;C$9:C$198))=LOOKUP(ROW(C54),FILTER(ROW(C$10:C$199),C$10:C$199&lt;&gt;C$9:C$198)))),J54,)"),"")</f>
        <v/>
      </c>
      <c r="N54" s="122"/>
      <c r="O54" s="39"/>
      <c r="P54" s="143" t="str">
        <f t="shared" si="12"/>
        <v>SQ 2: strength</v>
      </c>
      <c r="Q54" s="38" t="str">
        <f>IFERROR(__xludf.DUMMYFUNCTION("""COMPUTED_VALUE"""),"sq")</f>
        <v>sq</v>
      </c>
      <c r="R54" s="144">
        <v>46118.0</v>
      </c>
      <c r="S54" s="167" t="str">
        <f t="shared" si="13"/>
        <v>Competition Squat</v>
      </c>
      <c r="T54" s="168">
        <v>6.0</v>
      </c>
      <c r="U54" s="169">
        <f t="shared" si="188"/>
        <v>4</v>
      </c>
      <c r="V54" s="172">
        <v>75.0</v>
      </c>
      <c r="W54" s="171">
        <f t="array" ref="W54">IFERROR(IF(Q54="ac"+ISNUMBER(SEARCH("'",V54))+U54="","", IF(ISNUMBER(SEARCH("lw",V54)), I54 + SUBSTITUTE(V54,"lw+",""), MROUND(SWITCH(Q54,"sq",U$7,"bn",V$7,"dl",W$7,"")*IF(V54&gt;10, V54/100, VLOOKUP(V54, _rpe,SUBSTITUTE(U54,"+","")+1,0)), IF( SWITCH(Q54,"sq",U$7,"bn",V$7,"dl", W$7,"")&lt; IF(_uom="lbs", 175, 80), 1.25, IF(_uom="lbs",5,2.5))))), "")</f>
        <v>150</v>
      </c>
      <c r="X54" s="148"/>
      <c r="Y54" s="33"/>
      <c r="Z54" s="171"/>
      <c r="AA54" s="124" t="str">
        <f>IFERROR(__xludf.DUMMYFUNCTION("IF(W54=MAX(FILTER(W$10:W$199,LOOKUP(ROW(Q$10:Q$199),FILTER(ROW(Q$10:Q$199),Q$10:Q$199&lt;&gt;Q$9:Q$198))=LOOKUP(ROW(Q54),FILTER(ROW(Q$10:Q$199),Q$10:Q$199&lt;&gt;Q$9:Q$198)))),X54,)"),"")</f>
        <v/>
      </c>
      <c r="AB54" s="122"/>
      <c r="AC54" s="39"/>
      <c r="AD54" s="143" t="str">
        <f t="shared" si="14"/>
        <v>SQ 2: strength</v>
      </c>
      <c r="AE54" s="38" t="str">
        <f>IFERROR(__xludf.DUMMYFUNCTION("""COMPUTED_VALUE"""),"sq")</f>
        <v>sq</v>
      </c>
      <c r="AF54" s="144">
        <v>46125.0</v>
      </c>
      <c r="AG54" s="167" t="str">
        <f t="shared" si="54"/>
        <v>Competition Squat</v>
      </c>
      <c r="AH54" s="168">
        <f t="shared" si="151"/>
        <v>6</v>
      </c>
      <c r="AI54" s="169">
        <f t="shared" si="190"/>
        <v>4</v>
      </c>
      <c r="AJ54" s="172">
        <v>77.0</v>
      </c>
      <c r="AK54" s="171">
        <f t="array" ref="AK54">IFERROR(IF(AE54="ac"+ISNUMBER(SEARCH("'",AJ54))+AI54="","", IF(ISNUMBER(SEARCH("lw",AJ54)), W54 + SUBSTITUTE(AJ54,"lw+",""), MROUND(SWITCH(AE54,"sq",AI$7,"bn",AJ$7,"dl",AK$7,"")*IF(AJ54&gt;10, AJ54/100, VLOOKUP(AJ54, _rpe,SUBSTITUTE(AI54,"+","")+1,0)), IF( SWITCH(AE54,"sq",AI$7,"bn",AJ$7,"dl", AK$7,"")&lt; IF(_uom="lbs", 175, 80), 1.25, IF(_uom="lbs",5,2.5))))), "")</f>
        <v>155</v>
      </c>
      <c r="AL54" s="148"/>
      <c r="AM54" s="33"/>
      <c r="AN54" s="171"/>
      <c r="AO54" s="124" t="str">
        <f>IFERROR(__xludf.DUMMYFUNCTION("IF(AK54=MAX(FILTER(AK$10:AK$199,LOOKUP(ROW(AE$10:AE$199),FILTER(ROW(AE$10:AE$199),AE$10:AE$199&lt;&gt;AE$9:AE$198))=LOOKUP(ROW(AE54),FILTER(ROW(AE$10:AE$199),AE$10:AE$199&lt;&gt;AE$9:AE$198)))),AL54,)"),"")</f>
        <v/>
      </c>
      <c r="AP54" s="122"/>
      <c r="AQ54" s="39"/>
      <c r="AR54" s="143" t="str">
        <f t="shared" si="16"/>
        <v>SQ 2: strength</v>
      </c>
      <c r="AS54" s="38" t="str">
        <f>IFERROR(__xludf.DUMMYFUNCTION("""COMPUTED_VALUE"""),"sq")</f>
        <v>sq</v>
      </c>
      <c r="AT54" s="144">
        <v>46132.0</v>
      </c>
      <c r="AU54" s="167" t="str">
        <f t="shared" si="26"/>
        <v>Competition Squat</v>
      </c>
      <c r="AV54" s="168">
        <f t="shared" si="152"/>
        <v>6</v>
      </c>
      <c r="AW54" s="169">
        <v>4.0</v>
      </c>
      <c r="AX54" s="172">
        <v>79.0</v>
      </c>
      <c r="AY54" s="171">
        <f t="array" ref="AY54">IFERROR(IF(AS54="ac"+ISNUMBER(SEARCH("'",AX54))+AW54="","", IF(ISNUMBER(SEARCH("lw",AX54)), AK54 + SUBSTITUTE(AX54,"lw+",""), MROUND(SWITCH(AS54,"sq",AW$7,"bn",AX$7,"dl",AY$7,"")*IF(AX54&gt;10, AX54/100, VLOOKUP(AX54, _rpe,SUBSTITUTE(AW54,"+","")+1,0)), IF( SWITCH(AS54,"sq",AW$7,"bn",AX$7,"dl", AY$7,"")&lt; IF(_uom="lbs", 175, 80), 1.25, IF(_uom="lbs",5,2.5))))), "")</f>
        <v>160</v>
      </c>
      <c r="AZ54" s="148"/>
      <c r="BA54" s="33"/>
      <c r="BB54" s="171"/>
      <c r="BC54" s="124" t="str">
        <f>IFERROR(__xludf.DUMMYFUNCTION("IF(AY54=MAX(FILTER(AY$10:AY$199,LOOKUP(ROW(AS$10:AS$199),FILTER(ROW(AS$10:AS$199),AS$10:AS$199&lt;&gt;AS$9:AS$198))=LOOKUP(ROW(AS54),FILTER(ROW(AS$10:AS$199),AS$10:AS$199&lt;&gt;AS$9:AS$198)))),AZ54,)"),"")</f>
        <v/>
      </c>
      <c r="BD54" s="122"/>
      <c r="BE54" s="39"/>
      <c r="BF54" s="143" t="str">
        <f t="shared" si="17"/>
        <v>SQ 2: strength</v>
      </c>
      <c r="BG54" s="38" t="str">
        <f>IFERROR(__xludf.DUMMYFUNCTION("""COMPUTED_VALUE"""),"sq")</f>
        <v>sq</v>
      </c>
      <c r="BH54" s="144">
        <v>46139.0</v>
      </c>
      <c r="BI54" s="167" t="str">
        <f t="shared" si="18"/>
        <v>Competition Squat</v>
      </c>
      <c r="BJ54" s="168">
        <v>5.0</v>
      </c>
      <c r="BK54" s="169">
        <v>4.0</v>
      </c>
      <c r="BL54" s="172">
        <v>75.0</v>
      </c>
      <c r="BM54" s="171">
        <f t="array" ref="BM54">IFERROR(IF(BG54="ac"+ISNUMBER(SEARCH("'",BL54))+BK54="","", IF(ISNUMBER(SEARCH("lw",BL54)), AY54 + SUBSTITUTE(BL54,"lw+",""), MROUND(SWITCH(BG54,"sq",BK$7,"bn",BL$7,"dl",BM$7,"")*IF(BL54&gt;10, BL54/100, VLOOKUP(BL54, _rpe,SUBSTITUTE(BK54,"+","")+1,0)), IF( SWITCH(BG54,"sq",BK$7,"bn",BL$7,"dl", BM$7,"")&lt; IF(_uom="lbs", 175, 80), 1.25, IF(_uom="lbs",5,2.5))))), "")</f>
        <v>150</v>
      </c>
      <c r="BN54" s="148"/>
      <c r="BO54" s="33"/>
      <c r="BP54" s="171"/>
      <c r="BQ54" s="124" t="str">
        <f>IFERROR(__xludf.DUMMYFUNCTION("IF(BM54=MAX(FILTER(BM$10:BM$199,LOOKUP(ROW(BG$10:BG$199),FILTER(ROW(BG$10:BG$199),BG$10:BG$199&lt;&gt;BG$9:BG$198))=LOOKUP(ROW(BG54),FILTER(ROW(BG$10:BG$199),BG$10:BG$199&lt;&gt;BG$9:BG$198)))),BN54,)"),"")</f>
        <v/>
      </c>
      <c r="BR54" s="122"/>
      <c r="BS54" s="39"/>
      <c r="BT54" s="143" t="str">
        <f t="shared" si="19"/>
        <v>SQ 2: strength</v>
      </c>
      <c r="BU54" s="38" t="str">
        <f>IFERROR(__xludf.DUMMYFUNCTION("""COMPUTED_VALUE"""),"sq")</f>
        <v>sq</v>
      </c>
      <c r="BV54" s="144">
        <v>46146.0</v>
      </c>
      <c r="BW54" s="167" t="str">
        <f t="shared" si="20"/>
        <v>Competition Squat</v>
      </c>
      <c r="BX54" s="168">
        <v>5.0</v>
      </c>
      <c r="BY54" s="169">
        <f t="shared" si="197"/>
        <v>4</v>
      </c>
      <c r="BZ54" s="172">
        <v>76.0</v>
      </c>
      <c r="CA54" s="171">
        <f t="array" ref="CA54">IFERROR(IF(BU54="ac"+ISNUMBER(SEARCH("'",BZ54))+BY54="","", IF(ISNUMBER(SEARCH("lw",BZ54)), BM54 + SUBSTITUTE(BZ54,"lw+",""), MROUND(SWITCH(BU54,"sq",BY$7,"bn",BZ$7,"dl",CA$7,"")*IF(BZ54&gt;10, BZ54/100, VLOOKUP(BZ54, _rpe,SUBSTITUTE(BY54,"+","")+1,0)), IF( SWITCH(BU54,"sq",BY$7,"bn",BZ$7,"dl", CA$7,"")&lt; IF(_uom="lbs", 175, 80), 1.25, IF(_uom="lbs",5,2.5))))), "")</f>
        <v>150</v>
      </c>
      <c r="CB54" s="148"/>
      <c r="CC54" s="33"/>
      <c r="CD54" s="171"/>
      <c r="CE54" s="124" t="str">
        <f>IFERROR(__xludf.DUMMYFUNCTION("IF(CA54=MAX(FILTER(CA$10:CA$199,LOOKUP(ROW(BU$10:BU$199),FILTER(ROW(BU$10:BU$199),BU$10:BU$199&lt;&gt;BU$9:BU$198))=LOOKUP(ROW(BU54),FILTER(ROW(BU$10:BU$199),BU$10:BU$199&lt;&gt;BU$9:BU$198)))),CB54,)"),"")</f>
        <v/>
      </c>
      <c r="CF54" s="122"/>
      <c r="CG54" s="39"/>
      <c r="CH54" s="143" t="str">
        <f t="shared" si="21"/>
        <v>SQ 2: strength</v>
      </c>
      <c r="CI54" s="38" t="str">
        <f>IFERROR(__xludf.DUMMYFUNCTION("""COMPUTED_VALUE"""),"sq")</f>
        <v>sq</v>
      </c>
      <c r="CJ54" s="144">
        <v>46153.0</v>
      </c>
      <c r="CK54" s="167" t="str">
        <f t="shared" si="27"/>
        <v>Competition Squat</v>
      </c>
      <c r="CL54" s="168">
        <v>5.0</v>
      </c>
      <c r="CM54" s="169">
        <v>3.0</v>
      </c>
      <c r="CN54" s="172">
        <v>78.0</v>
      </c>
      <c r="CO54" s="171">
        <f t="array" ref="CO54">IFERROR(IF(CI54="ac"+ISNUMBER(SEARCH("'",CN54))+CM54="","", IF(ISNUMBER(SEARCH("lw",CN54)), CA54 + SUBSTITUTE(CN54,"lw+",""), MROUND(SWITCH(CI54,"sq",CM$7,"bn",CN$7,"dl",CO$7,"")*IF(CN54&gt;10, CN54/100, VLOOKUP(CN54, _rpe,SUBSTITUTE(CM54,"+","")+1,0)), IF( SWITCH(CI54,"sq",CM$7,"bn",CN$7,"dl", CO$7,"")&lt; IF(_uom="lbs", 175, 80), 1.25, IF(_uom="lbs",5,2.5))))), "")</f>
        <v>155</v>
      </c>
      <c r="CP54" s="148"/>
      <c r="CQ54" s="33"/>
      <c r="CR54" s="171"/>
      <c r="CS54" s="124" t="str">
        <f>IFERROR(__xludf.DUMMYFUNCTION("IF(CO54=MAX(FILTER(CO$10:CO$199,LOOKUP(ROW(CI$10:CI$199),FILTER(ROW(CI$10:CI$199),CI$10:CI$199&lt;&gt;CI$9:CI$198))=LOOKUP(ROW(CI54),FILTER(ROW(CI$10:CI$199),CI$10:CI$199&lt;&gt;CI$9:CI$198)))),CP54,)"),"")</f>
        <v/>
      </c>
      <c r="CT54" s="122"/>
      <c r="CU54" s="39"/>
      <c r="CV54" s="143" t="str">
        <f t="shared" si="22"/>
        <v>SQ 2: strength</v>
      </c>
      <c r="CW54" s="38" t="str">
        <f>IFERROR(__xludf.DUMMYFUNCTION("""COMPUTED_VALUE"""),"sq")</f>
        <v>sq</v>
      </c>
      <c r="CX54" s="144">
        <v>46160.0</v>
      </c>
      <c r="CY54" s="167" t="str">
        <f t="shared" si="28"/>
        <v>Competition Squat</v>
      </c>
      <c r="CZ54" s="168">
        <v>5.0</v>
      </c>
      <c r="DA54" s="169">
        <v>3.0</v>
      </c>
      <c r="DB54" s="172">
        <v>80.0</v>
      </c>
      <c r="DC54" s="171">
        <f t="array" ref="DC54">IFERROR(IF(CW54="ac"+ISNUMBER(SEARCH("'",DB54))+DA54="","", IF(ISNUMBER(SEARCH("lw",DB54)), CO54 + SUBSTITUTE(DB54,"lw+",""), MROUND(SWITCH(CW54,"sq",DA$7,"bn",DB$7,"dl",DC$7,"")*IF(DB54&gt;10, DB54/100, VLOOKUP(DB54, _rpe,SUBSTITUTE(DA54,"+","")+1,0)), IF( SWITCH(CW54,"sq",DA$7,"bn",DB$7,"dl", DC$7,"")&lt; IF(_uom="lbs", 175, 80), 1.25, IF(_uom="lbs",5,2.5))))), "")</f>
        <v>160</v>
      </c>
      <c r="DD54" s="148"/>
      <c r="DE54" s="33"/>
      <c r="DF54" s="171"/>
      <c r="DG54" s="124" t="str">
        <f>IFERROR(__xludf.DUMMYFUNCTION("IF(DC54=MAX(FILTER(DC$10:DC$199,LOOKUP(ROW(CW$10:CW$199),FILTER(ROW(CW$10:CW$199),CW$10:CW$199&lt;&gt;CW$9:CW$198))=LOOKUP(ROW(CW54),FILTER(ROW(CW$10:CW$199),CW$10:CW$199&lt;&gt;CW$9:CW$198)))),DD54,)"),"")</f>
        <v/>
      </c>
      <c r="DH54" s="122"/>
      <c r="DI54" s="39"/>
      <c r="DJ54" s="143" t="str">
        <f t="shared" si="23"/>
        <v>SQ 2: strength</v>
      </c>
      <c r="DK54" s="38" t="str">
        <f>IFERROR(__xludf.DUMMYFUNCTION("""COMPUTED_VALUE"""),"")</f>
        <v/>
      </c>
      <c r="DL54" s="144">
        <v>46167.0</v>
      </c>
      <c r="DM54" s="167"/>
      <c r="DN54" s="168"/>
      <c r="DO54" s="169"/>
      <c r="DP54" s="171"/>
      <c r="DQ54" s="171" t="str">
        <f t="array" ref="DQ54">IFERROR(IF(DK54="ac"+ISNUMBER(SEARCH("'",DP54))+DO54="","", IF(ISNUMBER(SEARCH("lw",DP54)), DC54 + SUBSTITUTE(DP54,"lw+",""), MROUND(SWITCH(DK54,"sq",DO$7,"bn",DP$7,"dl",DQ$7,"")*IF(DP54&gt;10, DP54/100, VLOOKUP(DP54, _rpe,SUBSTITUTE(DO54,"+","")+1,0)), IF( SWITCH(DK54,"sq",DO$7,"bn",DP$7,"dl", DQ$7,"")&lt; IF(_uom="lbs", 175, 80), 1.25, IF(_uom="lbs",5,2.5))))), "")</f>
        <v/>
      </c>
      <c r="DR54" s="148"/>
      <c r="DS54" s="33"/>
      <c r="DT54" s="171"/>
      <c r="DU54" s="124" t="str">
        <f>IFERROR(__xludf.DUMMYFUNCTION("IF(DQ54=MAX(FILTER(DQ$10:DQ$199,LOOKUP(ROW(DK$10:DK$199),FILTER(ROW(DK$10:DK$199),DK$10:DK$199&lt;&gt;DK$9:DK$198))=LOOKUP(ROW(DK54),FILTER(ROW(DK$10:DK$199),DK$10:DK$199&lt;&gt;DK$9:DK$198)))),DR54,)"),"")</f>
        <v/>
      </c>
      <c r="DV54" s="122"/>
      <c r="DW54" s="39"/>
      <c r="DX54" s="143"/>
      <c r="DY54" s="38"/>
      <c r="DZ54" s="144"/>
      <c r="EA54" s="150"/>
      <c r="EB54" s="174"/>
      <c r="EC54" s="175"/>
      <c r="ED54" s="176"/>
      <c r="EE54" s="155"/>
      <c r="EF54" s="148"/>
      <c r="EG54" s="33"/>
      <c r="EH54" s="155"/>
      <c r="EI54" s="148"/>
      <c r="EJ54" s="33"/>
      <c r="EK54" s="39"/>
      <c r="EL54" s="143"/>
      <c r="EM54" s="38"/>
      <c r="EN54" s="144"/>
      <c r="EO54" s="150"/>
      <c r="EP54" s="174"/>
      <c r="EQ54" s="175"/>
      <c r="ER54" s="176"/>
      <c r="ES54" s="155"/>
      <c r="ET54" s="148"/>
      <c r="EU54" s="33"/>
      <c r="EV54" s="155"/>
      <c r="EW54" s="148"/>
      <c r="EX54" s="33"/>
      <c r="EY54" s="39"/>
      <c r="EZ54" s="143"/>
      <c r="FA54" s="38"/>
      <c r="FB54" s="144"/>
      <c r="FC54" s="150"/>
      <c r="FD54" s="174"/>
      <c r="FE54" s="175"/>
      <c r="FF54" s="176"/>
      <c r="FG54" s="155"/>
      <c r="FH54" s="148"/>
      <c r="FI54" s="33"/>
      <c r="FJ54" s="155"/>
      <c r="FK54" s="148"/>
      <c r="FL54" s="33"/>
      <c r="FM54" s="39"/>
      <c r="FN54" s="143"/>
      <c r="FO54" s="38"/>
      <c r="FP54" s="144"/>
      <c r="FQ54" s="150"/>
      <c r="FR54" s="174"/>
      <c r="FS54" s="175"/>
      <c r="FT54" s="176"/>
      <c r="FU54" s="155"/>
      <c r="FV54" s="148"/>
      <c r="FW54" s="33"/>
      <c r="FX54" s="155"/>
      <c r="FY54" s="148"/>
      <c r="FZ54" s="33"/>
      <c r="GA54" s="39"/>
      <c r="GB54" s="143"/>
      <c r="GC54" s="38"/>
      <c r="GD54" s="144"/>
      <c r="GE54" s="150"/>
      <c r="GF54" s="174"/>
      <c r="GG54" s="175"/>
      <c r="GH54" s="176"/>
      <c r="GI54" s="155"/>
      <c r="GJ54" s="148"/>
      <c r="GK54" s="33"/>
      <c r="GL54" s="155"/>
      <c r="GM54" s="148"/>
      <c r="GN54" s="33"/>
      <c r="GO54" s="39"/>
      <c r="GP54" s="143"/>
      <c r="GQ54" s="38"/>
      <c r="GR54" s="144"/>
      <c r="GS54" s="150"/>
      <c r="GT54" s="174"/>
      <c r="GU54" s="175"/>
      <c r="GV54" s="176"/>
      <c r="GW54" s="155"/>
      <c r="GX54" s="148"/>
      <c r="GY54" s="33"/>
      <c r="GZ54" s="155"/>
      <c r="HA54" s="148"/>
      <c r="HB54" s="33"/>
      <c r="HC54" s="39"/>
      <c r="HD54" s="143"/>
      <c r="HE54" s="38"/>
      <c r="HF54" s="144"/>
      <c r="HG54" s="150"/>
      <c r="HH54" s="174"/>
      <c r="HI54" s="175"/>
      <c r="HJ54" s="176"/>
      <c r="HK54" s="155"/>
      <c r="HL54" s="148"/>
      <c r="HM54" s="33"/>
      <c r="HN54" s="155"/>
      <c r="HO54" s="148"/>
      <c r="HP54" s="33"/>
      <c r="HQ54" s="39"/>
      <c r="HR54" s="143"/>
      <c r="HS54" s="38"/>
      <c r="HT54" s="144"/>
      <c r="HU54" s="150"/>
      <c r="HV54" s="174"/>
      <c r="HW54" s="175"/>
      <c r="HX54" s="176"/>
      <c r="HY54" s="155"/>
      <c r="HZ54" s="148"/>
      <c r="IA54" s="33"/>
      <c r="IB54" s="155"/>
      <c r="IC54" s="148"/>
      <c r="ID54" s="33"/>
      <c r="IE54" s="39"/>
      <c r="IF54" s="143"/>
      <c r="IG54" s="38"/>
      <c r="IH54" s="144"/>
      <c r="II54" s="150"/>
      <c r="IJ54" s="174"/>
      <c r="IK54" s="175"/>
      <c r="IL54" s="176"/>
      <c r="IM54" s="155"/>
      <c r="IN54" s="148"/>
      <c r="IO54" s="33"/>
      <c r="IP54" s="155"/>
      <c r="IQ54" s="148"/>
      <c r="IR54" s="33"/>
      <c r="IS54" s="39"/>
      <c r="IT54" s="143"/>
      <c r="IU54" s="38"/>
      <c r="IV54" s="144"/>
      <c r="IW54" s="143" t="str">
        <f t="shared" si="24"/>
        <v>#REF!</v>
      </c>
      <c r="IX54" s="38"/>
      <c r="IY54" s="144" t="e">
        <v>#REF!</v>
      </c>
    </row>
    <row r="55" hidden="1" outlineLevel="1">
      <c r="A55" s="33"/>
      <c r="B55" s="181"/>
      <c r="C55" s="38" t="str">
        <f>IFERROR(__xludf.DUMMYFUNCTION("""COMPUTED_VALUE"""),"")</f>
        <v/>
      </c>
      <c r="D55" s="144">
        <v>46111.0</v>
      </c>
      <c r="E55" s="182"/>
      <c r="F55" s="168"/>
      <c r="G55" s="169"/>
      <c r="H55" s="170"/>
      <c r="I55" s="171" t="str">
        <f t="array" ref="I55">IFERROR(IF(C55="ac"+ISNUMBER(SEARCH("'",H55))+G55="","", MROUND(SWITCH(C55,"sq",'Personal Info'!$O$15,"bn",'Personal Info'!$S$15,"dl",'Personal Info'!$W$15,"")*IF(H55&gt;10, H55/100, VLOOKUP(H55, _rpe,SUBSTITUTE(G55,"+","")+1,0)), IF( SWITCH(C55:C210,"sq",'Personal Info'!$O$15,"bn",'Personal Info'!$S$15,"dl", 'Personal Info'!$W$15,"")&lt; IF(_uom="lbs", 175, 80), 1.25, IF(_uom="lbs",5,2.5)))),"")</f>
        <v/>
      </c>
      <c r="J55" s="148"/>
      <c r="K55" s="33"/>
      <c r="L55" s="171"/>
      <c r="M55" s="124" t="str">
        <f>IFERROR(__xludf.DUMMYFUNCTION("IF(I55=MAX(FILTER(I$10:I$199,LOOKUP(ROW(C$10:C$199),FILTER(ROW(C$10:C$199),C$10:C$199&lt;&gt;C$9:C$198))=LOOKUP(ROW(C55),FILTER(ROW(C$10:C$199),C$10:C$199&lt;&gt;C$9:C$198)))),J55,)"),"")</f>
        <v/>
      </c>
      <c r="N55" s="122"/>
      <c r="O55" s="39"/>
      <c r="P55" s="143" t="str">
        <f t="shared" si="12"/>
        <v/>
      </c>
      <c r="Q55" s="38" t="str">
        <f>IFERROR(__xludf.DUMMYFUNCTION("""COMPUTED_VALUE"""),"")</f>
        <v/>
      </c>
      <c r="R55" s="144">
        <v>46118.0</v>
      </c>
      <c r="S55" s="167" t="str">
        <f t="shared" si="13"/>
        <v/>
      </c>
      <c r="T55" s="168" t="str">
        <f t="shared" ref="T55:T57" si="212">IF(ISBLANK(F55),"",F55)</f>
        <v/>
      </c>
      <c r="U55" s="169" t="str">
        <f t="shared" si="188"/>
        <v/>
      </c>
      <c r="V55" s="172" t="str">
        <f t="shared" ref="V55:V57" si="213">IF(ISBLANK(H55),"",H55)</f>
        <v/>
      </c>
      <c r="W55" s="171" t="str">
        <f t="array" ref="W55">IFERROR(IF(Q55="ac"+ISNUMBER(SEARCH("'",V55))+U55="","", IF(ISNUMBER(SEARCH("lw",V55)), I55 + SUBSTITUTE(V55,"lw+",""), MROUND(SWITCH(Q55,"sq",U$7,"bn",V$7,"dl",W$7,"")*IF(V55&gt;10, V55/100, VLOOKUP(V55, _rpe,SUBSTITUTE(U55,"+","")+1,0)), IF( SWITCH(Q55,"sq",U$7,"bn",V$7,"dl", W$7,"")&lt; IF(_uom="lbs", 175, 80), 1.25, IF(_uom="lbs",5,2.5))))), "")</f>
        <v/>
      </c>
      <c r="X55" s="148"/>
      <c r="Y55" s="33"/>
      <c r="Z55" s="171"/>
      <c r="AA55" s="124" t="str">
        <f>IFERROR(__xludf.DUMMYFUNCTION("IF(W55=MAX(FILTER(W$10:W$199,LOOKUP(ROW(Q$10:Q$199),FILTER(ROW(Q$10:Q$199),Q$10:Q$199&lt;&gt;Q$9:Q$198))=LOOKUP(ROW(Q55),FILTER(ROW(Q$10:Q$199),Q$10:Q$199&lt;&gt;Q$9:Q$198)))),X55,)"),"")</f>
        <v/>
      </c>
      <c r="AB55" s="122"/>
      <c r="AC55" s="39"/>
      <c r="AD55" s="143" t="str">
        <f t="shared" si="14"/>
        <v/>
      </c>
      <c r="AE55" s="38" t="str">
        <f>IFERROR(__xludf.DUMMYFUNCTION("""COMPUTED_VALUE"""),"")</f>
        <v/>
      </c>
      <c r="AF55" s="144">
        <v>46125.0</v>
      </c>
      <c r="AG55" s="167" t="str">
        <f t="shared" si="54"/>
        <v/>
      </c>
      <c r="AH55" s="168" t="str">
        <f t="shared" si="151"/>
        <v/>
      </c>
      <c r="AI55" s="169" t="str">
        <f t="shared" si="190"/>
        <v/>
      </c>
      <c r="AJ55" s="172" t="str">
        <f t="shared" ref="AJ55:AJ57" si="214">IF(ISBLANK(V55),"",V55)</f>
        <v/>
      </c>
      <c r="AK55" s="171" t="str">
        <f t="array" ref="AK55">IFERROR(IF(AE55="ac"+ISNUMBER(SEARCH("'",AJ55))+AI55="","", IF(ISNUMBER(SEARCH("lw",AJ55)), W55 + SUBSTITUTE(AJ55,"lw+",""), MROUND(SWITCH(AE55,"sq",AI$7,"bn",AJ$7,"dl",AK$7,"")*IF(AJ55&gt;10, AJ55/100, VLOOKUP(AJ55, _rpe,SUBSTITUTE(AI55,"+","")+1,0)), IF( SWITCH(AE55,"sq",AI$7,"bn",AJ$7,"dl", AK$7,"")&lt; IF(_uom="lbs", 175, 80), 1.25, IF(_uom="lbs",5,2.5))))), "")</f>
        <v/>
      </c>
      <c r="AL55" s="148"/>
      <c r="AM55" s="33"/>
      <c r="AN55" s="171"/>
      <c r="AO55" s="124" t="str">
        <f>IFERROR(__xludf.DUMMYFUNCTION("IF(AK55=MAX(FILTER(AK$10:AK$199,LOOKUP(ROW(AE$10:AE$199),FILTER(ROW(AE$10:AE$199),AE$10:AE$199&lt;&gt;AE$9:AE$198))=LOOKUP(ROW(AE55),FILTER(ROW(AE$10:AE$199),AE$10:AE$199&lt;&gt;AE$9:AE$198)))),AL55,)"),"")</f>
        <v/>
      </c>
      <c r="AP55" s="122"/>
      <c r="AQ55" s="39"/>
      <c r="AR55" s="143" t="str">
        <f t="shared" si="16"/>
        <v/>
      </c>
      <c r="AS55" s="38" t="str">
        <f>IFERROR(__xludf.DUMMYFUNCTION("""COMPUTED_VALUE"""),"")</f>
        <v/>
      </c>
      <c r="AT55" s="144">
        <v>46132.0</v>
      </c>
      <c r="AU55" s="167" t="str">
        <f t="shared" si="26"/>
        <v/>
      </c>
      <c r="AV55" s="168" t="str">
        <f t="shared" si="152"/>
        <v/>
      </c>
      <c r="AW55" s="169" t="str">
        <f t="shared" ref="AW55:AW57" si="215">IF( OR(ISBLANK(AI55),AI55=""),"", AI55)</f>
        <v/>
      </c>
      <c r="AX55" s="172" t="str">
        <f t="shared" ref="AX55:AX75" si="216">IF(ISBLANK(AJ55),"",AJ55)</f>
        <v/>
      </c>
      <c r="AY55" s="171" t="str">
        <f t="array" ref="AY55">IFERROR(IF(AS55="ac"+ISNUMBER(SEARCH("'",AX55))+AW55="","", IF(ISNUMBER(SEARCH("lw",AX55)), AK55 + SUBSTITUTE(AX55,"lw+",""), MROUND(SWITCH(AS55,"sq",AW$7,"bn",AX$7,"dl",AY$7,"")*IF(AX55&gt;10, AX55/100, VLOOKUP(AX55, _rpe,SUBSTITUTE(AW55,"+","")+1,0)), IF( SWITCH(AS55,"sq",AW$7,"bn",AX$7,"dl", AY$7,"")&lt; IF(_uom="lbs", 175, 80), 1.25, IF(_uom="lbs",5,2.5))))), "")</f>
        <v/>
      </c>
      <c r="AZ55" s="148"/>
      <c r="BA55" s="33"/>
      <c r="BB55" s="171"/>
      <c r="BC55" s="124" t="str">
        <f>IFERROR(__xludf.DUMMYFUNCTION("IF(AY55=MAX(FILTER(AY$10:AY$199,LOOKUP(ROW(AS$10:AS$199),FILTER(ROW(AS$10:AS$199),AS$10:AS$199&lt;&gt;AS$9:AS$198))=LOOKUP(ROW(AS55),FILTER(ROW(AS$10:AS$199),AS$10:AS$199&lt;&gt;AS$9:AS$198)))),AZ55,)"),"")</f>
        <v/>
      </c>
      <c r="BD55" s="122"/>
      <c r="BE55" s="39"/>
      <c r="BF55" s="143" t="str">
        <f t="shared" si="17"/>
        <v/>
      </c>
      <c r="BG55" s="38" t="str">
        <f>IFERROR(__xludf.DUMMYFUNCTION("""COMPUTED_VALUE"""),"")</f>
        <v/>
      </c>
      <c r="BH55" s="144">
        <v>46139.0</v>
      </c>
      <c r="BI55" s="167" t="str">
        <f t="shared" si="18"/>
        <v/>
      </c>
      <c r="BJ55" s="168" t="str">
        <f t="shared" ref="BJ55:BJ57" si="217">IF(ISBLANK(AV55),"",AV55)</f>
        <v/>
      </c>
      <c r="BK55" s="169" t="str">
        <f t="shared" ref="BK55:BK57" si="218">IF( OR(ISBLANK(AW55),AW55=""),"", AW55)</f>
        <v/>
      </c>
      <c r="BL55" s="172" t="str">
        <f t="shared" ref="BL55:BL57" si="219">IF(ISBLANK(AX55),"",AX55)</f>
        <v/>
      </c>
      <c r="BM55" s="171" t="str">
        <f t="array" ref="BM55">IFERROR(IF(BG55="ac"+ISNUMBER(SEARCH("'",BL55))+BK55="","", IF(ISNUMBER(SEARCH("lw",BL55)), AY55 + SUBSTITUTE(BL55,"lw+",""), MROUND(SWITCH(BG55,"sq",BK$7,"bn",BL$7,"dl",BM$7,"")*IF(BL55&gt;10, BL55/100, VLOOKUP(BL55, _rpe,SUBSTITUTE(BK55,"+","")+1,0)), IF( SWITCH(BG55,"sq",BK$7,"bn",BL$7,"dl", BM$7,"")&lt; IF(_uom="lbs", 175, 80), 1.25, IF(_uom="lbs",5,2.5))))), "")</f>
        <v/>
      </c>
      <c r="BN55" s="148"/>
      <c r="BO55" s="33"/>
      <c r="BP55" s="171"/>
      <c r="BQ55" s="124" t="str">
        <f>IFERROR(__xludf.DUMMYFUNCTION("IF(BM55=MAX(FILTER(BM$10:BM$199,LOOKUP(ROW(BG$10:BG$199),FILTER(ROW(BG$10:BG$199),BG$10:BG$199&lt;&gt;BG$9:BG$198))=LOOKUP(ROW(BG55),FILTER(ROW(BG$10:BG$199),BG$10:BG$199&lt;&gt;BG$9:BG$198)))),BN55,)"),"")</f>
        <v/>
      </c>
      <c r="BR55" s="122"/>
      <c r="BS55" s="39"/>
      <c r="BT55" s="143" t="str">
        <f t="shared" si="19"/>
        <v/>
      </c>
      <c r="BU55" s="38" t="str">
        <f>IFERROR(__xludf.DUMMYFUNCTION("""COMPUTED_VALUE"""),"")</f>
        <v/>
      </c>
      <c r="BV55" s="144">
        <v>46146.0</v>
      </c>
      <c r="BW55" s="167" t="str">
        <f t="shared" si="20"/>
        <v/>
      </c>
      <c r="BX55" s="168" t="str">
        <f t="shared" ref="BX55:BX57" si="220">IF(ISBLANK(BJ55),"",BJ55)</f>
        <v/>
      </c>
      <c r="BY55" s="169" t="str">
        <f t="shared" si="197"/>
        <v/>
      </c>
      <c r="BZ55" s="172" t="str">
        <f t="shared" ref="BZ55:BZ57" si="221">IF(ISBLANK(BL55),"",BL55)</f>
        <v/>
      </c>
      <c r="CA55" s="171" t="str">
        <f t="array" ref="CA55">IFERROR(IF(BU55="ac"+ISNUMBER(SEARCH("'",BZ55))+BY55="","", IF(ISNUMBER(SEARCH("lw",BZ55)), BM55 + SUBSTITUTE(BZ55,"lw+",""), MROUND(SWITCH(BU55,"sq",BY$7,"bn",BZ$7,"dl",CA$7,"")*IF(BZ55&gt;10, BZ55/100, VLOOKUP(BZ55, _rpe,SUBSTITUTE(BY55,"+","")+1,0)), IF( SWITCH(BU55,"sq",BY$7,"bn",BZ$7,"dl", CA$7,"")&lt; IF(_uom="lbs", 175, 80), 1.25, IF(_uom="lbs",5,2.5))))), "")</f>
        <v/>
      </c>
      <c r="CB55" s="148"/>
      <c r="CC55" s="33"/>
      <c r="CD55" s="171"/>
      <c r="CE55" s="124" t="str">
        <f>IFERROR(__xludf.DUMMYFUNCTION("IF(CA55=MAX(FILTER(CA$10:CA$199,LOOKUP(ROW(BU$10:BU$199),FILTER(ROW(BU$10:BU$199),BU$10:BU$199&lt;&gt;BU$9:BU$198))=LOOKUP(ROW(BU55),FILTER(ROW(BU$10:BU$199),BU$10:BU$199&lt;&gt;BU$9:BU$198)))),CB55,)"),"")</f>
        <v/>
      </c>
      <c r="CF55" s="122"/>
      <c r="CG55" s="39"/>
      <c r="CH55" s="143" t="str">
        <f t="shared" si="21"/>
        <v/>
      </c>
      <c r="CI55" s="38" t="str">
        <f>IFERROR(__xludf.DUMMYFUNCTION("""COMPUTED_VALUE"""),"")</f>
        <v/>
      </c>
      <c r="CJ55" s="144">
        <v>46153.0</v>
      </c>
      <c r="CK55" s="167" t="str">
        <f t="shared" si="27"/>
        <v/>
      </c>
      <c r="CL55" s="168" t="str">
        <f t="shared" ref="CL55:CL57" si="222">IF(ISBLANK(BX55),"",BX55)</f>
        <v/>
      </c>
      <c r="CM55" s="169" t="str">
        <f t="shared" ref="CM55:CM57" si="223">IF( OR(ISBLANK(BY55),BY55=""),"", BY55)</f>
        <v/>
      </c>
      <c r="CN55" s="172" t="str">
        <f t="shared" ref="CN55:CN57" si="224">IF(ISBLANK(BZ55),"",BZ55)</f>
        <v/>
      </c>
      <c r="CO55" s="171" t="str">
        <f t="array" ref="CO55">IFERROR(IF(CI55="ac"+ISNUMBER(SEARCH("'",CN55))+CM55="","", IF(ISNUMBER(SEARCH("lw",CN55)), CA55 + SUBSTITUTE(CN55,"lw+",""), MROUND(SWITCH(CI55,"sq",CM$7,"bn",CN$7,"dl",CO$7,"")*IF(CN55&gt;10, CN55/100, VLOOKUP(CN55, _rpe,SUBSTITUTE(CM55,"+","")+1,0)), IF( SWITCH(CI55,"sq",CM$7,"bn",CN$7,"dl", CO$7,"")&lt; IF(_uom="lbs", 175, 80), 1.25, IF(_uom="lbs",5,2.5))))), "")</f>
        <v/>
      </c>
      <c r="CP55" s="148"/>
      <c r="CQ55" s="33"/>
      <c r="CR55" s="171"/>
      <c r="CS55" s="124" t="str">
        <f>IFERROR(__xludf.DUMMYFUNCTION("IF(CO55=MAX(FILTER(CO$10:CO$199,LOOKUP(ROW(CI$10:CI$199),FILTER(ROW(CI$10:CI$199),CI$10:CI$199&lt;&gt;CI$9:CI$198))=LOOKUP(ROW(CI55),FILTER(ROW(CI$10:CI$199),CI$10:CI$199&lt;&gt;CI$9:CI$198)))),CP55,)"),"")</f>
        <v/>
      </c>
      <c r="CT55" s="122"/>
      <c r="CU55" s="39"/>
      <c r="CV55" s="143" t="str">
        <f t="shared" si="22"/>
        <v/>
      </c>
      <c r="CW55" s="38" t="str">
        <f>IFERROR(__xludf.DUMMYFUNCTION("""COMPUTED_VALUE"""),"")</f>
        <v/>
      </c>
      <c r="CX55" s="144">
        <v>46160.0</v>
      </c>
      <c r="CY55" s="167" t="str">
        <f t="shared" si="28"/>
        <v/>
      </c>
      <c r="CZ55" s="168" t="str">
        <f t="shared" ref="CZ55:CZ57" si="225">IF(ISBLANK(CL55),"",CL55)</f>
        <v/>
      </c>
      <c r="DA55" s="169" t="str">
        <f t="shared" ref="DA55:DA57" si="226">IF( OR(ISBLANK(CM55),CM55=""),"", CM55)</f>
        <v/>
      </c>
      <c r="DB55" s="172" t="str">
        <f t="shared" ref="DB55:DB75" si="227">IF(ISBLANK(CN55),"",CN55)</f>
        <v/>
      </c>
      <c r="DC55" s="171" t="str">
        <f t="array" ref="DC55">IFERROR(IF(CW55="ac"+ISNUMBER(SEARCH("'",DB55))+DA55="","", IF(ISNUMBER(SEARCH("lw",DB55)), CO55 + SUBSTITUTE(DB55,"lw+",""), MROUND(SWITCH(CW55,"sq",DA$7,"bn",DB$7,"dl",DC$7,"")*IF(DB55&gt;10, DB55/100, VLOOKUP(DB55, _rpe,SUBSTITUTE(DA55,"+","")+1,0)), IF( SWITCH(CW55,"sq",DA$7,"bn",DB$7,"dl", DC$7,"")&lt; IF(_uom="lbs", 175, 80), 1.25, IF(_uom="lbs",5,2.5))))), "")</f>
        <v/>
      </c>
      <c r="DD55" s="148"/>
      <c r="DE55" s="33"/>
      <c r="DF55" s="171"/>
      <c r="DG55" s="124" t="str">
        <f>IFERROR(__xludf.DUMMYFUNCTION("IF(DC55=MAX(FILTER(DC$10:DC$199,LOOKUP(ROW(CW$10:CW$199),FILTER(ROW(CW$10:CW$199),CW$10:CW$199&lt;&gt;CW$9:CW$198))=LOOKUP(ROW(CW55),FILTER(ROW(CW$10:CW$199),CW$10:CW$199&lt;&gt;CW$9:CW$198)))),DD55,)"),"")</f>
        <v/>
      </c>
      <c r="DH55" s="122"/>
      <c r="DI55" s="39"/>
      <c r="DJ55" s="143" t="str">
        <f t="shared" si="23"/>
        <v/>
      </c>
      <c r="DK55" s="38" t="str">
        <f>IFERROR(__xludf.DUMMYFUNCTION("""COMPUTED_VALUE"""),"")</f>
        <v/>
      </c>
      <c r="DL55" s="144">
        <v>46167.0</v>
      </c>
      <c r="DM55" s="167"/>
      <c r="DN55" s="168"/>
      <c r="DO55" s="169"/>
      <c r="DP55" s="172"/>
      <c r="DQ55" s="171" t="str">
        <f t="array" ref="DQ55">IFERROR(IF(DK55="ac"+ISNUMBER(SEARCH("'",DP55))+DO55="","", IF(ISNUMBER(SEARCH("lw",DP55)), DC55 + SUBSTITUTE(DP55,"lw+",""), MROUND(SWITCH(DK55,"sq",DO$7,"bn",DP$7,"dl",DQ$7,"")*IF(DP55&gt;10, DP55/100, VLOOKUP(DP55, _rpe,SUBSTITUTE(DO55,"+","")+1,0)), IF( SWITCH(DK55,"sq",DO$7,"bn",DP$7,"dl", DQ$7,"")&lt; IF(_uom="lbs", 175, 80), 1.25, IF(_uom="lbs",5,2.5))))), "")</f>
        <v/>
      </c>
      <c r="DR55" s="148"/>
      <c r="DS55" s="33"/>
      <c r="DT55" s="171"/>
      <c r="DU55" s="124" t="str">
        <f>IFERROR(__xludf.DUMMYFUNCTION("IF(DQ55=MAX(FILTER(DQ$10:DQ$199,LOOKUP(ROW(DK$10:DK$199),FILTER(ROW(DK$10:DK$199),DK$10:DK$199&lt;&gt;DK$9:DK$198))=LOOKUP(ROW(DK55),FILTER(ROW(DK$10:DK$199),DK$10:DK$199&lt;&gt;DK$9:DK$198)))),DR55,)"),"")</f>
        <v/>
      </c>
      <c r="DV55" s="122"/>
      <c r="DW55" s="39"/>
      <c r="DX55" s="143"/>
      <c r="DY55" s="38"/>
      <c r="DZ55" s="144"/>
      <c r="EA55" s="150"/>
      <c r="EB55" s="174"/>
      <c r="EC55" s="175"/>
      <c r="ED55" s="176"/>
      <c r="EE55" s="155"/>
      <c r="EF55" s="148"/>
      <c r="EG55" s="33"/>
      <c r="EH55" s="155"/>
      <c r="EI55" s="148"/>
      <c r="EJ55" s="33"/>
      <c r="EK55" s="39"/>
      <c r="EL55" s="143"/>
      <c r="EM55" s="38"/>
      <c r="EN55" s="144"/>
      <c r="EO55" s="150"/>
      <c r="EP55" s="174"/>
      <c r="EQ55" s="175"/>
      <c r="ER55" s="176"/>
      <c r="ES55" s="155"/>
      <c r="ET55" s="148"/>
      <c r="EU55" s="33"/>
      <c r="EV55" s="155"/>
      <c r="EW55" s="148"/>
      <c r="EX55" s="33"/>
      <c r="EY55" s="39"/>
      <c r="EZ55" s="143"/>
      <c r="FA55" s="38"/>
      <c r="FB55" s="144"/>
      <c r="FC55" s="150"/>
      <c r="FD55" s="174"/>
      <c r="FE55" s="175"/>
      <c r="FF55" s="176"/>
      <c r="FG55" s="155"/>
      <c r="FH55" s="148"/>
      <c r="FI55" s="33"/>
      <c r="FJ55" s="155"/>
      <c r="FK55" s="148"/>
      <c r="FL55" s="33"/>
      <c r="FM55" s="39"/>
      <c r="FN55" s="143"/>
      <c r="FO55" s="38"/>
      <c r="FP55" s="144"/>
      <c r="FQ55" s="150"/>
      <c r="FR55" s="174"/>
      <c r="FS55" s="175"/>
      <c r="FT55" s="176"/>
      <c r="FU55" s="155"/>
      <c r="FV55" s="148"/>
      <c r="FW55" s="33"/>
      <c r="FX55" s="155"/>
      <c r="FY55" s="148"/>
      <c r="FZ55" s="33"/>
      <c r="GA55" s="39"/>
      <c r="GB55" s="143"/>
      <c r="GC55" s="38"/>
      <c r="GD55" s="144"/>
      <c r="GE55" s="150"/>
      <c r="GF55" s="174"/>
      <c r="GG55" s="175"/>
      <c r="GH55" s="176"/>
      <c r="GI55" s="155"/>
      <c r="GJ55" s="148"/>
      <c r="GK55" s="33"/>
      <c r="GL55" s="155"/>
      <c r="GM55" s="148"/>
      <c r="GN55" s="33"/>
      <c r="GO55" s="39"/>
      <c r="GP55" s="143"/>
      <c r="GQ55" s="38"/>
      <c r="GR55" s="144"/>
      <c r="GS55" s="150"/>
      <c r="GT55" s="174"/>
      <c r="GU55" s="175"/>
      <c r="GV55" s="176"/>
      <c r="GW55" s="155"/>
      <c r="GX55" s="148"/>
      <c r="GY55" s="33"/>
      <c r="GZ55" s="155"/>
      <c r="HA55" s="148"/>
      <c r="HB55" s="33"/>
      <c r="HC55" s="39"/>
      <c r="HD55" s="143"/>
      <c r="HE55" s="38"/>
      <c r="HF55" s="144"/>
      <c r="HG55" s="150"/>
      <c r="HH55" s="174"/>
      <c r="HI55" s="175"/>
      <c r="HJ55" s="176"/>
      <c r="HK55" s="155"/>
      <c r="HL55" s="148"/>
      <c r="HM55" s="33"/>
      <c r="HN55" s="155"/>
      <c r="HO55" s="148"/>
      <c r="HP55" s="33"/>
      <c r="HQ55" s="39"/>
      <c r="HR55" s="143"/>
      <c r="HS55" s="38"/>
      <c r="HT55" s="144"/>
      <c r="HU55" s="150"/>
      <c r="HV55" s="174"/>
      <c r="HW55" s="175"/>
      <c r="HX55" s="176"/>
      <c r="HY55" s="155"/>
      <c r="HZ55" s="148"/>
      <c r="IA55" s="33"/>
      <c r="IB55" s="155"/>
      <c r="IC55" s="148"/>
      <c r="ID55" s="33"/>
      <c r="IE55" s="39"/>
      <c r="IF55" s="143"/>
      <c r="IG55" s="38"/>
      <c r="IH55" s="144"/>
      <c r="II55" s="150"/>
      <c r="IJ55" s="174"/>
      <c r="IK55" s="175"/>
      <c r="IL55" s="176"/>
      <c r="IM55" s="155"/>
      <c r="IN55" s="148"/>
      <c r="IO55" s="33"/>
      <c r="IP55" s="155"/>
      <c r="IQ55" s="148"/>
      <c r="IR55" s="33"/>
      <c r="IS55" s="39"/>
      <c r="IT55" s="143"/>
      <c r="IU55" s="38"/>
      <c r="IV55" s="144"/>
      <c r="IW55" s="143" t="str">
        <f t="shared" si="24"/>
        <v>#REF!</v>
      </c>
      <c r="IX55" s="38"/>
      <c r="IY55" s="144" t="e">
        <v>#REF!</v>
      </c>
    </row>
    <row r="56" hidden="1" outlineLevel="1">
      <c r="A56" s="33"/>
      <c r="B56" s="181"/>
      <c r="C56" s="38" t="str">
        <f>IFERROR(__xludf.DUMMYFUNCTION("""COMPUTED_VALUE"""),"")</f>
        <v/>
      </c>
      <c r="D56" s="144">
        <v>46111.0</v>
      </c>
      <c r="E56" s="182"/>
      <c r="F56" s="168"/>
      <c r="G56" s="169"/>
      <c r="H56" s="170"/>
      <c r="I56" s="171" t="str">
        <f t="array" ref="I56">IFERROR(IF(C56="ac"+ISNUMBER(SEARCH("'",H56))+G56="","", MROUND(SWITCH(C56,"sq",'Personal Info'!$O$15,"bn",'Personal Info'!$S$15,"dl",'Personal Info'!$W$15,"")*IF(H56&gt;10, H56/100, VLOOKUP(H56, _rpe,SUBSTITUTE(G56,"+","")+1,0)), IF( SWITCH(C56:C210,"sq",'Personal Info'!$O$15,"bn",'Personal Info'!$S$15,"dl", 'Personal Info'!$W$15,"")&lt; IF(_uom="lbs", 175, 80), 1.25, IF(_uom="lbs",5,2.5)))),"")</f>
        <v/>
      </c>
      <c r="J56" s="148"/>
      <c r="K56" s="33"/>
      <c r="L56" s="171"/>
      <c r="M56" s="124" t="str">
        <f>IFERROR(__xludf.DUMMYFUNCTION("IF(I56=MAX(FILTER(I$10:I$199,LOOKUP(ROW(C$10:C$199),FILTER(ROW(C$10:C$199),C$10:C$199&lt;&gt;C$9:C$198))=LOOKUP(ROW(C56),FILTER(ROW(C$10:C$199),C$10:C$199&lt;&gt;C$9:C$198)))),J56,)"),"")</f>
        <v/>
      </c>
      <c r="N56" s="122"/>
      <c r="O56" s="39"/>
      <c r="P56" s="143" t="str">
        <f t="shared" si="12"/>
        <v/>
      </c>
      <c r="Q56" s="38" t="str">
        <f>IFERROR(__xludf.DUMMYFUNCTION("""COMPUTED_VALUE"""),"")</f>
        <v/>
      </c>
      <c r="R56" s="144">
        <v>46118.0</v>
      </c>
      <c r="S56" s="167" t="str">
        <f t="shared" si="13"/>
        <v/>
      </c>
      <c r="T56" s="168" t="str">
        <f t="shared" si="212"/>
        <v/>
      </c>
      <c r="U56" s="169" t="str">
        <f t="shared" si="188"/>
        <v/>
      </c>
      <c r="V56" s="172" t="str">
        <f t="shared" si="213"/>
        <v/>
      </c>
      <c r="W56" s="171" t="str">
        <f t="array" ref="W56">IFERROR(IF(Q56="ac"+ISNUMBER(SEARCH("'",V56))+U56="","", IF(ISNUMBER(SEARCH("lw",V56)), I56 + SUBSTITUTE(V56,"lw+",""), MROUND(SWITCH(Q56,"sq",U$7,"bn",V$7,"dl",W$7,"")*IF(V56&gt;10, V56/100, VLOOKUP(V56, _rpe,SUBSTITUTE(U56,"+","")+1,0)), IF( SWITCH(Q56,"sq",U$7,"bn",V$7,"dl", W$7,"")&lt; IF(_uom="lbs", 175, 80), 1.25, IF(_uom="lbs",5,2.5))))), "")</f>
        <v/>
      </c>
      <c r="X56" s="148"/>
      <c r="Y56" s="33"/>
      <c r="Z56" s="171"/>
      <c r="AA56" s="124" t="str">
        <f>IFERROR(__xludf.DUMMYFUNCTION("IF(W56=MAX(FILTER(W$10:W$199,LOOKUP(ROW(Q$10:Q$199),FILTER(ROW(Q$10:Q$199),Q$10:Q$199&lt;&gt;Q$9:Q$198))=LOOKUP(ROW(Q56),FILTER(ROW(Q$10:Q$199),Q$10:Q$199&lt;&gt;Q$9:Q$198)))),X56,)"),"")</f>
        <v/>
      </c>
      <c r="AB56" s="122"/>
      <c r="AC56" s="39"/>
      <c r="AD56" s="143" t="str">
        <f t="shared" si="14"/>
        <v/>
      </c>
      <c r="AE56" s="38" t="str">
        <f>IFERROR(__xludf.DUMMYFUNCTION("""COMPUTED_VALUE"""),"")</f>
        <v/>
      </c>
      <c r="AF56" s="144">
        <v>46125.0</v>
      </c>
      <c r="AG56" s="167" t="str">
        <f t="shared" si="54"/>
        <v/>
      </c>
      <c r="AH56" s="168" t="str">
        <f t="shared" si="151"/>
        <v/>
      </c>
      <c r="AI56" s="169" t="str">
        <f t="shared" si="190"/>
        <v/>
      </c>
      <c r="AJ56" s="172" t="str">
        <f t="shared" si="214"/>
        <v/>
      </c>
      <c r="AK56" s="171" t="str">
        <f t="array" ref="AK56">IFERROR(IF(AE56="ac"+ISNUMBER(SEARCH("'",AJ56))+AI56="","", IF(ISNUMBER(SEARCH("lw",AJ56)), W56 + SUBSTITUTE(AJ56,"lw+",""), MROUND(SWITCH(AE56,"sq",AI$7,"bn",AJ$7,"dl",AK$7,"")*IF(AJ56&gt;10, AJ56/100, VLOOKUP(AJ56, _rpe,SUBSTITUTE(AI56,"+","")+1,0)), IF( SWITCH(AE56,"sq",AI$7,"bn",AJ$7,"dl", AK$7,"")&lt; IF(_uom="lbs", 175, 80), 1.25, IF(_uom="lbs",5,2.5))))), "")</f>
        <v/>
      </c>
      <c r="AL56" s="148"/>
      <c r="AM56" s="33"/>
      <c r="AN56" s="171"/>
      <c r="AO56" s="124" t="str">
        <f>IFERROR(__xludf.DUMMYFUNCTION("IF(AK56=MAX(FILTER(AK$10:AK$199,LOOKUP(ROW(AE$10:AE$199),FILTER(ROW(AE$10:AE$199),AE$10:AE$199&lt;&gt;AE$9:AE$198))=LOOKUP(ROW(AE56),FILTER(ROW(AE$10:AE$199),AE$10:AE$199&lt;&gt;AE$9:AE$198)))),AL56,)"),"")</f>
        <v/>
      </c>
      <c r="AP56" s="122"/>
      <c r="AQ56" s="39"/>
      <c r="AR56" s="143" t="str">
        <f t="shared" si="16"/>
        <v/>
      </c>
      <c r="AS56" s="38" t="str">
        <f>IFERROR(__xludf.DUMMYFUNCTION("""COMPUTED_VALUE"""),"")</f>
        <v/>
      </c>
      <c r="AT56" s="144">
        <v>46132.0</v>
      </c>
      <c r="AU56" s="167" t="str">
        <f t="shared" si="26"/>
        <v/>
      </c>
      <c r="AV56" s="168" t="str">
        <f t="shared" si="152"/>
        <v/>
      </c>
      <c r="AW56" s="169" t="str">
        <f t="shared" si="215"/>
        <v/>
      </c>
      <c r="AX56" s="172" t="str">
        <f t="shared" si="216"/>
        <v/>
      </c>
      <c r="AY56" s="171" t="str">
        <f t="array" ref="AY56">IFERROR(IF(AS56="ac"+ISNUMBER(SEARCH("'",AX56))+AW56="","", IF(ISNUMBER(SEARCH("lw",AX56)), AK56 + SUBSTITUTE(AX56,"lw+",""), MROUND(SWITCH(AS56,"sq",AW$7,"bn",AX$7,"dl",AY$7,"")*IF(AX56&gt;10, AX56/100, VLOOKUP(AX56, _rpe,SUBSTITUTE(AW56,"+","")+1,0)), IF( SWITCH(AS56,"sq",AW$7,"bn",AX$7,"dl", AY$7,"")&lt; IF(_uom="lbs", 175, 80), 1.25, IF(_uom="lbs",5,2.5))))), "")</f>
        <v/>
      </c>
      <c r="AZ56" s="148"/>
      <c r="BA56" s="33"/>
      <c r="BB56" s="171"/>
      <c r="BC56" s="124" t="str">
        <f>IFERROR(__xludf.DUMMYFUNCTION("IF(AY56=MAX(FILTER(AY$10:AY$199,LOOKUP(ROW(AS$10:AS$199),FILTER(ROW(AS$10:AS$199),AS$10:AS$199&lt;&gt;AS$9:AS$198))=LOOKUP(ROW(AS56),FILTER(ROW(AS$10:AS$199),AS$10:AS$199&lt;&gt;AS$9:AS$198)))),AZ56,)"),"")</f>
        <v/>
      </c>
      <c r="BD56" s="122"/>
      <c r="BE56" s="39"/>
      <c r="BF56" s="143" t="str">
        <f t="shared" si="17"/>
        <v/>
      </c>
      <c r="BG56" s="38" t="str">
        <f>IFERROR(__xludf.DUMMYFUNCTION("""COMPUTED_VALUE"""),"")</f>
        <v/>
      </c>
      <c r="BH56" s="144">
        <v>46139.0</v>
      </c>
      <c r="BI56" s="167" t="str">
        <f t="shared" si="18"/>
        <v/>
      </c>
      <c r="BJ56" s="168" t="str">
        <f t="shared" si="217"/>
        <v/>
      </c>
      <c r="BK56" s="169" t="str">
        <f t="shared" si="218"/>
        <v/>
      </c>
      <c r="BL56" s="172" t="str">
        <f t="shared" si="219"/>
        <v/>
      </c>
      <c r="BM56" s="171" t="str">
        <f t="array" ref="BM56">IFERROR(IF(BG56="ac"+ISNUMBER(SEARCH("'",BL56))+BK56="","", IF(ISNUMBER(SEARCH("lw",BL56)), AY56 + SUBSTITUTE(BL56,"lw+",""), MROUND(SWITCH(BG56,"sq",BK$7,"bn",BL$7,"dl",BM$7,"")*IF(BL56&gt;10, BL56/100, VLOOKUP(BL56, _rpe,SUBSTITUTE(BK56,"+","")+1,0)), IF( SWITCH(BG56,"sq",BK$7,"bn",BL$7,"dl", BM$7,"")&lt; IF(_uom="lbs", 175, 80), 1.25, IF(_uom="lbs",5,2.5))))), "")</f>
        <v/>
      </c>
      <c r="BN56" s="148"/>
      <c r="BO56" s="33"/>
      <c r="BP56" s="171"/>
      <c r="BQ56" s="124" t="str">
        <f>IFERROR(__xludf.DUMMYFUNCTION("IF(BM56=MAX(FILTER(BM$10:BM$199,LOOKUP(ROW(BG$10:BG$199),FILTER(ROW(BG$10:BG$199),BG$10:BG$199&lt;&gt;BG$9:BG$198))=LOOKUP(ROW(BG56),FILTER(ROW(BG$10:BG$199),BG$10:BG$199&lt;&gt;BG$9:BG$198)))),BN56,)"),"")</f>
        <v/>
      </c>
      <c r="BR56" s="122"/>
      <c r="BS56" s="39"/>
      <c r="BT56" s="143" t="str">
        <f t="shared" si="19"/>
        <v/>
      </c>
      <c r="BU56" s="38" t="str">
        <f>IFERROR(__xludf.DUMMYFUNCTION("""COMPUTED_VALUE"""),"")</f>
        <v/>
      </c>
      <c r="BV56" s="144">
        <v>46146.0</v>
      </c>
      <c r="BW56" s="167" t="str">
        <f t="shared" si="20"/>
        <v/>
      </c>
      <c r="BX56" s="168" t="str">
        <f t="shared" si="220"/>
        <v/>
      </c>
      <c r="BY56" s="169" t="str">
        <f t="shared" si="197"/>
        <v/>
      </c>
      <c r="BZ56" s="172" t="str">
        <f t="shared" si="221"/>
        <v/>
      </c>
      <c r="CA56" s="171" t="str">
        <f t="array" ref="CA56">IFERROR(IF(BU56="ac"+ISNUMBER(SEARCH("'",BZ56))+BY56="","", IF(ISNUMBER(SEARCH("lw",BZ56)), BM56 + SUBSTITUTE(BZ56,"lw+",""), MROUND(SWITCH(BU56,"sq",BY$7,"bn",BZ$7,"dl",CA$7,"")*IF(BZ56&gt;10, BZ56/100, VLOOKUP(BZ56, _rpe,SUBSTITUTE(BY56,"+","")+1,0)), IF( SWITCH(BU56,"sq",BY$7,"bn",BZ$7,"dl", CA$7,"")&lt; IF(_uom="lbs", 175, 80), 1.25, IF(_uom="lbs",5,2.5))))), "")</f>
        <v/>
      </c>
      <c r="CB56" s="148"/>
      <c r="CC56" s="33"/>
      <c r="CD56" s="171"/>
      <c r="CE56" s="124" t="str">
        <f>IFERROR(__xludf.DUMMYFUNCTION("IF(CA56=MAX(FILTER(CA$10:CA$199,LOOKUP(ROW(BU$10:BU$199),FILTER(ROW(BU$10:BU$199),BU$10:BU$199&lt;&gt;BU$9:BU$198))=LOOKUP(ROW(BU56),FILTER(ROW(BU$10:BU$199),BU$10:BU$199&lt;&gt;BU$9:BU$198)))),CB56,)"),"")</f>
        <v/>
      </c>
      <c r="CF56" s="122"/>
      <c r="CG56" s="39"/>
      <c r="CH56" s="143" t="str">
        <f t="shared" si="21"/>
        <v/>
      </c>
      <c r="CI56" s="38" t="str">
        <f>IFERROR(__xludf.DUMMYFUNCTION("""COMPUTED_VALUE"""),"")</f>
        <v/>
      </c>
      <c r="CJ56" s="144">
        <v>46153.0</v>
      </c>
      <c r="CK56" s="167" t="str">
        <f t="shared" si="27"/>
        <v/>
      </c>
      <c r="CL56" s="168" t="str">
        <f t="shared" si="222"/>
        <v/>
      </c>
      <c r="CM56" s="169" t="str">
        <f t="shared" si="223"/>
        <v/>
      </c>
      <c r="CN56" s="172" t="str">
        <f t="shared" si="224"/>
        <v/>
      </c>
      <c r="CO56" s="171" t="str">
        <f t="array" ref="CO56">IFERROR(IF(CI56="ac"+ISNUMBER(SEARCH("'",CN56))+CM56="","", IF(ISNUMBER(SEARCH("lw",CN56)), CA56 + SUBSTITUTE(CN56,"lw+",""), MROUND(SWITCH(CI56,"sq",CM$7,"bn",CN$7,"dl",CO$7,"")*IF(CN56&gt;10, CN56/100, VLOOKUP(CN56, _rpe,SUBSTITUTE(CM56,"+","")+1,0)), IF( SWITCH(CI56,"sq",CM$7,"bn",CN$7,"dl", CO$7,"")&lt; IF(_uom="lbs", 175, 80), 1.25, IF(_uom="lbs",5,2.5))))), "")</f>
        <v/>
      </c>
      <c r="CP56" s="148"/>
      <c r="CQ56" s="33"/>
      <c r="CR56" s="171"/>
      <c r="CS56" s="124" t="str">
        <f>IFERROR(__xludf.DUMMYFUNCTION("IF(CO56=MAX(FILTER(CO$10:CO$199,LOOKUP(ROW(CI$10:CI$199),FILTER(ROW(CI$10:CI$199),CI$10:CI$199&lt;&gt;CI$9:CI$198))=LOOKUP(ROW(CI56),FILTER(ROW(CI$10:CI$199),CI$10:CI$199&lt;&gt;CI$9:CI$198)))),CP56,)"),"")</f>
        <v/>
      </c>
      <c r="CT56" s="122"/>
      <c r="CU56" s="39"/>
      <c r="CV56" s="143" t="str">
        <f t="shared" si="22"/>
        <v/>
      </c>
      <c r="CW56" s="38" t="str">
        <f>IFERROR(__xludf.DUMMYFUNCTION("""COMPUTED_VALUE"""),"")</f>
        <v/>
      </c>
      <c r="CX56" s="144">
        <v>46160.0</v>
      </c>
      <c r="CY56" s="167" t="str">
        <f t="shared" si="28"/>
        <v/>
      </c>
      <c r="CZ56" s="168" t="str">
        <f t="shared" si="225"/>
        <v/>
      </c>
      <c r="DA56" s="169" t="str">
        <f t="shared" si="226"/>
        <v/>
      </c>
      <c r="DB56" s="172" t="str">
        <f t="shared" si="227"/>
        <v/>
      </c>
      <c r="DC56" s="171" t="str">
        <f t="array" ref="DC56">IFERROR(IF(CW56="ac"+ISNUMBER(SEARCH("'",DB56))+DA56="","", IF(ISNUMBER(SEARCH("lw",DB56)), CO56 + SUBSTITUTE(DB56,"lw+",""), MROUND(SWITCH(CW56,"sq",DA$7,"bn",DB$7,"dl",DC$7,"")*IF(DB56&gt;10, DB56/100, VLOOKUP(DB56, _rpe,SUBSTITUTE(DA56,"+","")+1,0)), IF( SWITCH(CW56,"sq",DA$7,"bn",DB$7,"dl", DC$7,"")&lt; IF(_uom="lbs", 175, 80), 1.25, IF(_uom="lbs",5,2.5))))), "")</f>
        <v/>
      </c>
      <c r="DD56" s="148"/>
      <c r="DE56" s="33"/>
      <c r="DF56" s="171"/>
      <c r="DG56" s="124" t="str">
        <f>IFERROR(__xludf.DUMMYFUNCTION("IF(DC56=MAX(FILTER(DC$10:DC$199,LOOKUP(ROW(CW$10:CW$199),FILTER(ROW(CW$10:CW$199),CW$10:CW$199&lt;&gt;CW$9:CW$198))=LOOKUP(ROW(CW56),FILTER(ROW(CW$10:CW$199),CW$10:CW$199&lt;&gt;CW$9:CW$198)))),DD56,)"),"")</f>
        <v/>
      </c>
      <c r="DH56" s="122"/>
      <c r="DI56" s="39"/>
      <c r="DJ56" s="143" t="str">
        <f t="shared" si="23"/>
        <v/>
      </c>
      <c r="DK56" s="38" t="str">
        <f>IFERROR(__xludf.DUMMYFUNCTION("""COMPUTED_VALUE"""),"")</f>
        <v/>
      </c>
      <c r="DL56" s="144">
        <v>46167.0</v>
      </c>
      <c r="DM56" s="167"/>
      <c r="DN56" s="168"/>
      <c r="DO56" s="169"/>
      <c r="DP56" s="172"/>
      <c r="DQ56" s="171" t="str">
        <f t="array" ref="DQ56">IFERROR(IF(DK56="ac"+ISNUMBER(SEARCH("'",DP56))+DO56="","", IF(ISNUMBER(SEARCH("lw",DP56)), DC56 + SUBSTITUTE(DP56,"lw+",""), MROUND(SWITCH(DK56,"sq",DO$7,"bn",DP$7,"dl",DQ$7,"")*IF(DP56&gt;10, DP56/100, VLOOKUP(DP56, _rpe,SUBSTITUTE(DO56,"+","")+1,0)), IF( SWITCH(DK56,"sq",DO$7,"bn",DP$7,"dl", DQ$7,"")&lt; IF(_uom="lbs", 175, 80), 1.25, IF(_uom="lbs",5,2.5))))), "")</f>
        <v/>
      </c>
      <c r="DR56" s="148"/>
      <c r="DS56" s="33"/>
      <c r="DT56" s="171"/>
      <c r="DU56" s="124" t="str">
        <f>IFERROR(__xludf.DUMMYFUNCTION("IF(DQ56=MAX(FILTER(DQ$10:DQ$199,LOOKUP(ROW(DK$10:DK$199),FILTER(ROW(DK$10:DK$199),DK$10:DK$199&lt;&gt;DK$9:DK$198))=LOOKUP(ROW(DK56),FILTER(ROW(DK$10:DK$199),DK$10:DK$199&lt;&gt;DK$9:DK$198)))),DR56,)"),"")</f>
        <v/>
      </c>
      <c r="DV56" s="122"/>
      <c r="DW56" s="39"/>
      <c r="DX56" s="143"/>
      <c r="DY56" s="38"/>
      <c r="DZ56" s="144"/>
      <c r="EA56" s="150"/>
      <c r="EB56" s="174"/>
      <c r="EC56" s="175"/>
      <c r="ED56" s="176"/>
      <c r="EE56" s="155"/>
      <c r="EF56" s="148"/>
      <c r="EG56" s="33"/>
      <c r="EH56" s="155"/>
      <c r="EI56" s="148"/>
      <c r="EJ56" s="33"/>
      <c r="EK56" s="39"/>
      <c r="EL56" s="143"/>
      <c r="EM56" s="38"/>
      <c r="EN56" s="144"/>
      <c r="EO56" s="150"/>
      <c r="EP56" s="174"/>
      <c r="EQ56" s="175"/>
      <c r="ER56" s="176"/>
      <c r="ES56" s="155"/>
      <c r="ET56" s="148"/>
      <c r="EU56" s="33"/>
      <c r="EV56" s="155"/>
      <c r="EW56" s="148"/>
      <c r="EX56" s="33"/>
      <c r="EY56" s="39"/>
      <c r="EZ56" s="143"/>
      <c r="FA56" s="38"/>
      <c r="FB56" s="144"/>
      <c r="FC56" s="150"/>
      <c r="FD56" s="174"/>
      <c r="FE56" s="175"/>
      <c r="FF56" s="176"/>
      <c r="FG56" s="155"/>
      <c r="FH56" s="148"/>
      <c r="FI56" s="33"/>
      <c r="FJ56" s="155"/>
      <c r="FK56" s="148"/>
      <c r="FL56" s="33"/>
      <c r="FM56" s="39"/>
      <c r="FN56" s="143"/>
      <c r="FO56" s="38"/>
      <c r="FP56" s="144"/>
      <c r="FQ56" s="150"/>
      <c r="FR56" s="174"/>
      <c r="FS56" s="175"/>
      <c r="FT56" s="176"/>
      <c r="FU56" s="155"/>
      <c r="FV56" s="148"/>
      <c r="FW56" s="33"/>
      <c r="FX56" s="155"/>
      <c r="FY56" s="148"/>
      <c r="FZ56" s="33"/>
      <c r="GA56" s="39"/>
      <c r="GB56" s="143"/>
      <c r="GC56" s="38"/>
      <c r="GD56" s="144"/>
      <c r="GE56" s="150"/>
      <c r="GF56" s="174"/>
      <c r="GG56" s="175"/>
      <c r="GH56" s="176"/>
      <c r="GI56" s="155"/>
      <c r="GJ56" s="148"/>
      <c r="GK56" s="33"/>
      <c r="GL56" s="155"/>
      <c r="GM56" s="148"/>
      <c r="GN56" s="33"/>
      <c r="GO56" s="39"/>
      <c r="GP56" s="143"/>
      <c r="GQ56" s="38"/>
      <c r="GR56" s="144"/>
      <c r="GS56" s="150"/>
      <c r="GT56" s="174"/>
      <c r="GU56" s="175"/>
      <c r="GV56" s="176"/>
      <c r="GW56" s="155"/>
      <c r="GX56" s="148"/>
      <c r="GY56" s="33"/>
      <c r="GZ56" s="155"/>
      <c r="HA56" s="148"/>
      <c r="HB56" s="33"/>
      <c r="HC56" s="39"/>
      <c r="HD56" s="143"/>
      <c r="HE56" s="38"/>
      <c r="HF56" s="144"/>
      <c r="HG56" s="150"/>
      <c r="HH56" s="174"/>
      <c r="HI56" s="175"/>
      <c r="HJ56" s="176"/>
      <c r="HK56" s="155"/>
      <c r="HL56" s="148"/>
      <c r="HM56" s="33"/>
      <c r="HN56" s="155"/>
      <c r="HO56" s="148"/>
      <c r="HP56" s="33"/>
      <c r="HQ56" s="39"/>
      <c r="HR56" s="143"/>
      <c r="HS56" s="38"/>
      <c r="HT56" s="144"/>
      <c r="HU56" s="150"/>
      <c r="HV56" s="174"/>
      <c r="HW56" s="175"/>
      <c r="HX56" s="176"/>
      <c r="HY56" s="155"/>
      <c r="HZ56" s="148"/>
      <c r="IA56" s="33"/>
      <c r="IB56" s="155"/>
      <c r="IC56" s="148"/>
      <c r="ID56" s="33"/>
      <c r="IE56" s="39"/>
      <c r="IF56" s="143"/>
      <c r="IG56" s="38"/>
      <c r="IH56" s="144"/>
      <c r="II56" s="150"/>
      <c r="IJ56" s="174"/>
      <c r="IK56" s="175"/>
      <c r="IL56" s="176"/>
      <c r="IM56" s="155"/>
      <c r="IN56" s="148"/>
      <c r="IO56" s="33"/>
      <c r="IP56" s="155"/>
      <c r="IQ56" s="148"/>
      <c r="IR56" s="33"/>
      <c r="IS56" s="39"/>
      <c r="IT56" s="143"/>
      <c r="IU56" s="38"/>
      <c r="IV56" s="144"/>
      <c r="IW56" s="143" t="str">
        <f t="shared" si="24"/>
        <v>#REF!</v>
      </c>
      <c r="IX56" s="38"/>
      <c r="IY56" s="144" t="e">
        <v>#REF!</v>
      </c>
    </row>
    <row r="57" hidden="1" outlineLevel="1">
      <c r="A57" s="33"/>
      <c r="B57" s="181"/>
      <c r="C57" s="38" t="str">
        <f>IFERROR(__xludf.DUMMYFUNCTION("""COMPUTED_VALUE"""),"")</f>
        <v/>
      </c>
      <c r="D57" s="144">
        <v>46111.0</v>
      </c>
      <c r="E57" s="182"/>
      <c r="F57" s="168"/>
      <c r="G57" s="169"/>
      <c r="H57" s="170"/>
      <c r="I57" s="171" t="str">
        <f t="array" ref="I57">IFERROR(IF(C57="ac"+ISNUMBER(SEARCH("'",H57))+G57="","", MROUND(SWITCH(C57,"sq",'Personal Info'!$O$15,"bn",'Personal Info'!$S$15,"dl",'Personal Info'!$W$15,"")*IF(H57&gt;10, H57/100, VLOOKUP(H57, _rpe,SUBSTITUTE(G57,"+","")+1,0)), IF( SWITCH(C57:C210,"sq",'Personal Info'!$O$15,"bn",'Personal Info'!$S$15,"dl", 'Personal Info'!$W$15,"")&lt; IF(_uom="lbs", 175, 80), 1.25, IF(_uom="lbs",5,2.5)))),"")</f>
        <v/>
      </c>
      <c r="J57" s="148"/>
      <c r="K57" s="33"/>
      <c r="L57" s="171"/>
      <c r="M57" s="124" t="str">
        <f>IFERROR(__xludf.DUMMYFUNCTION("IF(I57=MAX(FILTER(I$10:I$199,LOOKUP(ROW(C$10:C$199),FILTER(ROW(C$10:C$199),C$10:C$199&lt;&gt;C$9:C$198))=LOOKUP(ROW(C57),FILTER(ROW(C$10:C$199),C$10:C$199&lt;&gt;C$9:C$198)))),J57,)"),"")</f>
        <v/>
      </c>
      <c r="N57" s="122"/>
      <c r="O57" s="39"/>
      <c r="P57" s="143" t="str">
        <f t="shared" si="12"/>
        <v/>
      </c>
      <c r="Q57" s="38" t="str">
        <f>IFERROR(__xludf.DUMMYFUNCTION("""COMPUTED_VALUE"""),"")</f>
        <v/>
      </c>
      <c r="R57" s="144">
        <v>46118.0</v>
      </c>
      <c r="S57" s="167" t="str">
        <f t="shared" si="13"/>
        <v/>
      </c>
      <c r="T57" s="168" t="str">
        <f t="shared" si="212"/>
        <v/>
      </c>
      <c r="U57" s="169" t="str">
        <f t="shared" si="188"/>
        <v/>
      </c>
      <c r="V57" s="172" t="str">
        <f t="shared" si="213"/>
        <v/>
      </c>
      <c r="W57" s="171" t="str">
        <f t="array" ref="W57">IFERROR(IF(Q57="ac"+ISNUMBER(SEARCH("'",V57))+U57="","", IF(ISNUMBER(SEARCH("lw",V57)), I57 + SUBSTITUTE(V57,"lw+",""), MROUND(SWITCH(Q57,"sq",U$7,"bn",V$7,"dl",W$7,"")*IF(V57&gt;10, V57/100, VLOOKUP(V57, _rpe,SUBSTITUTE(U57,"+","")+1,0)), IF( SWITCH(Q57,"sq",U$7,"bn",V$7,"dl", W$7,"")&lt; IF(_uom="lbs", 175, 80), 1.25, IF(_uom="lbs",5,2.5))))), "")</f>
        <v/>
      </c>
      <c r="X57" s="148"/>
      <c r="Y57" s="33"/>
      <c r="Z57" s="171"/>
      <c r="AA57" s="124" t="str">
        <f>IFERROR(__xludf.DUMMYFUNCTION("IF(W57=MAX(FILTER(W$10:W$199,LOOKUP(ROW(Q$10:Q$199),FILTER(ROW(Q$10:Q$199),Q$10:Q$199&lt;&gt;Q$9:Q$198))=LOOKUP(ROW(Q57),FILTER(ROW(Q$10:Q$199),Q$10:Q$199&lt;&gt;Q$9:Q$198)))),X57,)"),"")</f>
        <v/>
      </c>
      <c r="AB57" s="122"/>
      <c r="AC57" s="39"/>
      <c r="AD57" s="143" t="str">
        <f t="shared" si="14"/>
        <v/>
      </c>
      <c r="AE57" s="38" t="str">
        <f>IFERROR(__xludf.DUMMYFUNCTION("""COMPUTED_VALUE"""),"")</f>
        <v/>
      </c>
      <c r="AF57" s="144">
        <v>46125.0</v>
      </c>
      <c r="AG57" s="167" t="str">
        <f t="shared" si="54"/>
        <v/>
      </c>
      <c r="AH57" s="168" t="str">
        <f t="shared" si="151"/>
        <v/>
      </c>
      <c r="AI57" s="169" t="str">
        <f t="shared" si="190"/>
        <v/>
      </c>
      <c r="AJ57" s="172" t="str">
        <f t="shared" si="214"/>
        <v/>
      </c>
      <c r="AK57" s="171" t="str">
        <f t="array" ref="AK57">IFERROR(IF(AE57="ac"+ISNUMBER(SEARCH("'",AJ57))+AI57="","", IF(ISNUMBER(SEARCH("lw",AJ57)), W57 + SUBSTITUTE(AJ57,"lw+",""), MROUND(SWITCH(AE57,"sq",AI$7,"bn",AJ$7,"dl",AK$7,"")*IF(AJ57&gt;10, AJ57/100, VLOOKUP(AJ57, _rpe,SUBSTITUTE(AI57,"+","")+1,0)), IF( SWITCH(AE57,"sq",AI$7,"bn",AJ$7,"dl", AK$7,"")&lt; IF(_uom="lbs", 175, 80), 1.25, IF(_uom="lbs",5,2.5))))), "")</f>
        <v/>
      </c>
      <c r="AL57" s="148"/>
      <c r="AM57" s="33"/>
      <c r="AN57" s="171"/>
      <c r="AO57" s="124" t="str">
        <f>IFERROR(__xludf.DUMMYFUNCTION("IF(AK57=MAX(FILTER(AK$10:AK$199,LOOKUP(ROW(AE$10:AE$199),FILTER(ROW(AE$10:AE$199),AE$10:AE$199&lt;&gt;AE$9:AE$198))=LOOKUP(ROW(AE57),FILTER(ROW(AE$10:AE$199),AE$10:AE$199&lt;&gt;AE$9:AE$198)))),AL57,)"),"")</f>
        <v/>
      </c>
      <c r="AP57" s="122"/>
      <c r="AQ57" s="39"/>
      <c r="AR57" s="143" t="str">
        <f t="shared" si="16"/>
        <v/>
      </c>
      <c r="AS57" s="38" t="str">
        <f>IFERROR(__xludf.DUMMYFUNCTION("""COMPUTED_VALUE"""),"")</f>
        <v/>
      </c>
      <c r="AT57" s="144">
        <v>46132.0</v>
      </c>
      <c r="AU57" s="167" t="str">
        <f t="shared" si="26"/>
        <v/>
      </c>
      <c r="AV57" s="168" t="str">
        <f t="shared" si="152"/>
        <v/>
      </c>
      <c r="AW57" s="169" t="str">
        <f t="shared" si="215"/>
        <v/>
      </c>
      <c r="AX57" s="172" t="str">
        <f t="shared" si="216"/>
        <v/>
      </c>
      <c r="AY57" s="171" t="str">
        <f t="array" ref="AY57">IFERROR(IF(AS57="ac"+ISNUMBER(SEARCH("'",AX57))+AW57="","", IF(ISNUMBER(SEARCH("lw",AX57)), AK57 + SUBSTITUTE(AX57,"lw+",""), MROUND(SWITCH(AS57,"sq",AW$7,"bn",AX$7,"dl",AY$7,"")*IF(AX57&gt;10, AX57/100, VLOOKUP(AX57, _rpe,SUBSTITUTE(AW57,"+","")+1,0)), IF( SWITCH(AS57,"sq",AW$7,"bn",AX$7,"dl", AY$7,"")&lt; IF(_uom="lbs", 175, 80), 1.25, IF(_uom="lbs",5,2.5))))), "")</f>
        <v/>
      </c>
      <c r="AZ57" s="148"/>
      <c r="BA57" s="33"/>
      <c r="BB57" s="171"/>
      <c r="BC57" s="124" t="str">
        <f>IFERROR(__xludf.DUMMYFUNCTION("IF(AY57=MAX(FILTER(AY$10:AY$199,LOOKUP(ROW(AS$10:AS$199),FILTER(ROW(AS$10:AS$199),AS$10:AS$199&lt;&gt;AS$9:AS$198))=LOOKUP(ROW(AS57),FILTER(ROW(AS$10:AS$199),AS$10:AS$199&lt;&gt;AS$9:AS$198)))),AZ57,)"),"")</f>
        <v/>
      </c>
      <c r="BD57" s="122"/>
      <c r="BE57" s="39"/>
      <c r="BF57" s="143" t="str">
        <f t="shared" si="17"/>
        <v/>
      </c>
      <c r="BG57" s="38" t="str">
        <f>IFERROR(__xludf.DUMMYFUNCTION("""COMPUTED_VALUE"""),"")</f>
        <v/>
      </c>
      <c r="BH57" s="144">
        <v>46139.0</v>
      </c>
      <c r="BI57" s="167" t="str">
        <f t="shared" si="18"/>
        <v/>
      </c>
      <c r="BJ57" s="168" t="str">
        <f t="shared" si="217"/>
        <v/>
      </c>
      <c r="BK57" s="169" t="str">
        <f t="shared" si="218"/>
        <v/>
      </c>
      <c r="BL57" s="172" t="str">
        <f t="shared" si="219"/>
        <v/>
      </c>
      <c r="BM57" s="171" t="str">
        <f t="array" ref="BM57">IFERROR(IF(BG57="ac"+ISNUMBER(SEARCH("'",BL57))+BK57="","", IF(ISNUMBER(SEARCH("lw",BL57)), AY57 + SUBSTITUTE(BL57,"lw+",""), MROUND(SWITCH(BG57,"sq",BK$7,"bn",BL$7,"dl",BM$7,"")*IF(BL57&gt;10, BL57/100, VLOOKUP(BL57, _rpe,SUBSTITUTE(BK57,"+","")+1,0)), IF( SWITCH(BG57,"sq",BK$7,"bn",BL$7,"dl", BM$7,"")&lt; IF(_uom="lbs", 175, 80), 1.25, IF(_uom="lbs",5,2.5))))), "")</f>
        <v/>
      </c>
      <c r="BN57" s="148"/>
      <c r="BO57" s="33"/>
      <c r="BP57" s="171"/>
      <c r="BQ57" s="124" t="str">
        <f>IFERROR(__xludf.DUMMYFUNCTION("IF(BM57=MAX(FILTER(BM$10:BM$199,LOOKUP(ROW(BG$10:BG$199),FILTER(ROW(BG$10:BG$199),BG$10:BG$199&lt;&gt;BG$9:BG$198))=LOOKUP(ROW(BG57),FILTER(ROW(BG$10:BG$199),BG$10:BG$199&lt;&gt;BG$9:BG$198)))),BN57,)"),"")</f>
        <v/>
      </c>
      <c r="BR57" s="122"/>
      <c r="BS57" s="39"/>
      <c r="BT57" s="143" t="str">
        <f t="shared" si="19"/>
        <v/>
      </c>
      <c r="BU57" s="38" t="str">
        <f>IFERROR(__xludf.DUMMYFUNCTION("""COMPUTED_VALUE"""),"")</f>
        <v/>
      </c>
      <c r="BV57" s="144">
        <v>46146.0</v>
      </c>
      <c r="BW57" s="167" t="str">
        <f t="shared" si="20"/>
        <v/>
      </c>
      <c r="BX57" s="168" t="str">
        <f t="shared" si="220"/>
        <v/>
      </c>
      <c r="BY57" s="169" t="str">
        <f t="shared" si="197"/>
        <v/>
      </c>
      <c r="BZ57" s="172" t="str">
        <f t="shared" si="221"/>
        <v/>
      </c>
      <c r="CA57" s="171" t="str">
        <f t="array" ref="CA57">IFERROR(IF(BU57="ac"+ISNUMBER(SEARCH("'",BZ57))+BY57="","", IF(ISNUMBER(SEARCH("lw",BZ57)), BM57 + SUBSTITUTE(BZ57,"lw+",""), MROUND(SWITCH(BU57,"sq",BY$7,"bn",BZ$7,"dl",CA$7,"")*IF(BZ57&gt;10, BZ57/100, VLOOKUP(BZ57, _rpe,SUBSTITUTE(BY57,"+","")+1,0)), IF( SWITCH(BU57,"sq",BY$7,"bn",BZ$7,"dl", CA$7,"")&lt; IF(_uom="lbs", 175, 80), 1.25, IF(_uom="lbs",5,2.5))))), "")</f>
        <v/>
      </c>
      <c r="CB57" s="148"/>
      <c r="CC57" s="33"/>
      <c r="CD57" s="171"/>
      <c r="CE57" s="124" t="str">
        <f>IFERROR(__xludf.DUMMYFUNCTION("IF(CA57=MAX(FILTER(CA$10:CA$199,LOOKUP(ROW(BU$10:BU$199),FILTER(ROW(BU$10:BU$199),BU$10:BU$199&lt;&gt;BU$9:BU$198))=LOOKUP(ROW(BU57),FILTER(ROW(BU$10:BU$199),BU$10:BU$199&lt;&gt;BU$9:BU$198)))),CB57,)"),"")</f>
        <v/>
      </c>
      <c r="CF57" s="122"/>
      <c r="CG57" s="39"/>
      <c r="CH57" s="143" t="str">
        <f t="shared" si="21"/>
        <v/>
      </c>
      <c r="CI57" s="38" t="str">
        <f>IFERROR(__xludf.DUMMYFUNCTION("""COMPUTED_VALUE"""),"")</f>
        <v/>
      </c>
      <c r="CJ57" s="144">
        <v>46153.0</v>
      </c>
      <c r="CK57" s="167" t="str">
        <f t="shared" si="27"/>
        <v/>
      </c>
      <c r="CL57" s="168" t="str">
        <f t="shared" si="222"/>
        <v/>
      </c>
      <c r="CM57" s="169" t="str">
        <f t="shared" si="223"/>
        <v/>
      </c>
      <c r="CN57" s="172" t="str">
        <f t="shared" si="224"/>
        <v/>
      </c>
      <c r="CO57" s="171" t="str">
        <f t="array" ref="CO57">IFERROR(IF(CI57="ac"+ISNUMBER(SEARCH("'",CN57))+CM57="","", IF(ISNUMBER(SEARCH("lw",CN57)), CA57 + SUBSTITUTE(CN57,"lw+",""), MROUND(SWITCH(CI57,"sq",CM$7,"bn",CN$7,"dl",CO$7,"")*IF(CN57&gt;10, CN57/100, VLOOKUP(CN57, _rpe,SUBSTITUTE(CM57,"+","")+1,0)), IF( SWITCH(CI57,"sq",CM$7,"bn",CN$7,"dl", CO$7,"")&lt; IF(_uom="lbs", 175, 80), 1.25, IF(_uom="lbs",5,2.5))))), "")</f>
        <v/>
      </c>
      <c r="CP57" s="148"/>
      <c r="CQ57" s="33"/>
      <c r="CR57" s="171"/>
      <c r="CS57" s="124" t="str">
        <f>IFERROR(__xludf.DUMMYFUNCTION("IF(CO57=MAX(FILTER(CO$10:CO$199,LOOKUP(ROW(CI$10:CI$199),FILTER(ROW(CI$10:CI$199),CI$10:CI$199&lt;&gt;CI$9:CI$198))=LOOKUP(ROW(CI57),FILTER(ROW(CI$10:CI$199),CI$10:CI$199&lt;&gt;CI$9:CI$198)))),CP57,)"),"")</f>
        <v/>
      </c>
      <c r="CT57" s="122"/>
      <c r="CU57" s="39"/>
      <c r="CV57" s="143" t="str">
        <f t="shared" si="22"/>
        <v/>
      </c>
      <c r="CW57" s="38" t="str">
        <f>IFERROR(__xludf.DUMMYFUNCTION("""COMPUTED_VALUE"""),"")</f>
        <v/>
      </c>
      <c r="CX57" s="144">
        <v>46160.0</v>
      </c>
      <c r="CY57" s="167" t="str">
        <f t="shared" si="28"/>
        <v/>
      </c>
      <c r="CZ57" s="168" t="str">
        <f t="shared" si="225"/>
        <v/>
      </c>
      <c r="DA57" s="169" t="str">
        <f t="shared" si="226"/>
        <v/>
      </c>
      <c r="DB57" s="172" t="str">
        <f t="shared" si="227"/>
        <v/>
      </c>
      <c r="DC57" s="171" t="str">
        <f t="array" ref="DC57">IFERROR(IF(CW57="ac"+ISNUMBER(SEARCH("'",DB57))+DA57="","", IF(ISNUMBER(SEARCH("lw",DB57)), CO57 + SUBSTITUTE(DB57,"lw+",""), MROUND(SWITCH(CW57,"sq",DA$7,"bn",DB$7,"dl",DC$7,"")*IF(DB57&gt;10, DB57/100, VLOOKUP(DB57, _rpe,SUBSTITUTE(DA57,"+","")+1,0)), IF( SWITCH(CW57,"sq",DA$7,"bn",DB$7,"dl", DC$7,"")&lt; IF(_uom="lbs", 175, 80), 1.25, IF(_uom="lbs",5,2.5))))), "")</f>
        <v/>
      </c>
      <c r="DD57" s="148"/>
      <c r="DE57" s="33"/>
      <c r="DF57" s="171"/>
      <c r="DG57" s="124" t="str">
        <f>IFERROR(__xludf.DUMMYFUNCTION("IF(DC57=MAX(FILTER(DC$10:DC$199,LOOKUP(ROW(CW$10:CW$199),FILTER(ROW(CW$10:CW$199),CW$10:CW$199&lt;&gt;CW$9:CW$198))=LOOKUP(ROW(CW57),FILTER(ROW(CW$10:CW$199),CW$10:CW$199&lt;&gt;CW$9:CW$198)))),DD57,)"),"")</f>
        <v/>
      </c>
      <c r="DH57" s="122"/>
      <c r="DI57" s="39"/>
      <c r="DJ57" s="143" t="str">
        <f t="shared" si="23"/>
        <v/>
      </c>
      <c r="DK57" s="38" t="str">
        <f>IFERROR(__xludf.DUMMYFUNCTION("""COMPUTED_VALUE"""),"")</f>
        <v/>
      </c>
      <c r="DL57" s="144">
        <v>46167.0</v>
      </c>
      <c r="DM57" s="167"/>
      <c r="DN57" s="168"/>
      <c r="DO57" s="169"/>
      <c r="DP57" s="172"/>
      <c r="DQ57" s="171" t="str">
        <f t="array" ref="DQ57">IFERROR(IF(DK57="ac"+ISNUMBER(SEARCH("'",DP57))+DO57="","", IF(ISNUMBER(SEARCH("lw",DP57)), DC57 + SUBSTITUTE(DP57,"lw+",""), MROUND(SWITCH(DK57,"sq",DO$7,"bn",DP$7,"dl",DQ$7,"")*IF(DP57&gt;10, DP57/100, VLOOKUP(DP57, _rpe,SUBSTITUTE(DO57,"+","")+1,0)), IF( SWITCH(DK57,"sq",DO$7,"bn",DP$7,"dl", DQ$7,"")&lt; IF(_uom="lbs", 175, 80), 1.25, IF(_uom="lbs",5,2.5))))), "")</f>
        <v/>
      </c>
      <c r="DR57" s="148"/>
      <c r="DS57" s="33"/>
      <c r="DT57" s="171"/>
      <c r="DU57" s="124" t="str">
        <f>IFERROR(__xludf.DUMMYFUNCTION("IF(DQ57=MAX(FILTER(DQ$10:DQ$199,LOOKUP(ROW(DK$10:DK$199),FILTER(ROW(DK$10:DK$199),DK$10:DK$199&lt;&gt;DK$9:DK$198))=LOOKUP(ROW(DK57),FILTER(ROW(DK$10:DK$199),DK$10:DK$199&lt;&gt;DK$9:DK$198)))),DR57,)"),"")</f>
        <v/>
      </c>
      <c r="DV57" s="122"/>
      <c r="DW57" s="39"/>
      <c r="DX57" s="143"/>
      <c r="DY57" s="38"/>
      <c r="DZ57" s="144"/>
      <c r="EA57" s="150"/>
      <c r="EB57" s="174"/>
      <c r="EC57" s="175"/>
      <c r="ED57" s="176"/>
      <c r="EE57" s="155"/>
      <c r="EF57" s="148"/>
      <c r="EG57" s="33"/>
      <c r="EH57" s="155"/>
      <c r="EI57" s="148"/>
      <c r="EJ57" s="33"/>
      <c r="EK57" s="39"/>
      <c r="EL57" s="143"/>
      <c r="EM57" s="38"/>
      <c r="EN57" s="144"/>
      <c r="EO57" s="150"/>
      <c r="EP57" s="174"/>
      <c r="EQ57" s="175"/>
      <c r="ER57" s="176"/>
      <c r="ES57" s="155"/>
      <c r="ET57" s="148"/>
      <c r="EU57" s="33"/>
      <c r="EV57" s="155"/>
      <c r="EW57" s="148"/>
      <c r="EX57" s="33"/>
      <c r="EY57" s="39"/>
      <c r="EZ57" s="143"/>
      <c r="FA57" s="38"/>
      <c r="FB57" s="144"/>
      <c r="FC57" s="150"/>
      <c r="FD57" s="174"/>
      <c r="FE57" s="175"/>
      <c r="FF57" s="176"/>
      <c r="FG57" s="155"/>
      <c r="FH57" s="148"/>
      <c r="FI57" s="33"/>
      <c r="FJ57" s="155"/>
      <c r="FK57" s="148"/>
      <c r="FL57" s="33"/>
      <c r="FM57" s="39"/>
      <c r="FN57" s="143"/>
      <c r="FO57" s="38"/>
      <c r="FP57" s="144"/>
      <c r="FQ57" s="150"/>
      <c r="FR57" s="174"/>
      <c r="FS57" s="175"/>
      <c r="FT57" s="176"/>
      <c r="FU57" s="155"/>
      <c r="FV57" s="148"/>
      <c r="FW57" s="33"/>
      <c r="FX57" s="155"/>
      <c r="FY57" s="148"/>
      <c r="FZ57" s="33"/>
      <c r="GA57" s="39"/>
      <c r="GB57" s="143"/>
      <c r="GC57" s="38"/>
      <c r="GD57" s="144"/>
      <c r="GE57" s="150"/>
      <c r="GF57" s="174"/>
      <c r="GG57" s="175"/>
      <c r="GH57" s="176"/>
      <c r="GI57" s="155"/>
      <c r="GJ57" s="148"/>
      <c r="GK57" s="33"/>
      <c r="GL57" s="155"/>
      <c r="GM57" s="148"/>
      <c r="GN57" s="33"/>
      <c r="GO57" s="39"/>
      <c r="GP57" s="143"/>
      <c r="GQ57" s="38"/>
      <c r="GR57" s="144"/>
      <c r="GS57" s="150"/>
      <c r="GT57" s="174"/>
      <c r="GU57" s="175"/>
      <c r="GV57" s="176"/>
      <c r="GW57" s="155"/>
      <c r="GX57" s="148"/>
      <c r="GY57" s="33"/>
      <c r="GZ57" s="155"/>
      <c r="HA57" s="148"/>
      <c r="HB57" s="33"/>
      <c r="HC57" s="39"/>
      <c r="HD57" s="143"/>
      <c r="HE57" s="38"/>
      <c r="HF57" s="144"/>
      <c r="HG57" s="150"/>
      <c r="HH57" s="174"/>
      <c r="HI57" s="175"/>
      <c r="HJ57" s="176"/>
      <c r="HK57" s="155"/>
      <c r="HL57" s="148"/>
      <c r="HM57" s="33"/>
      <c r="HN57" s="155"/>
      <c r="HO57" s="148"/>
      <c r="HP57" s="33"/>
      <c r="HQ57" s="39"/>
      <c r="HR57" s="143"/>
      <c r="HS57" s="38"/>
      <c r="HT57" s="144"/>
      <c r="HU57" s="150"/>
      <c r="HV57" s="174"/>
      <c r="HW57" s="175"/>
      <c r="HX57" s="176"/>
      <c r="HY57" s="155"/>
      <c r="HZ57" s="148"/>
      <c r="IA57" s="33"/>
      <c r="IB57" s="155"/>
      <c r="IC57" s="148"/>
      <c r="ID57" s="33"/>
      <c r="IE57" s="39"/>
      <c r="IF57" s="143"/>
      <c r="IG57" s="38"/>
      <c r="IH57" s="144"/>
      <c r="II57" s="150"/>
      <c r="IJ57" s="174"/>
      <c r="IK57" s="175"/>
      <c r="IL57" s="176"/>
      <c r="IM57" s="155"/>
      <c r="IN57" s="148"/>
      <c r="IO57" s="33"/>
      <c r="IP57" s="155"/>
      <c r="IQ57" s="148"/>
      <c r="IR57" s="33"/>
      <c r="IS57" s="39"/>
      <c r="IT57" s="143"/>
      <c r="IU57" s="38"/>
      <c r="IV57" s="144"/>
      <c r="IW57" s="143" t="str">
        <f t="shared" si="24"/>
        <v>#REF!</v>
      </c>
      <c r="IX57" s="38"/>
      <c r="IY57" s="144" t="e">
        <v>#REF!</v>
      </c>
    </row>
    <row r="58" collapsed="1">
      <c r="A58" s="33"/>
      <c r="B58" s="143" t="s">
        <v>334</v>
      </c>
      <c r="C58" s="38" t="str">
        <f>IFERROR(__xludf.DUMMYFUNCTION("""COMPUTED_VALUE"""),"bn")</f>
        <v>bn</v>
      </c>
      <c r="D58" s="144">
        <v>46111.0</v>
      </c>
      <c r="E58" s="167" t="s">
        <v>187</v>
      </c>
      <c r="F58" s="168">
        <v>3.0</v>
      </c>
      <c r="G58" s="179" t="s">
        <v>317</v>
      </c>
      <c r="H58" s="173" t="s">
        <v>312</v>
      </c>
      <c r="I58" s="171" t="str">
        <f t="array" ref="I58">IFERROR(IF(C58="ac"+ISNUMBER(SEARCH("'",H58))+G58="","", MROUND(SWITCH(C58,"sq",'Personal Info'!$O$15,"bn",'Personal Info'!$S$15,"dl",'Personal Info'!$W$15,"")*IF(H58&gt;10, H58/100, VLOOKUP(H58, _rpe,SUBSTITUTE(G58,"+","")+1,0)), IF( SWITCH(C58:C210,"sq",'Personal Info'!$O$15,"bn",'Personal Info'!$S$15,"dl", 'Personal Info'!$W$15,"")&lt; IF(_uom="lbs", 175, 80), 1.25, IF(_uom="lbs",5,2.5)))),"")</f>
        <v/>
      </c>
      <c r="J58" s="148"/>
      <c r="K58" s="33"/>
      <c r="L58" s="171"/>
      <c r="M58" s="124" t="str">
        <f>IFERROR(__xludf.DUMMYFUNCTION("IF(I58=MAX(FILTER(I$10:I$199,LOOKUP(ROW(C$10:C$199),FILTER(ROW(C$10:C$199),C$10:C$199&lt;&gt;C$9:C$198))=LOOKUP(ROW(C58),FILTER(ROW(C$10:C$199),C$10:C$199&lt;&gt;C$9:C$198)))),J58,)"),"")</f>
        <v/>
      </c>
      <c r="N58" s="122"/>
      <c r="O58" s="39"/>
      <c r="P58" s="143" t="str">
        <f t="shared" si="12"/>
        <v>chest acc</v>
      </c>
      <c r="Q58" s="38" t="str">
        <f>IFERROR(__xludf.DUMMYFUNCTION("""COMPUTED_VALUE"""),"bn")</f>
        <v>bn</v>
      </c>
      <c r="R58" s="144">
        <v>46118.0</v>
      </c>
      <c r="S58" s="167" t="str">
        <f t="shared" si="13"/>
        <v>SELECT</v>
      </c>
      <c r="T58" s="168">
        <v>3.0</v>
      </c>
      <c r="U58" s="179" t="s">
        <v>317</v>
      </c>
      <c r="V58" s="173" t="s">
        <v>312</v>
      </c>
      <c r="W58" s="171" t="str">
        <f t="array" ref="W58">IFERROR(IF(Q58="ac"+ISNUMBER(SEARCH("'",V58))+U58="","", IF(ISNUMBER(SEARCH("lw",V58)), I58 + SUBSTITUTE(V58,"lw+",""), MROUND(SWITCH(Q58,"sq",U$7,"bn",V$7,"dl",W$7,"")*IF(V58&gt;10, V58/100, VLOOKUP(V58, _rpe,SUBSTITUTE(U58,"+","")+1,0)), IF( SWITCH(Q58,"sq",U$7,"bn",V$7,"dl", W$7,"")&lt; IF(_uom="lbs", 175, 80), 1.25, IF(_uom="lbs",5,2.5))))), "")</f>
        <v/>
      </c>
      <c r="X58" s="148"/>
      <c r="Y58" s="33"/>
      <c r="Z58" s="171"/>
      <c r="AA58" s="124" t="str">
        <f>IFERROR(__xludf.DUMMYFUNCTION("IF(W58=MAX(FILTER(W$10:W$199,LOOKUP(ROW(Q$10:Q$199),FILTER(ROW(Q$10:Q$199),Q$10:Q$199&lt;&gt;Q$9:Q$198))=LOOKUP(ROW(Q58),FILTER(ROW(Q$10:Q$199),Q$10:Q$199&lt;&gt;Q$9:Q$198)))),X58,)"),"")</f>
        <v/>
      </c>
      <c r="AB58" s="122"/>
      <c r="AC58" s="39"/>
      <c r="AD58" s="143" t="str">
        <f t="shared" si="14"/>
        <v>chest acc</v>
      </c>
      <c r="AE58" s="38" t="str">
        <f>IFERROR(__xludf.DUMMYFUNCTION("""COMPUTED_VALUE"""),"bn")</f>
        <v>bn</v>
      </c>
      <c r="AF58" s="144">
        <v>46125.0</v>
      </c>
      <c r="AG58" s="167" t="str">
        <f t="shared" si="54"/>
        <v>SELECT</v>
      </c>
      <c r="AH58" s="168">
        <f t="shared" si="151"/>
        <v>3</v>
      </c>
      <c r="AI58" s="179" t="s">
        <v>317</v>
      </c>
      <c r="AJ58" s="173" t="s">
        <v>313</v>
      </c>
      <c r="AK58" s="171" t="str">
        <f t="array" ref="AK58">IFERROR(IF(AE58="ac"+ISNUMBER(SEARCH("'",AJ58))+AI58="","", IF(ISNUMBER(SEARCH("lw",AJ58)), W58 + SUBSTITUTE(AJ58,"lw+",""), MROUND(SWITCH(AE58,"sq",AI$7,"bn",AJ$7,"dl",AK$7,"")*IF(AJ58&gt;10, AJ58/100, VLOOKUP(AJ58, _rpe,SUBSTITUTE(AI58,"+","")+1,0)), IF( SWITCH(AE58,"sq",AI$7,"bn",AJ$7,"dl", AK$7,"")&lt; IF(_uom="lbs", 175, 80), 1.25, IF(_uom="lbs",5,2.5))))), "")</f>
        <v/>
      </c>
      <c r="AL58" s="148"/>
      <c r="AM58" s="33"/>
      <c r="AN58" s="171"/>
      <c r="AO58" s="124" t="str">
        <f>IFERROR(__xludf.DUMMYFUNCTION("IF(AK58=MAX(FILTER(AK$10:AK$199,LOOKUP(ROW(AE$10:AE$199),FILTER(ROW(AE$10:AE$199),AE$10:AE$199&lt;&gt;AE$9:AE$198))=LOOKUP(ROW(AE58),FILTER(ROW(AE$10:AE$199),AE$10:AE$199&lt;&gt;AE$9:AE$198)))),AL58,)"),"")</f>
        <v/>
      </c>
      <c r="AP58" s="122"/>
      <c r="AQ58" s="39"/>
      <c r="AR58" s="143" t="str">
        <f t="shared" si="16"/>
        <v>chest acc</v>
      </c>
      <c r="AS58" s="38" t="str">
        <f>IFERROR(__xludf.DUMMYFUNCTION("""COMPUTED_VALUE"""),"bn")</f>
        <v>bn</v>
      </c>
      <c r="AT58" s="144">
        <v>46132.0</v>
      </c>
      <c r="AU58" s="167" t="str">
        <f t="shared" si="26"/>
        <v>SELECT</v>
      </c>
      <c r="AV58" s="168">
        <f t="shared" si="152"/>
        <v>3</v>
      </c>
      <c r="AW58" s="179" t="s">
        <v>317</v>
      </c>
      <c r="AX58" s="172" t="str">
        <f t="shared" si="216"/>
        <v>@8</v>
      </c>
      <c r="AY58" s="171" t="str">
        <f t="array" ref="AY58">IFERROR(IF(AS58="ac"+ISNUMBER(SEARCH("'",AX58))+AW58="","", IF(ISNUMBER(SEARCH("lw",AX58)), AK58 + SUBSTITUTE(AX58,"lw+",""), MROUND(SWITCH(AS58,"sq",AW$7,"bn",AX$7,"dl",AY$7,"")*IF(AX58&gt;10, AX58/100, VLOOKUP(AX58, _rpe,SUBSTITUTE(AW58,"+","")+1,0)), IF( SWITCH(AS58,"sq",AW$7,"bn",AX$7,"dl", AY$7,"")&lt; IF(_uom="lbs", 175, 80), 1.25, IF(_uom="lbs",5,2.5))))), "")</f>
        <v/>
      </c>
      <c r="AZ58" s="148"/>
      <c r="BA58" s="33"/>
      <c r="BB58" s="171"/>
      <c r="BC58" s="124" t="str">
        <f>IFERROR(__xludf.DUMMYFUNCTION("IF(AY58=MAX(FILTER(AY$10:AY$199,LOOKUP(ROW(AS$10:AS$199),FILTER(ROW(AS$10:AS$199),AS$10:AS$199&lt;&gt;AS$9:AS$198))=LOOKUP(ROW(AS58),FILTER(ROW(AS$10:AS$199),AS$10:AS$199&lt;&gt;AS$9:AS$198)))),AZ58,)"),"")</f>
        <v/>
      </c>
      <c r="BD58" s="122"/>
      <c r="BE58" s="39"/>
      <c r="BF58" s="143" t="str">
        <f t="shared" si="17"/>
        <v>chest acc</v>
      </c>
      <c r="BG58" s="38" t="str">
        <f>IFERROR(__xludf.DUMMYFUNCTION("""COMPUTED_VALUE"""),"bn")</f>
        <v>bn</v>
      </c>
      <c r="BH58" s="144">
        <v>46139.0</v>
      </c>
      <c r="BI58" s="167" t="str">
        <f t="shared" si="18"/>
        <v>SELECT</v>
      </c>
      <c r="BJ58" s="168">
        <v>3.0</v>
      </c>
      <c r="BK58" s="179" t="s">
        <v>335</v>
      </c>
      <c r="BL58" s="173" t="s">
        <v>312</v>
      </c>
      <c r="BM58" s="171" t="str">
        <f t="array" ref="BM58">IFERROR(IF(BG58="ac"+ISNUMBER(SEARCH("'",BL58))+BK58="","", IF(ISNUMBER(SEARCH("lw",BL58)), AY58 + SUBSTITUTE(BL58,"lw+",""), MROUND(SWITCH(BG58,"sq",BK$7,"bn",BL$7,"dl",BM$7,"")*IF(BL58&gt;10, BL58/100, VLOOKUP(BL58, _rpe,SUBSTITUTE(BK58,"+","")+1,0)), IF( SWITCH(BG58,"sq",BK$7,"bn",BL$7,"dl", BM$7,"")&lt; IF(_uom="lbs", 175, 80), 1.25, IF(_uom="lbs",5,2.5))))), "")</f>
        <v/>
      </c>
      <c r="BN58" s="148"/>
      <c r="BO58" s="33"/>
      <c r="BP58" s="171"/>
      <c r="BQ58" s="124" t="str">
        <f>IFERROR(__xludf.DUMMYFUNCTION("IF(BM58=MAX(FILTER(BM$10:BM$199,LOOKUP(ROW(BG$10:BG$199),FILTER(ROW(BG$10:BG$199),BG$10:BG$199&lt;&gt;BG$9:BG$198))=LOOKUP(ROW(BG58),FILTER(ROW(BG$10:BG$199),BG$10:BG$199&lt;&gt;BG$9:BG$198)))),BN58,)"),"")</f>
        <v/>
      </c>
      <c r="BR58" s="122"/>
      <c r="BS58" s="39"/>
      <c r="BT58" s="143" t="str">
        <f t="shared" si="19"/>
        <v>chest acc</v>
      </c>
      <c r="BU58" s="38" t="str">
        <f>IFERROR(__xludf.DUMMYFUNCTION("""COMPUTED_VALUE"""),"bn")</f>
        <v>bn</v>
      </c>
      <c r="BV58" s="144">
        <v>46146.0</v>
      </c>
      <c r="BW58" s="167" t="str">
        <f t="shared" si="20"/>
        <v>SELECT</v>
      </c>
      <c r="BX58" s="168">
        <v>3.0</v>
      </c>
      <c r="BY58" s="179" t="s">
        <v>335</v>
      </c>
      <c r="BZ58" s="173" t="s">
        <v>312</v>
      </c>
      <c r="CA58" s="171" t="str">
        <f t="array" ref="CA58">IFERROR(IF(BU58="ac"+ISNUMBER(SEARCH("'",BZ58))+BY58="","", IF(ISNUMBER(SEARCH("lw",BZ58)), BM58 + SUBSTITUTE(BZ58,"lw+",""), MROUND(SWITCH(BU58,"sq",BY$7,"bn",BZ$7,"dl",CA$7,"")*IF(BZ58&gt;10, BZ58/100, VLOOKUP(BZ58, _rpe,SUBSTITUTE(BY58,"+","")+1,0)), IF( SWITCH(BU58,"sq",BY$7,"bn",BZ$7,"dl", CA$7,"")&lt; IF(_uom="lbs", 175, 80), 1.25, IF(_uom="lbs",5,2.5))))), "")</f>
        <v/>
      </c>
      <c r="CB58" s="148"/>
      <c r="CC58" s="33"/>
      <c r="CD58" s="171"/>
      <c r="CE58" s="124" t="str">
        <f>IFERROR(__xludf.DUMMYFUNCTION("IF(CA58=MAX(FILTER(CA$10:CA$199,LOOKUP(ROW(BU$10:BU$199),FILTER(ROW(BU$10:BU$199),BU$10:BU$199&lt;&gt;BU$9:BU$198))=LOOKUP(ROW(BU58),FILTER(ROW(BU$10:BU$199),BU$10:BU$199&lt;&gt;BU$9:BU$198)))),CB58,)"),"")</f>
        <v/>
      </c>
      <c r="CF58" s="122"/>
      <c r="CG58" s="39"/>
      <c r="CH58" s="143" t="str">
        <f t="shared" si="21"/>
        <v>chest acc</v>
      </c>
      <c r="CI58" s="38" t="str">
        <f>IFERROR(__xludf.DUMMYFUNCTION("""COMPUTED_VALUE"""),"bn")</f>
        <v>bn</v>
      </c>
      <c r="CJ58" s="144">
        <v>46153.0</v>
      </c>
      <c r="CK58" s="167" t="str">
        <f t="shared" si="27"/>
        <v>SELECT</v>
      </c>
      <c r="CL58" s="168">
        <v>3.0</v>
      </c>
      <c r="CM58" s="179" t="s">
        <v>325</v>
      </c>
      <c r="CN58" s="173" t="s">
        <v>312</v>
      </c>
      <c r="CO58" s="171" t="str">
        <f t="array" ref="CO58">IFERROR(IF(CI58="ac"+ISNUMBER(SEARCH("'",CN58))+CM58="","", IF(ISNUMBER(SEARCH("lw",CN58)), CA58 + SUBSTITUTE(CN58,"lw+",""), MROUND(SWITCH(CI58,"sq",CM$7,"bn",CN$7,"dl",CO$7,"")*IF(CN58&gt;10, CN58/100, VLOOKUP(CN58, _rpe,SUBSTITUTE(CM58,"+","")+1,0)), IF( SWITCH(CI58,"sq",CM$7,"bn",CN$7,"dl", CO$7,"")&lt; IF(_uom="lbs", 175, 80), 1.25, IF(_uom="lbs",5,2.5))))), "")</f>
        <v/>
      </c>
      <c r="CP58" s="148"/>
      <c r="CQ58" s="33"/>
      <c r="CR58" s="171"/>
      <c r="CS58" s="124" t="str">
        <f>IFERROR(__xludf.DUMMYFUNCTION("IF(CO58=MAX(FILTER(CO$10:CO$199,LOOKUP(ROW(CI$10:CI$199),FILTER(ROW(CI$10:CI$199),CI$10:CI$199&lt;&gt;CI$9:CI$198))=LOOKUP(ROW(CI58),FILTER(ROW(CI$10:CI$199),CI$10:CI$199&lt;&gt;CI$9:CI$198)))),CP58,)"),"")</f>
        <v/>
      </c>
      <c r="CT58" s="122"/>
      <c r="CU58" s="39"/>
      <c r="CV58" s="143" t="str">
        <f t="shared" si="22"/>
        <v>chest acc</v>
      </c>
      <c r="CW58" s="38" t="str">
        <f>IFERROR(__xludf.DUMMYFUNCTION("""COMPUTED_VALUE"""),"bn")</f>
        <v>bn</v>
      </c>
      <c r="CX58" s="144">
        <v>46160.0</v>
      </c>
      <c r="CY58" s="167" t="str">
        <f t="shared" si="28"/>
        <v>SELECT</v>
      </c>
      <c r="CZ58" s="168">
        <v>3.0</v>
      </c>
      <c r="DA58" s="179" t="s">
        <v>325</v>
      </c>
      <c r="DB58" s="172" t="str">
        <f t="shared" si="227"/>
        <v>@7</v>
      </c>
      <c r="DC58" s="171" t="str">
        <f t="array" ref="DC58">IFERROR(IF(CW58="ac"+ISNUMBER(SEARCH("'",DB58))+DA58="","", IF(ISNUMBER(SEARCH("lw",DB58)), CO58 + SUBSTITUTE(DB58,"lw+",""), MROUND(SWITCH(CW58,"sq",DA$7,"bn",DB$7,"dl",DC$7,"")*IF(DB58&gt;10, DB58/100, VLOOKUP(DB58, _rpe,SUBSTITUTE(DA58,"+","")+1,0)), IF( SWITCH(CW58,"sq",DA$7,"bn",DB$7,"dl", DC$7,"")&lt; IF(_uom="lbs", 175, 80), 1.25, IF(_uom="lbs",5,2.5))))), "")</f>
        <v/>
      </c>
      <c r="DD58" s="148"/>
      <c r="DE58" s="33"/>
      <c r="DF58" s="171"/>
      <c r="DG58" s="124" t="str">
        <f>IFERROR(__xludf.DUMMYFUNCTION("IF(DC58=MAX(FILTER(DC$10:DC$199,LOOKUP(ROW(CW$10:CW$199),FILTER(ROW(CW$10:CW$199),CW$10:CW$199&lt;&gt;CW$9:CW$198))=LOOKUP(ROW(CW58),FILTER(ROW(CW$10:CW$199),CW$10:CW$199&lt;&gt;CW$9:CW$198)))),DD58,)"),"")</f>
        <v/>
      </c>
      <c r="DH58" s="122"/>
      <c r="DI58" s="39"/>
      <c r="DJ58" s="143" t="str">
        <f t="shared" si="23"/>
        <v>chest acc</v>
      </c>
      <c r="DK58" s="38" t="str">
        <f>IFERROR(__xludf.DUMMYFUNCTION("""COMPUTED_VALUE"""),"")</f>
        <v/>
      </c>
      <c r="DL58" s="144">
        <v>46167.0</v>
      </c>
      <c r="DM58" s="167"/>
      <c r="DN58" s="168"/>
      <c r="DO58" s="169"/>
      <c r="DP58" s="171"/>
      <c r="DQ58" s="171" t="str">
        <f t="array" ref="DQ58">IFERROR(IF(DK58="ac"+ISNUMBER(SEARCH("'",DP58))+DO58="","", IF(ISNUMBER(SEARCH("lw",DP58)), DC58 + SUBSTITUTE(DP58,"lw+",""), MROUND(SWITCH(DK58,"sq",DO$7,"bn",DP$7,"dl",DQ$7,"")*IF(DP58&gt;10, DP58/100, VLOOKUP(DP58, _rpe,SUBSTITUTE(DO58,"+","")+1,0)), IF( SWITCH(DK58,"sq",DO$7,"bn",DP$7,"dl", DQ$7,"")&lt; IF(_uom="lbs", 175, 80), 1.25, IF(_uom="lbs",5,2.5))))), "")</f>
        <v/>
      </c>
      <c r="DR58" s="148"/>
      <c r="DS58" s="33"/>
      <c r="DT58" s="171"/>
      <c r="DU58" s="124" t="str">
        <f>IFERROR(__xludf.DUMMYFUNCTION("IF(DQ58=MAX(FILTER(DQ$10:DQ$199,LOOKUP(ROW(DK$10:DK$199),FILTER(ROW(DK$10:DK$199),DK$10:DK$199&lt;&gt;DK$9:DK$198))=LOOKUP(ROW(DK58),FILTER(ROW(DK$10:DK$199),DK$10:DK$199&lt;&gt;DK$9:DK$198)))),DR58,)"),"")</f>
        <v/>
      </c>
      <c r="DV58" s="122"/>
      <c r="DW58" s="39"/>
      <c r="DX58" s="143"/>
      <c r="DY58" s="38"/>
      <c r="DZ58" s="144"/>
      <c r="EA58" s="150"/>
      <c r="EB58" s="174"/>
      <c r="EC58" s="175"/>
      <c r="ED58" s="155"/>
      <c r="EE58" s="155"/>
      <c r="EF58" s="148"/>
      <c r="EG58" s="33"/>
      <c r="EH58" s="155"/>
      <c r="EI58" s="148"/>
      <c r="EJ58" s="33"/>
      <c r="EK58" s="39"/>
      <c r="EL58" s="143"/>
      <c r="EM58" s="38"/>
      <c r="EN58" s="144"/>
      <c r="EO58" s="150"/>
      <c r="EP58" s="174"/>
      <c r="EQ58" s="175"/>
      <c r="ER58" s="176"/>
      <c r="ES58" s="155"/>
      <c r="ET58" s="148"/>
      <c r="EU58" s="33"/>
      <c r="EV58" s="155"/>
      <c r="EW58" s="148"/>
      <c r="EX58" s="33"/>
      <c r="EY58" s="39"/>
      <c r="EZ58" s="143"/>
      <c r="FA58" s="38"/>
      <c r="FB58" s="144"/>
      <c r="FC58" s="150"/>
      <c r="FD58" s="174"/>
      <c r="FE58" s="175"/>
      <c r="FF58" s="176"/>
      <c r="FG58" s="155"/>
      <c r="FH58" s="148"/>
      <c r="FI58" s="33"/>
      <c r="FJ58" s="155"/>
      <c r="FK58" s="148"/>
      <c r="FL58" s="33"/>
      <c r="FM58" s="39"/>
      <c r="FN58" s="143"/>
      <c r="FO58" s="38"/>
      <c r="FP58" s="144"/>
      <c r="FQ58" s="150"/>
      <c r="FR58" s="174"/>
      <c r="FS58" s="175"/>
      <c r="FT58" s="176"/>
      <c r="FU58" s="155"/>
      <c r="FV58" s="148"/>
      <c r="FW58" s="33"/>
      <c r="FX58" s="155"/>
      <c r="FY58" s="148"/>
      <c r="FZ58" s="33"/>
      <c r="GA58" s="39"/>
      <c r="GB58" s="143"/>
      <c r="GC58" s="38"/>
      <c r="GD58" s="144"/>
      <c r="GE58" s="150"/>
      <c r="GF58" s="174"/>
      <c r="GG58" s="175"/>
      <c r="GH58" s="176"/>
      <c r="GI58" s="155"/>
      <c r="GJ58" s="148"/>
      <c r="GK58" s="33"/>
      <c r="GL58" s="155"/>
      <c r="GM58" s="148"/>
      <c r="GN58" s="33"/>
      <c r="GO58" s="39"/>
      <c r="GP58" s="143"/>
      <c r="GQ58" s="38"/>
      <c r="GR58" s="144"/>
      <c r="GS58" s="150"/>
      <c r="GT58" s="174"/>
      <c r="GU58" s="175"/>
      <c r="GV58" s="176"/>
      <c r="GW58" s="155"/>
      <c r="GX58" s="148"/>
      <c r="GY58" s="33"/>
      <c r="GZ58" s="155"/>
      <c r="HA58" s="148"/>
      <c r="HB58" s="33"/>
      <c r="HC58" s="39"/>
      <c r="HD58" s="143"/>
      <c r="HE58" s="38"/>
      <c r="HF58" s="144"/>
      <c r="HG58" s="150"/>
      <c r="HH58" s="174"/>
      <c r="HI58" s="175"/>
      <c r="HJ58" s="176"/>
      <c r="HK58" s="155"/>
      <c r="HL58" s="148"/>
      <c r="HM58" s="33"/>
      <c r="HN58" s="155"/>
      <c r="HO58" s="148"/>
      <c r="HP58" s="33"/>
      <c r="HQ58" s="39"/>
      <c r="HR58" s="143"/>
      <c r="HS58" s="38"/>
      <c r="HT58" s="144"/>
      <c r="HU58" s="150"/>
      <c r="HV58" s="174"/>
      <c r="HW58" s="175"/>
      <c r="HX58" s="176"/>
      <c r="HY58" s="155"/>
      <c r="HZ58" s="148"/>
      <c r="IA58" s="33"/>
      <c r="IB58" s="155"/>
      <c r="IC58" s="148"/>
      <c r="ID58" s="33"/>
      <c r="IE58" s="39"/>
      <c r="IF58" s="143"/>
      <c r="IG58" s="38"/>
      <c r="IH58" s="144"/>
      <c r="II58" s="150"/>
      <c r="IJ58" s="174"/>
      <c r="IK58" s="175"/>
      <c r="IL58" s="176"/>
      <c r="IM58" s="155"/>
      <c r="IN58" s="148"/>
      <c r="IO58" s="33"/>
      <c r="IP58" s="155"/>
      <c r="IQ58" s="148"/>
      <c r="IR58" s="33"/>
      <c r="IS58" s="39"/>
      <c r="IT58" s="143"/>
      <c r="IU58" s="38"/>
      <c r="IV58" s="144"/>
      <c r="IW58" s="143" t="str">
        <f t="shared" si="24"/>
        <v>#REF!</v>
      </c>
      <c r="IX58" s="38"/>
      <c r="IY58" s="144" t="e">
        <v>#REF!</v>
      </c>
    </row>
    <row r="59" hidden="1" outlineLevel="1">
      <c r="A59" s="33"/>
      <c r="B59" s="181"/>
      <c r="C59" s="38" t="str">
        <f>IFERROR(__xludf.DUMMYFUNCTION("""COMPUTED_VALUE"""),"")</f>
        <v/>
      </c>
      <c r="D59" s="144">
        <v>46111.0</v>
      </c>
      <c r="E59" s="182"/>
      <c r="F59" s="168"/>
      <c r="G59" s="169"/>
      <c r="H59" s="170"/>
      <c r="I59" s="171" t="str">
        <f t="array" ref="I59">IFERROR(IF(C59="ac"+ISNUMBER(SEARCH("'",H59))+G59="","", MROUND(SWITCH(C59,"sq",'Personal Info'!$O$15,"bn",'Personal Info'!$S$15,"dl",'Personal Info'!$W$15,"")*IF(H59&gt;10, H59/100, VLOOKUP(H59, _rpe,SUBSTITUTE(G59,"+","")+1,0)), IF( SWITCH(C59:C210,"sq",'Personal Info'!$O$15,"bn",'Personal Info'!$S$15,"dl", 'Personal Info'!$W$15,"")&lt; IF(_uom="lbs", 175, 80), 1.25, IF(_uom="lbs",5,2.5)))),"")</f>
        <v/>
      </c>
      <c r="J59" s="148"/>
      <c r="K59" s="33"/>
      <c r="L59" s="171"/>
      <c r="M59" s="124" t="str">
        <f>IFERROR(__xludf.DUMMYFUNCTION("IF(I59=MAX(FILTER(I$10:I$199,LOOKUP(ROW(C$10:C$199),FILTER(ROW(C$10:C$199),C$10:C$199&lt;&gt;C$9:C$198))=LOOKUP(ROW(C59),FILTER(ROW(C$10:C$199),C$10:C$199&lt;&gt;C$9:C$198)))),J59,)"),"")</f>
        <v/>
      </c>
      <c r="N59" s="122"/>
      <c r="O59" s="39"/>
      <c r="P59" s="143" t="str">
        <f t="shared" si="12"/>
        <v/>
      </c>
      <c r="Q59" s="38" t="str">
        <f>IFERROR(__xludf.DUMMYFUNCTION("""COMPUTED_VALUE"""),"")</f>
        <v/>
      </c>
      <c r="R59" s="144">
        <v>46118.0</v>
      </c>
      <c r="S59" s="167" t="str">
        <f t="shared" si="13"/>
        <v/>
      </c>
      <c r="T59" s="168" t="str">
        <f t="shared" ref="T59:T65" si="228">IF(ISBLANK(F59),"",F59)</f>
        <v/>
      </c>
      <c r="U59" s="169" t="str">
        <f t="shared" ref="U59:U61" si="229">IF( OR(ISBLANK(G59),G59=""),"", G59)</f>
        <v/>
      </c>
      <c r="V59" s="172" t="str">
        <f t="shared" ref="V59:V61" si="230">IF(ISBLANK(H59),"",H59)</f>
        <v/>
      </c>
      <c r="W59" s="171" t="str">
        <f t="array" ref="W59">IFERROR(IF(Q59="ac"+ISNUMBER(SEARCH("'",V59))+U59="","", IF(ISNUMBER(SEARCH("lw",V59)), I59 + SUBSTITUTE(V59,"lw+",""), MROUND(SWITCH(Q59,"sq",U$7,"bn",V$7,"dl",W$7,"")*IF(V59&gt;10, V59/100, VLOOKUP(V59, _rpe,SUBSTITUTE(U59,"+","")+1,0)), IF( SWITCH(Q59,"sq",U$7,"bn",V$7,"dl", W$7,"")&lt; IF(_uom="lbs", 175, 80), 1.25, IF(_uom="lbs",5,2.5))))), "")</f>
        <v/>
      </c>
      <c r="X59" s="148"/>
      <c r="Y59" s="33"/>
      <c r="Z59" s="171"/>
      <c r="AA59" s="124" t="str">
        <f>IFERROR(__xludf.DUMMYFUNCTION("IF(W59=MAX(FILTER(W$10:W$199,LOOKUP(ROW(Q$10:Q$199),FILTER(ROW(Q$10:Q$199),Q$10:Q$199&lt;&gt;Q$9:Q$198))=LOOKUP(ROW(Q59),FILTER(ROW(Q$10:Q$199),Q$10:Q$199&lt;&gt;Q$9:Q$198)))),X59,)"),"")</f>
        <v/>
      </c>
      <c r="AB59" s="122"/>
      <c r="AC59" s="39"/>
      <c r="AD59" s="143" t="str">
        <f t="shared" si="14"/>
        <v/>
      </c>
      <c r="AE59" s="38" t="str">
        <f>IFERROR(__xludf.DUMMYFUNCTION("""COMPUTED_VALUE"""),"")</f>
        <v/>
      </c>
      <c r="AF59" s="144">
        <v>46125.0</v>
      </c>
      <c r="AG59" s="167" t="str">
        <f t="shared" si="54"/>
        <v/>
      </c>
      <c r="AH59" s="168" t="str">
        <f t="shared" si="151"/>
        <v/>
      </c>
      <c r="AI59" s="169" t="str">
        <f t="shared" ref="AI59:AI61" si="231">IF( OR(ISBLANK(U59),U59=""),"", U59)</f>
        <v/>
      </c>
      <c r="AJ59" s="172" t="str">
        <f t="shared" ref="AJ59:AJ61" si="232">IF(ISBLANK(V59),"",V59)</f>
        <v/>
      </c>
      <c r="AK59" s="171" t="str">
        <f t="array" ref="AK59">IFERROR(IF(AE59="ac"+ISNUMBER(SEARCH("'",AJ59))+AI59="","", IF(ISNUMBER(SEARCH("lw",AJ59)), W59 + SUBSTITUTE(AJ59,"lw+",""), MROUND(SWITCH(AE59,"sq",AI$7,"bn",AJ$7,"dl",AK$7,"")*IF(AJ59&gt;10, AJ59/100, VLOOKUP(AJ59, _rpe,SUBSTITUTE(AI59,"+","")+1,0)), IF( SWITCH(AE59,"sq",AI$7,"bn",AJ$7,"dl", AK$7,"")&lt; IF(_uom="lbs", 175, 80), 1.25, IF(_uom="lbs",5,2.5))))), "")</f>
        <v/>
      </c>
      <c r="AL59" s="148"/>
      <c r="AM59" s="33"/>
      <c r="AN59" s="171"/>
      <c r="AO59" s="124" t="str">
        <f>IFERROR(__xludf.DUMMYFUNCTION("IF(AK59=MAX(FILTER(AK$10:AK$199,LOOKUP(ROW(AE$10:AE$199),FILTER(ROW(AE$10:AE$199),AE$10:AE$199&lt;&gt;AE$9:AE$198))=LOOKUP(ROW(AE59),FILTER(ROW(AE$10:AE$199),AE$10:AE$199&lt;&gt;AE$9:AE$198)))),AL59,)"),"")</f>
        <v/>
      </c>
      <c r="AP59" s="122"/>
      <c r="AQ59" s="39"/>
      <c r="AR59" s="143" t="str">
        <f t="shared" si="16"/>
        <v/>
      </c>
      <c r="AS59" s="38" t="str">
        <f>IFERROR(__xludf.DUMMYFUNCTION("""COMPUTED_VALUE"""),"")</f>
        <v/>
      </c>
      <c r="AT59" s="144">
        <v>46132.0</v>
      </c>
      <c r="AU59" s="167" t="str">
        <f t="shared" si="26"/>
        <v/>
      </c>
      <c r="AV59" s="168" t="str">
        <f t="shared" si="152"/>
        <v/>
      </c>
      <c r="AW59" s="169" t="str">
        <f t="shared" ref="AW59:AW61" si="233">IF( OR(ISBLANK(AI59),AI59=""),"", AI59)</f>
        <v/>
      </c>
      <c r="AX59" s="172" t="str">
        <f t="shared" si="216"/>
        <v/>
      </c>
      <c r="AY59" s="171" t="str">
        <f t="array" ref="AY59">IFERROR(IF(AS59="ac"+ISNUMBER(SEARCH("'",AX59))+AW59="","", IF(ISNUMBER(SEARCH("lw",AX59)), AK59 + SUBSTITUTE(AX59,"lw+",""), MROUND(SWITCH(AS59,"sq",AW$7,"bn",AX$7,"dl",AY$7,"")*IF(AX59&gt;10, AX59/100, VLOOKUP(AX59, _rpe,SUBSTITUTE(AW59,"+","")+1,0)), IF( SWITCH(AS59,"sq",AW$7,"bn",AX$7,"dl", AY$7,"")&lt; IF(_uom="lbs", 175, 80), 1.25, IF(_uom="lbs",5,2.5))))), "")</f>
        <v/>
      </c>
      <c r="AZ59" s="148"/>
      <c r="BA59" s="33"/>
      <c r="BB59" s="171"/>
      <c r="BC59" s="124" t="str">
        <f>IFERROR(__xludf.DUMMYFUNCTION("IF(AY59=MAX(FILTER(AY$10:AY$199,LOOKUP(ROW(AS$10:AS$199),FILTER(ROW(AS$10:AS$199),AS$10:AS$199&lt;&gt;AS$9:AS$198))=LOOKUP(ROW(AS59),FILTER(ROW(AS$10:AS$199),AS$10:AS$199&lt;&gt;AS$9:AS$198)))),AZ59,)"),"")</f>
        <v/>
      </c>
      <c r="BD59" s="122"/>
      <c r="BE59" s="39"/>
      <c r="BF59" s="143" t="str">
        <f t="shared" si="17"/>
        <v/>
      </c>
      <c r="BG59" s="38" t="str">
        <f>IFERROR(__xludf.DUMMYFUNCTION("""COMPUTED_VALUE"""),"")</f>
        <v/>
      </c>
      <c r="BH59" s="144">
        <v>46139.0</v>
      </c>
      <c r="BI59" s="167" t="str">
        <f t="shared" si="18"/>
        <v/>
      </c>
      <c r="BJ59" s="168" t="str">
        <f t="shared" ref="BJ59:BJ61" si="234">IF(ISBLANK(AV59),"",AV59)</f>
        <v/>
      </c>
      <c r="BK59" s="169" t="str">
        <f t="shared" ref="BK59:BK61" si="235">IF( OR(ISBLANK(AW59),AW59=""),"", AW59)</f>
        <v/>
      </c>
      <c r="BL59" s="172" t="str">
        <f t="shared" ref="BL59:BL61" si="236">IF(ISBLANK(AX59),"",AX59)</f>
        <v/>
      </c>
      <c r="BM59" s="171" t="str">
        <f t="array" ref="BM59">IFERROR(IF(BG59="ac"+ISNUMBER(SEARCH("'",BL59))+BK59="","", IF(ISNUMBER(SEARCH("lw",BL59)), AY59 + SUBSTITUTE(BL59,"lw+",""), MROUND(SWITCH(BG59,"sq",BK$7,"bn",BL$7,"dl",BM$7,"")*IF(BL59&gt;10, BL59/100, VLOOKUP(BL59, _rpe,SUBSTITUTE(BK59,"+","")+1,0)), IF( SWITCH(BG59,"sq",BK$7,"bn",BL$7,"dl", BM$7,"")&lt; IF(_uom="lbs", 175, 80), 1.25, IF(_uom="lbs",5,2.5))))), "")</f>
        <v/>
      </c>
      <c r="BN59" s="148"/>
      <c r="BO59" s="33"/>
      <c r="BP59" s="171"/>
      <c r="BQ59" s="124" t="str">
        <f>IFERROR(__xludf.DUMMYFUNCTION("IF(BM59=MAX(FILTER(BM$10:BM$199,LOOKUP(ROW(BG$10:BG$199),FILTER(ROW(BG$10:BG$199),BG$10:BG$199&lt;&gt;BG$9:BG$198))=LOOKUP(ROW(BG59),FILTER(ROW(BG$10:BG$199),BG$10:BG$199&lt;&gt;BG$9:BG$198)))),BN59,)"),"")</f>
        <v/>
      </c>
      <c r="BR59" s="122"/>
      <c r="BS59" s="39"/>
      <c r="BT59" s="143" t="str">
        <f t="shared" si="19"/>
        <v/>
      </c>
      <c r="BU59" s="38" t="str">
        <f>IFERROR(__xludf.DUMMYFUNCTION("""COMPUTED_VALUE"""),"")</f>
        <v/>
      </c>
      <c r="BV59" s="144">
        <v>46146.0</v>
      </c>
      <c r="BW59" s="167" t="str">
        <f t="shared" si="20"/>
        <v/>
      </c>
      <c r="BX59" s="168" t="str">
        <f t="shared" ref="BX59:BX61" si="237">IF(ISBLANK(BJ59),"",BJ59)</f>
        <v/>
      </c>
      <c r="BY59" s="169" t="str">
        <f t="shared" ref="BY59:BY61" si="238">IF( OR(ISBLANK(BK59),BK59=""),"", BK59)</f>
        <v/>
      </c>
      <c r="BZ59" s="172" t="str">
        <f t="shared" ref="BZ59:BZ61" si="239">IF(ISBLANK(BL59),"",BL59)</f>
        <v/>
      </c>
      <c r="CA59" s="171" t="str">
        <f t="array" ref="CA59">IFERROR(IF(BU59="ac"+ISNUMBER(SEARCH("'",BZ59))+BY59="","", IF(ISNUMBER(SEARCH("lw",BZ59)), BM59 + SUBSTITUTE(BZ59,"lw+",""), MROUND(SWITCH(BU59,"sq",BY$7,"bn",BZ$7,"dl",CA$7,"")*IF(BZ59&gt;10, BZ59/100, VLOOKUP(BZ59, _rpe,SUBSTITUTE(BY59,"+","")+1,0)), IF( SWITCH(BU59,"sq",BY$7,"bn",BZ$7,"dl", CA$7,"")&lt; IF(_uom="lbs", 175, 80), 1.25, IF(_uom="lbs",5,2.5))))), "")</f>
        <v/>
      </c>
      <c r="CB59" s="148"/>
      <c r="CC59" s="33"/>
      <c r="CD59" s="171"/>
      <c r="CE59" s="124" t="str">
        <f>IFERROR(__xludf.DUMMYFUNCTION("IF(CA59=MAX(FILTER(CA$10:CA$199,LOOKUP(ROW(BU$10:BU$199),FILTER(ROW(BU$10:BU$199),BU$10:BU$199&lt;&gt;BU$9:BU$198))=LOOKUP(ROW(BU59),FILTER(ROW(BU$10:BU$199),BU$10:BU$199&lt;&gt;BU$9:BU$198)))),CB59,)"),"")</f>
        <v/>
      </c>
      <c r="CF59" s="122"/>
      <c r="CG59" s="39"/>
      <c r="CH59" s="143" t="str">
        <f t="shared" si="21"/>
        <v/>
      </c>
      <c r="CI59" s="38" t="str">
        <f>IFERROR(__xludf.DUMMYFUNCTION("""COMPUTED_VALUE"""),"")</f>
        <v/>
      </c>
      <c r="CJ59" s="144">
        <v>46153.0</v>
      </c>
      <c r="CK59" s="167" t="str">
        <f t="shared" si="27"/>
        <v/>
      </c>
      <c r="CL59" s="168" t="str">
        <f t="shared" ref="CL59:CL61" si="240">IF(ISBLANK(BX59),"",BX59)</f>
        <v/>
      </c>
      <c r="CM59" s="169" t="str">
        <f t="shared" ref="CM59:CM61" si="241">IF( OR(ISBLANK(BY59),BY59=""),"", BY59)</f>
        <v/>
      </c>
      <c r="CN59" s="172" t="str">
        <f t="shared" ref="CN59:CN61" si="242">IF(ISBLANK(BZ59),"",BZ59)</f>
        <v/>
      </c>
      <c r="CO59" s="171" t="str">
        <f t="array" ref="CO59">IFERROR(IF(CI59="ac"+ISNUMBER(SEARCH("'",CN59))+CM59="","", IF(ISNUMBER(SEARCH("lw",CN59)), CA59 + SUBSTITUTE(CN59,"lw+",""), MROUND(SWITCH(CI59,"sq",CM$7,"bn",CN$7,"dl",CO$7,"")*IF(CN59&gt;10, CN59/100, VLOOKUP(CN59, _rpe,SUBSTITUTE(CM59,"+","")+1,0)), IF( SWITCH(CI59,"sq",CM$7,"bn",CN$7,"dl", CO$7,"")&lt; IF(_uom="lbs", 175, 80), 1.25, IF(_uom="lbs",5,2.5))))), "")</f>
        <v/>
      </c>
      <c r="CP59" s="148"/>
      <c r="CQ59" s="33"/>
      <c r="CR59" s="171"/>
      <c r="CS59" s="124" t="str">
        <f>IFERROR(__xludf.DUMMYFUNCTION("IF(CO59=MAX(FILTER(CO$10:CO$199,LOOKUP(ROW(CI$10:CI$199),FILTER(ROW(CI$10:CI$199),CI$10:CI$199&lt;&gt;CI$9:CI$198))=LOOKUP(ROW(CI59),FILTER(ROW(CI$10:CI$199),CI$10:CI$199&lt;&gt;CI$9:CI$198)))),CP59,)"),"")</f>
        <v/>
      </c>
      <c r="CT59" s="122"/>
      <c r="CU59" s="39"/>
      <c r="CV59" s="143" t="str">
        <f t="shared" si="22"/>
        <v/>
      </c>
      <c r="CW59" s="38" t="str">
        <f>IFERROR(__xludf.DUMMYFUNCTION("""COMPUTED_VALUE"""),"")</f>
        <v/>
      </c>
      <c r="CX59" s="144">
        <v>46160.0</v>
      </c>
      <c r="CY59" s="167" t="str">
        <f t="shared" si="28"/>
        <v/>
      </c>
      <c r="CZ59" s="168" t="str">
        <f t="shared" ref="CZ59:CZ75" si="243">IF(ISBLANK(CL59),"",CL59)</f>
        <v/>
      </c>
      <c r="DA59" s="169" t="str">
        <f t="shared" ref="DA59:DA61" si="244">IF( OR(ISBLANK(CM59),CM59=""),"", CM59)</f>
        <v/>
      </c>
      <c r="DB59" s="172" t="str">
        <f t="shared" si="227"/>
        <v/>
      </c>
      <c r="DC59" s="171" t="str">
        <f t="array" ref="DC59">IFERROR(IF(CW59="ac"+ISNUMBER(SEARCH("'",DB59))+DA59="","", IF(ISNUMBER(SEARCH("lw",DB59)), CO59 + SUBSTITUTE(DB59,"lw+",""), MROUND(SWITCH(CW59,"sq",DA$7,"bn",DB$7,"dl",DC$7,"")*IF(DB59&gt;10, DB59/100, VLOOKUP(DB59, _rpe,SUBSTITUTE(DA59,"+","")+1,0)), IF( SWITCH(CW59,"sq",DA$7,"bn",DB$7,"dl", DC$7,"")&lt; IF(_uom="lbs", 175, 80), 1.25, IF(_uom="lbs",5,2.5))))), "")</f>
        <v/>
      </c>
      <c r="DD59" s="148"/>
      <c r="DE59" s="33"/>
      <c r="DF59" s="171"/>
      <c r="DG59" s="124" t="str">
        <f>IFERROR(__xludf.DUMMYFUNCTION("IF(DC59=MAX(FILTER(DC$10:DC$199,LOOKUP(ROW(CW$10:CW$199),FILTER(ROW(CW$10:CW$199),CW$10:CW$199&lt;&gt;CW$9:CW$198))=LOOKUP(ROW(CW59),FILTER(ROW(CW$10:CW$199),CW$10:CW$199&lt;&gt;CW$9:CW$198)))),DD59,)"),"")</f>
        <v/>
      </c>
      <c r="DH59" s="122"/>
      <c r="DI59" s="39"/>
      <c r="DJ59" s="143" t="str">
        <f t="shared" si="23"/>
        <v/>
      </c>
      <c r="DK59" s="38" t="str">
        <f>IFERROR(__xludf.DUMMYFUNCTION("""COMPUTED_VALUE"""),"")</f>
        <v/>
      </c>
      <c r="DL59" s="144">
        <v>46167.0</v>
      </c>
      <c r="DM59" s="167"/>
      <c r="DN59" s="168"/>
      <c r="DO59" s="169"/>
      <c r="DP59" s="172"/>
      <c r="DQ59" s="171" t="str">
        <f t="array" ref="DQ59">IFERROR(IF(DK59="ac"+ISNUMBER(SEARCH("'",DP59))+DO59="","", IF(ISNUMBER(SEARCH("lw",DP59)), DC59 + SUBSTITUTE(DP59,"lw+",""), MROUND(SWITCH(DK59,"sq",DO$7,"bn",DP$7,"dl",DQ$7,"")*IF(DP59&gt;10, DP59/100, VLOOKUP(DP59, _rpe,SUBSTITUTE(DO59,"+","")+1,0)), IF( SWITCH(DK59,"sq",DO$7,"bn",DP$7,"dl", DQ$7,"")&lt; IF(_uom="lbs", 175, 80), 1.25, IF(_uom="lbs",5,2.5))))), "")</f>
        <v/>
      </c>
      <c r="DR59" s="148"/>
      <c r="DS59" s="33"/>
      <c r="DT59" s="171"/>
      <c r="DU59" s="124" t="str">
        <f>IFERROR(__xludf.DUMMYFUNCTION("IF(DQ59=MAX(FILTER(DQ$10:DQ$199,LOOKUP(ROW(DK$10:DK$199),FILTER(ROW(DK$10:DK$199),DK$10:DK$199&lt;&gt;DK$9:DK$198))=LOOKUP(ROW(DK59),FILTER(ROW(DK$10:DK$199),DK$10:DK$199&lt;&gt;DK$9:DK$198)))),DR59,)"),"")</f>
        <v/>
      </c>
      <c r="DV59" s="122"/>
      <c r="DW59" s="39"/>
      <c r="DX59" s="143"/>
      <c r="DY59" s="38"/>
      <c r="DZ59" s="144"/>
      <c r="EA59" s="150"/>
      <c r="EB59" s="174"/>
      <c r="EC59" s="175"/>
      <c r="ED59" s="176"/>
      <c r="EE59" s="155"/>
      <c r="EF59" s="148"/>
      <c r="EG59" s="33"/>
      <c r="EH59" s="155"/>
      <c r="EI59" s="148"/>
      <c r="EJ59" s="33"/>
      <c r="EK59" s="39"/>
      <c r="EL59" s="143"/>
      <c r="EM59" s="38"/>
      <c r="EN59" s="144"/>
      <c r="EO59" s="150"/>
      <c r="EP59" s="174"/>
      <c r="EQ59" s="175"/>
      <c r="ER59" s="176"/>
      <c r="ES59" s="155"/>
      <c r="ET59" s="148"/>
      <c r="EU59" s="33"/>
      <c r="EV59" s="155"/>
      <c r="EW59" s="148"/>
      <c r="EX59" s="33"/>
      <c r="EY59" s="39"/>
      <c r="EZ59" s="143"/>
      <c r="FA59" s="38"/>
      <c r="FB59" s="144"/>
      <c r="FC59" s="150"/>
      <c r="FD59" s="174"/>
      <c r="FE59" s="175"/>
      <c r="FF59" s="176"/>
      <c r="FG59" s="155"/>
      <c r="FH59" s="148"/>
      <c r="FI59" s="33"/>
      <c r="FJ59" s="155"/>
      <c r="FK59" s="148"/>
      <c r="FL59" s="33"/>
      <c r="FM59" s="39"/>
      <c r="FN59" s="143"/>
      <c r="FO59" s="38"/>
      <c r="FP59" s="144"/>
      <c r="FQ59" s="150"/>
      <c r="FR59" s="174"/>
      <c r="FS59" s="175"/>
      <c r="FT59" s="176"/>
      <c r="FU59" s="155"/>
      <c r="FV59" s="148"/>
      <c r="FW59" s="33"/>
      <c r="FX59" s="155"/>
      <c r="FY59" s="148"/>
      <c r="FZ59" s="33"/>
      <c r="GA59" s="39"/>
      <c r="GB59" s="143"/>
      <c r="GC59" s="38"/>
      <c r="GD59" s="144"/>
      <c r="GE59" s="150"/>
      <c r="GF59" s="174"/>
      <c r="GG59" s="175"/>
      <c r="GH59" s="176"/>
      <c r="GI59" s="155"/>
      <c r="GJ59" s="148"/>
      <c r="GK59" s="33"/>
      <c r="GL59" s="155"/>
      <c r="GM59" s="148"/>
      <c r="GN59" s="33"/>
      <c r="GO59" s="39"/>
      <c r="GP59" s="143"/>
      <c r="GQ59" s="38"/>
      <c r="GR59" s="144"/>
      <c r="GS59" s="150"/>
      <c r="GT59" s="174"/>
      <c r="GU59" s="175"/>
      <c r="GV59" s="176"/>
      <c r="GW59" s="155"/>
      <c r="GX59" s="148"/>
      <c r="GY59" s="33"/>
      <c r="GZ59" s="155"/>
      <c r="HA59" s="148"/>
      <c r="HB59" s="33"/>
      <c r="HC59" s="39"/>
      <c r="HD59" s="143"/>
      <c r="HE59" s="38"/>
      <c r="HF59" s="144"/>
      <c r="HG59" s="150"/>
      <c r="HH59" s="174"/>
      <c r="HI59" s="175"/>
      <c r="HJ59" s="176"/>
      <c r="HK59" s="155"/>
      <c r="HL59" s="148"/>
      <c r="HM59" s="33"/>
      <c r="HN59" s="155"/>
      <c r="HO59" s="148"/>
      <c r="HP59" s="33"/>
      <c r="HQ59" s="39"/>
      <c r="HR59" s="143"/>
      <c r="HS59" s="38"/>
      <c r="HT59" s="144"/>
      <c r="HU59" s="150"/>
      <c r="HV59" s="174"/>
      <c r="HW59" s="175"/>
      <c r="HX59" s="176"/>
      <c r="HY59" s="155"/>
      <c r="HZ59" s="148"/>
      <c r="IA59" s="33"/>
      <c r="IB59" s="155"/>
      <c r="IC59" s="148"/>
      <c r="ID59" s="33"/>
      <c r="IE59" s="39"/>
      <c r="IF59" s="143"/>
      <c r="IG59" s="38"/>
      <c r="IH59" s="144"/>
      <c r="II59" s="150"/>
      <c r="IJ59" s="174"/>
      <c r="IK59" s="175"/>
      <c r="IL59" s="176"/>
      <c r="IM59" s="155"/>
      <c r="IN59" s="148"/>
      <c r="IO59" s="33"/>
      <c r="IP59" s="155"/>
      <c r="IQ59" s="148"/>
      <c r="IR59" s="33"/>
      <c r="IS59" s="39"/>
      <c r="IT59" s="143"/>
      <c r="IU59" s="38"/>
      <c r="IV59" s="144"/>
      <c r="IW59" s="143" t="str">
        <f t="shared" si="24"/>
        <v>#REF!</v>
      </c>
      <c r="IX59" s="38"/>
      <c r="IY59" s="144" t="e">
        <v>#REF!</v>
      </c>
    </row>
    <row r="60" hidden="1" outlineLevel="1">
      <c r="A60" s="33"/>
      <c r="B60" s="181"/>
      <c r="C60" s="38" t="str">
        <f>IFERROR(__xludf.DUMMYFUNCTION("""COMPUTED_VALUE"""),"")</f>
        <v/>
      </c>
      <c r="D60" s="144">
        <v>46111.0</v>
      </c>
      <c r="E60" s="182"/>
      <c r="F60" s="168"/>
      <c r="G60" s="169"/>
      <c r="H60" s="170"/>
      <c r="I60" s="171" t="str">
        <f t="array" ref="I60">IFERROR(IF(C60="ac"+ISNUMBER(SEARCH("'",H60))+G60="","", MROUND(SWITCH(C60,"sq",'Personal Info'!$O$15,"bn",'Personal Info'!$S$15,"dl",'Personal Info'!$W$15,"")*IF(H60&gt;10, H60/100, VLOOKUP(H60, _rpe,SUBSTITUTE(G60,"+","")+1,0)), IF( SWITCH(C60:C210,"sq",'Personal Info'!$O$15,"bn",'Personal Info'!$S$15,"dl", 'Personal Info'!$W$15,"")&lt; IF(_uom="lbs", 175, 80), 1.25, IF(_uom="lbs",5,2.5)))),"")</f>
        <v/>
      </c>
      <c r="J60" s="148"/>
      <c r="K60" s="33"/>
      <c r="L60" s="171"/>
      <c r="M60" s="124" t="str">
        <f>IFERROR(__xludf.DUMMYFUNCTION("IF(I60=MAX(FILTER(I$10:I$199,LOOKUP(ROW(C$10:C$199),FILTER(ROW(C$10:C$199),C$10:C$199&lt;&gt;C$9:C$198))=LOOKUP(ROW(C60),FILTER(ROW(C$10:C$199),C$10:C$199&lt;&gt;C$9:C$198)))),J60,)"),"")</f>
        <v/>
      </c>
      <c r="N60" s="122"/>
      <c r="O60" s="39"/>
      <c r="P60" s="143" t="str">
        <f t="shared" si="12"/>
        <v/>
      </c>
      <c r="Q60" s="38" t="str">
        <f>IFERROR(__xludf.DUMMYFUNCTION("""COMPUTED_VALUE"""),"")</f>
        <v/>
      </c>
      <c r="R60" s="144">
        <v>46118.0</v>
      </c>
      <c r="S60" s="167" t="str">
        <f t="shared" si="13"/>
        <v/>
      </c>
      <c r="T60" s="168" t="str">
        <f t="shared" si="228"/>
        <v/>
      </c>
      <c r="U60" s="169" t="str">
        <f t="shared" si="229"/>
        <v/>
      </c>
      <c r="V60" s="172" t="str">
        <f t="shared" si="230"/>
        <v/>
      </c>
      <c r="W60" s="171" t="str">
        <f t="array" ref="W60">IFERROR(IF(Q60="ac"+ISNUMBER(SEARCH("'",V60))+U60="","", IF(ISNUMBER(SEARCH("lw",V60)), I60 + SUBSTITUTE(V60,"lw+",""), MROUND(SWITCH(Q60,"sq",U$7,"bn",V$7,"dl",W$7,"")*IF(V60&gt;10, V60/100, VLOOKUP(V60, _rpe,SUBSTITUTE(U60,"+","")+1,0)), IF( SWITCH(Q60,"sq",U$7,"bn",V$7,"dl", W$7,"")&lt; IF(_uom="lbs", 175, 80), 1.25, IF(_uom="lbs",5,2.5))))), "")</f>
        <v/>
      </c>
      <c r="X60" s="148"/>
      <c r="Y60" s="33"/>
      <c r="Z60" s="171"/>
      <c r="AA60" s="124" t="str">
        <f>IFERROR(__xludf.DUMMYFUNCTION("IF(W60=MAX(FILTER(W$10:W$199,LOOKUP(ROW(Q$10:Q$199),FILTER(ROW(Q$10:Q$199),Q$10:Q$199&lt;&gt;Q$9:Q$198))=LOOKUP(ROW(Q60),FILTER(ROW(Q$10:Q$199),Q$10:Q$199&lt;&gt;Q$9:Q$198)))),X60,)"),"")</f>
        <v/>
      </c>
      <c r="AB60" s="122"/>
      <c r="AC60" s="39"/>
      <c r="AD60" s="143" t="str">
        <f t="shared" si="14"/>
        <v/>
      </c>
      <c r="AE60" s="38" t="str">
        <f>IFERROR(__xludf.DUMMYFUNCTION("""COMPUTED_VALUE"""),"")</f>
        <v/>
      </c>
      <c r="AF60" s="144">
        <v>46125.0</v>
      </c>
      <c r="AG60" s="167" t="str">
        <f t="shared" si="54"/>
        <v/>
      </c>
      <c r="AH60" s="168" t="str">
        <f t="shared" si="151"/>
        <v/>
      </c>
      <c r="AI60" s="169" t="str">
        <f t="shared" si="231"/>
        <v/>
      </c>
      <c r="AJ60" s="172" t="str">
        <f t="shared" si="232"/>
        <v/>
      </c>
      <c r="AK60" s="171" t="str">
        <f t="array" ref="AK60">IFERROR(IF(AE60="ac"+ISNUMBER(SEARCH("'",AJ60))+AI60="","", IF(ISNUMBER(SEARCH("lw",AJ60)), W60 + SUBSTITUTE(AJ60,"lw+",""), MROUND(SWITCH(AE60,"sq",AI$7,"bn",AJ$7,"dl",AK$7,"")*IF(AJ60&gt;10, AJ60/100, VLOOKUP(AJ60, _rpe,SUBSTITUTE(AI60,"+","")+1,0)), IF( SWITCH(AE60,"sq",AI$7,"bn",AJ$7,"dl", AK$7,"")&lt; IF(_uom="lbs", 175, 80), 1.25, IF(_uom="lbs",5,2.5))))), "")</f>
        <v/>
      </c>
      <c r="AL60" s="148"/>
      <c r="AM60" s="33"/>
      <c r="AN60" s="171"/>
      <c r="AO60" s="124" t="str">
        <f>IFERROR(__xludf.DUMMYFUNCTION("IF(AK60=MAX(FILTER(AK$10:AK$199,LOOKUP(ROW(AE$10:AE$199),FILTER(ROW(AE$10:AE$199),AE$10:AE$199&lt;&gt;AE$9:AE$198))=LOOKUP(ROW(AE60),FILTER(ROW(AE$10:AE$199),AE$10:AE$199&lt;&gt;AE$9:AE$198)))),AL60,)"),"")</f>
        <v/>
      </c>
      <c r="AP60" s="122"/>
      <c r="AQ60" s="39"/>
      <c r="AR60" s="143" t="str">
        <f t="shared" si="16"/>
        <v/>
      </c>
      <c r="AS60" s="38" t="str">
        <f>IFERROR(__xludf.DUMMYFUNCTION("""COMPUTED_VALUE"""),"")</f>
        <v/>
      </c>
      <c r="AT60" s="144">
        <v>46132.0</v>
      </c>
      <c r="AU60" s="167" t="str">
        <f t="shared" si="26"/>
        <v/>
      </c>
      <c r="AV60" s="168" t="str">
        <f t="shared" si="152"/>
        <v/>
      </c>
      <c r="AW60" s="169" t="str">
        <f t="shared" si="233"/>
        <v/>
      </c>
      <c r="AX60" s="172" t="str">
        <f t="shared" si="216"/>
        <v/>
      </c>
      <c r="AY60" s="171" t="str">
        <f t="array" ref="AY60">IFERROR(IF(AS60="ac"+ISNUMBER(SEARCH("'",AX60))+AW60="","", IF(ISNUMBER(SEARCH("lw",AX60)), AK60 + SUBSTITUTE(AX60,"lw+",""), MROUND(SWITCH(AS60,"sq",AW$7,"bn",AX$7,"dl",AY$7,"")*IF(AX60&gt;10, AX60/100, VLOOKUP(AX60, _rpe,SUBSTITUTE(AW60,"+","")+1,0)), IF( SWITCH(AS60,"sq",AW$7,"bn",AX$7,"dl", AY$7,"")&lt; IF(_uom="lbs", 175, 80), 1.25, IF(_uom="lbs",5,2.5))))), "")</f>
        <v/>
      </c>
      <c r="AZ60" s="148"/>
      <c r="BA60" s="33"/>
      <c r="BB60" s="171"/>
      <c r="BC60" s="124" t="str">
        <f>IFERROR(__xludf.DUMMYFUNCTION("IF(AY60=MAX(FILTER(AY$10:AY$199,LOOKUP(ROW(AS$10:AS$199),FILTER(ROW(AS$10:AS$199),AS$10:AS$199&lt;&gt;AS$9:AS$198))=LOOKUP(ROW(AS60),FILTER(ROW(AS$10:AS$199),AS$10:AS$199&lt;&gt;AS$9:AS$198)))),AZ60,)"),"")</f>
        <v/>
      </c>
      <c r="BD60" s="122"/>
      <c r="BE60" s="39"/>
      <c r="BF60" s="143" t="str">
        <f t="shared" si="17"/>
        <v/>
      </c>
      <c r="BG60" s="38" t="str">
        <f>IFERROR(__xludf.DUMMYFUNCTION("""COMPUTED_VALUE"""),"")</f>
        <v/>
      </c>
      <c r="BH60" s="144">
        <v>46139.0</v>
      </c>
      <c r="BI60" s="167" t="str">
        <f t="shared" si="18"/>
        <v/>
      </c>
      <c r="BJ60" s="168" t="str">
        <f t="shared" si="234"/>
        <v/>
      </c>
      <c r="BK60" s="169" t="str">
        <f t="shared" si="235"/>
        <v/>
      </c>
      <c r="BL60" s="172" t="str">
        <f t="shared" si="236"/>
        <v/>
      </c>
      <c r="BM60" s="171" t="str">
        <f t="array" ref="BM60">IFERROR(IF(BG60="ac"+ISNUMBER(SEARCH("'",BL60))+BK60="","", IF(ISNUMBER(SEARCH("lw",BL60)), AY60 + SUBSTITUTE(BL60,"lw+",""), MROUND(SWITCH(BG60,"sq",BK$7,"bn",BL$7,"dl",BM$7,"")*IF(BL60&gt;10, BL60/100, VLOOKUP(BL60, _rpe,SUBSTITUTE(BK60,"+","")+1,0)), IF( SWITCH(BG60,"sq",BK$7,"bn",BL$7,"dl", BM$7,"")&lt; IF(_uom="lbs", 175, 80), 1.25, IF(_uom="lbs",5,2.5))))), "")</f>
        <v/>
      </c>
      <c r="BN60" s="148"/>
      <c r="BO60" s="33"/>
      <c r="BP60" s="171"/>
      <c r="BQ60" s="124" t="str">
        <f>IFERROR(__xludf.DUMMYFUNCTION("IF(BM60=MAX(FILTER(BM$10:BM$199,LOOKUP(ROW(BG$10:BG$199),FILTER(ROW(BG$10:BG$199),BG$10:BG$199&lt;&gt;BG$9:BG$198))=LOOKUP(ROW(BG60),FILTER(ROW(BG$10:BG$199),BG$10:BG$199&lt;&gt;BG$9:BG$198)))),BN60,)"),"")</f>
        <v/>
      </c>
      <c r="BR60" s="122"/>
      <c r="BS60" s="39"/>
      <c r="BT60" s="143" t="str">
        <f t="shared" si="19"/>
        <v/>
      </c>
      <c r="BU60" s="38" t="str">
        <f>IFERROR(__xludf.DUMMYFUNCTION("""COMPUTED_VALUE"""),"")</f>
        <v/>
      </c>
      <c r="BV60" s="144">
        <v>46146.0</v>
      </c>
      <c r="BW60" s="167" t="str">
        <f t="shared" si="20"/>
        <v/>
      </c>
      <c r="BX60" s="168" t="str">
        <f t="shared" si="237"/>
        <v/>
      </c>
      <c r="BY60" s="169" t="str">
        <f t="shared" si="238"/>
        <v/>
      </c>
      <c r="BZ60" s="172" t="str">
        <f t="shared" si="239"/>
        <v/>
      </c>
      <c r="CA60" s="171" t="str">
        <f t="array" ref="CA60">IFERROR(IF(BU60="ac"+ISNUMBER(SEARCH("'",BZ60))+BY60="","", IF(ISNUMBER(SEARCH("lw",BZ60)), BM60 + SUBSTITUTE(BZ60,"lw+",""), MROUND(SWITCH(BU60,"sq",BY$7,"bn",BZ$7,"dl",CA$7,"")*IF(BZ60&gt;10, BZ60/100, VLOOKUP(BZ60, _rpe,SUBSTITUTE(BY60,"+","")+1,0)), IF( SWITCH(BU60,"sq",BY$7,"bn",BZ$7,"dl", CA$7,"")&lt; IF(_uom="lbs", 175, 80), 1.25, IF(_uom="lbs",5,2.5))))), "")</f>
        <v/>
      </c>
      <c r="CB60" s="148"/>
      <c r="CC60" s="33"/>
      <c r="CD60" s="171"/>
      <c r="CE60" s="124" t="str">
        <f>IFERROR(__xludf.DUMMYFUNCTION("IF(CA60=MAX(FILTER(CA$10:CA$199,LOOKUP(ROW(BU$10:BU$199),FILTER(ROW(BU$10:BU$199),BU$10:BU$199&lt;&gt;BU$9:BU$198))=LOOKUP(ROW(BU60),FILTER(ROW(BU$10:BU$199),BU$10:BU$199&lt;&gt;BU$9:BU$198)))),CB60,)"),"")</f>
        <v/>
      </c>
      <c r="CF60" s="122"/>
      <c r="CG60" s="39"/>
      <c r="CH60" s="143" t="str">
        <f t="shared" si="21"/>
        <v/>
      </c>
      <c r="CI60" s="38" t="str">
        <f>IFERROR(__xludf.DUMMYFUNCTION("""COMPUTED_VALUE"""),"")</f>
        <v/>
      </c>
      <c r="CJ60" s="144">
        <v>46153.0</v>
      </c>
      <c r="CK60" s="167" t="str">
        <f t="shared" si="27"/>
        <v/>
      </c>
      <c r="CL60" s="168" t="str">
        <f t="shared" si="240"/>
        <v/>
      </c>
      <c r="CM60" s="169" t="str">
        <f t="shared" si="241"/>
        <v/>
      </c>
      <c r="CN60" s="172" t="str">
        <f t="shared" si="242"/>
        <v/>
      </c>
      <c r="CO60" s="171" t="str">
        <f t="array" ref="CO60">IFERROR(IF(CI60="ac"+ISNUMBER(SEARCH("'",CN60))+CM60="","", IF(ISNUMBER(SEARCH("lw",CN60)), CA60 + SUBSTITUTE(CN60,"lw+",""), MROUND(SWITCH(CI60,"sq",CM$7,"bn",CN$7,"dl",CO$7,"")*IF(CN60&gt;10, CN60/100, VLOOKUP(CN60, _rpe,SUBSTITUTE(CM60,"+","")+1,0)), IF( SWITCH(CI60,"sq",CM$7,"bn",CN$7,"dl", CO$7,"")&lt; IF(_uom="lbs", 175, 80), 1.25, IF(_uom="lbs",5,2.5))))), "")</f>
        <v/>
      </c>
      <c r="CP60" s="148"/>
      <c r="CQ60" s="33"/>
      <c r="CR60" s="171"/>
      <c r="CS60" s="124" t="str">
        <f>IFERROR(__xludf.DUMMYFUNCTION("IF(CO60=MAX(FILTER(CO$10:CO$199,LOOKUP(ROW(CI$10:CI$199),FILTER(ROW(CI$10:CI$199),CI$10:CI$199&lt;&gt;CI$9:CI$198))=LOOKUP(ROW(CI60),FILTER(ROW(CI$10:CI$199),CI$10:CI$199&lt;&gt;CI$9:CI$198)))),CP60,)"),"")</f>
        <v/>
      </c>
      <c r="CT60" s="122"/>
      <c r="CU60" s="39"/>
      <c r="CV60" s="143" t="str">
        <f t="shared" si="22"/>
        <v/>
      </c>
      <c r="CW60" s="38" t="str">
        <f>IFERROR(__xludf.DUMMYFUNCTION("""COMPUTED_VALUE"""),"")</f>
        <v/>
      </c>
      <c r="CX60" s="144">
        <v>46160.0</v>
      </c>
      <c r="CY60" s="167" t="str">
        <f t="shared" si="28"/>
        <v/>
      </c>
      <c r="CZ60" s="168" t="str">
        <f t="shared" si="243"/>
        <v/>
      </c>
      <c r="DA60" s="169" t="str">
        <f t="shared" si="244"/>
        <v/>
      </c>
      <c r="DB60" s="172" t="str">
        <f t="shared" si="227"/>
        <v/>
      </c>
      <c r="DC60" s="171" t="str">
        <f t="array" ref="DC60">IFERROR(IF(CW60="ac"+ISNUMBER(SEARCH("'",DB60))+DA60="","", IF(ISNUMBER(SEARCH("lw",DB60)), CO60 + SUBSTITUTE(DB60,"lw+",""), MROUND(SWITCH(CW60,"sq",DA$7,"bn",DB$7,"dl",DC$7,"")*IF(DB60&gt;10, DB60/100, VLOOKUP(DB60, _rpe,SUBSTITUTE(DA60,"+","")+1,0)), IF( SWITCH(CW60,"sq",DA$7,"bn",DB$7,"dl", DC$7,"")&lt; IF(_uom="lbs", 175, 80), 1.25, IF(_uom="lbs",5,2.5))))), "")</f>
        <v/>
      </c>
      <c r="DD60" s="148"/>
      <c r="DE60" s="33"/>
      <c r="DF60" s="171"/>
      <c r="DG60" s="124" t="str">
        <f>IFERROR(__xludf.DUMMYFUNCTION("IF(DC60=MAX(FILTER(DC$10:DC$199,LOOKUP(ROW(CW$10:CW$199),FILTER(ROW(CW$10:CW$199),CW$10:CW$199&lt;&gt;CW$9:CW$198))=LOOKUP(ROW(CW60),FILTER(ROW(CW$10:CW$199),CW$10:CW$199&lt;&gt;CW$9:CW$198)))),DD60,)"),"")</f>
        <v/>
      </c>
      <c r="DH60" s="122"/>
      <c r="DI60" s="39"/>
      <c r="DJ60" s="143" t="str">
        <f t="shared" si="23"/>
        <v/>
      </c>
      <c r="DK60" s="38" t="str">
        <f>IFERROR(__xludf.DUMMYFUNCTION("""COMPUTED_VALUE"""),"")</f>
        <v/>
      </c>
      <c r="DL60" s="144">
        <v>46167.0</v>
      </c>
      <c r="DM60" s="167"/>
      <c r="DN60" s="168"/>
      <c r="DO60" s="169"/>
      <c r="DP60" s="172"/>
      <c r="DQ60" s="171" t="str">
        <f t="array" ref="DQ60">IFERROR(IF(DK60="ac"+ISNUMBER(SEARCH("'",DP60))+DO60="","", IF(ISNUMBER(SEARCH("lw",DP60)), DC60 + SUBSTITUTE(DP60,"lw+",""), MROUND(SWITCH(DK60,"sq",DO$7,"bn",DP$7,"dl",DQ$7,"")*IF(DP60&gt;10, DP60/100, VLOOKUP(DP60, _rpe,SUBSTITUTE(DO60,"+","")+1,0)), IF( SWITCH(DK60,"sq",DO$7,"bn",DP$7,"dl", DQ$7,"")&lt; IF(_uom="lbs", 175, 80), 1.25, IF(_uom="lbs",5,2.5))))), "")</f>
        <v/>
      </c>
      <c r="DR60" s="148"/>
      <c r="DS60" s="33"/>
      <c r="DT60" s="171"/>
      <c r="DU60" s="124" t="str">
        <f>IFERROR(__xludf.DUMMYFUNCTION("IF(DQ60=MAX(FILTER(DQ$10:DQ$199,LOOKUP(ROW(DK$10:DK$199),FILTER(ROW(DK$10:DK$199),DK$10:DK$199&lt;&gt;DK$9:DK$198))=LOOKUP(ROW(DK60),FILTER(ROW(DK$10:DK$199),DK$10:DK$199&lt;&gt;DK$9:DK$198)))),DR60,)"),"")</f>
        <v/>
      </c>
      <c r="DV60" s="122"/>
      <c r="DW60" s="39"/>
      <c r="DX60" s="143"/>
      <c r="DY60" s="38"/>
      <c r="DZ60" s="144"/>
      <c r="EA60" s="150"/>
      <c r="EB60" s="174"/>
      <c r="EC60" s="175"/>
      <c r="ED60" s="176"/>
      <c r="EE60" s="155"/>
      <c r="EF60" s="148"/>
      <c r="EG60" s="33"/>
      <c r="EH60" s="155"/>
      <c r="EI60" s="148"/>
      <c r="EJ60" s="33"/>
      <c r="EK60" s="39"/>
      <c r="EL60" s="143"/>
      <c r="EM60" s="38"/>
      <c r="EN60" s="144"/>
      <c r="EO60" s="150"/>
      <c r="EP60" s="174"/>
      <c r="EQ60" s="175"/>
      <c r="ER60" s="176"/>
      <c r="ES60" s="155"/>
      <c r="ET60" s="148"/>
      <c r="EU60" s="33"/>
      <c r="EV60" s="155"/>
      <c r="EW60" s="148"/>
      <c r="EX60" s="33"/>
      <c r="EY60" s="39"/>
      <c r="EZ60" s="143"/>
      <c r="FA60" s="38"/>
      <c r="FB60" s="144"/>
      <c r="FC60" s="150"/>
      <c r="FD60" s="174"/>
      <c r="FE60" s="175"/>
      <c r="FF60" s="176"/>
      <c r="FG60" s="155"/>
      <c r="FH60" s="148"/>
      <c r="FI60" s="33"/>
      <c r="FJ60" s="155"/>
      <c r="FK60" s="148"/>
      <c r="FL60" s="33"/>
      <c r="FM60" s="39"/>
      <c r="FN60" s="143"/>
      <c r="FO60" s="38"/>
      <c r="FP60" s="144"/>
      <c r="FQ60" s="150"/>
      <c r="FR60" s="174"/>
      <c r="FS60" s="175"/>
      <c r="FT60" s="176"/>
      <c r="FU60" s="155"/>
      <c r="FV60" s="148"/>
      <c r="FW60" s="33"/>
      <c r="FX60" s="155"/>
      <c r="FY60" s="148"/>
      <c r="FZ60" s="33"/>
      <c r="GA60" s="39"/>
      <c r="GB60" s="143"/>
      <c r="GC60" s="38"/>
      <c r="GD60" s="144"/>
      <c r="GE60" s="150"/>
      <c r="GF60" s="174"/>
      <c r="GG60" s="175"/>
      <c r="GH60" s="176"/>
      <c r="GI60" s="155"/>
      <c r="GJ60" s="148"/>
      <c r="GK60" s="33"/>
      <c r="GL60" s="155"/>
      <c r="GM60" s="148"/>
      <c r="GN60" s="33"/>
      <c r="GO60" s="39"/>
      <c r="GP60" s="143"/>
      <c r="GQ60" s="38"/>
      <c r="GR60" s="144"/>
      <c r="GS60" s="150"/>
      <c r="GT60" s="174"/>
      <c r="GU60" s="175"/>
      <c r="GV60" s="176"/>
      <c r="GW60" s="155"/>
      <c r="GX60" s="148"/>
      <c r="GY60" s="33"/>
      <c r="GZ60" s="155"/>
      <c r="HA60" s="148"/>
      <c r="HB60" s="33"/>
      <c r="HC60" s="39"/>
      <c r="HD60" s="143"/>
      <c r="HE60" s="38"/>
      <c r="HF60" s="144"/>
      <c r="HG60" s="150"/>
      <c r="HH60" s="174"/>
      <c r="HI60" s="175"/>
      <c r="HJ60" s="176"/>
      <c r="HK60" s="155"/>
      <c r="HL60" s="148"/>
      <c r="HM60" s="33"/>
      <c r="HN60" s="155"/>
      <c r="HO60" s="148"/>
      <c r="HP60" s="33"/>
      <c r="HQ60" s="39"/>
      <c r="HR60" s="143"/>
      <c r="HS60" s="38"/>
      <c r="HT60" s="144"/>
      <c r="HU60" s="150"/>
      <c r="HV60" s="174"/>
      <c r="HW60" s="175"/>
      <c r="HX60" s="176"/>
      <c r="HY60" s="155"/>
      <c r="HZ60" s="148"/>
      <c r="IA60" s="33"/>
      <c r="IB60" s="155"/>
      <c r="IC60" s="148"/>
      <c r="ID60" s="33"/>
      <c r="IE60" s="39"/>
      <c r="IF60" s="143"/>
      <c r="IG60" s="38"/>
      <c r="IH60" s="144"/>
      <c r="II60" s="150"/>
      <c r="IJ60" s="174"/>
      <c r="IK60" s="175"/>
      <c r="IL60" s="176"/>
      <c r="IM60" s="155"/>
      <c r="IN60" s="148"/>
      <c r="IO60" s="33"/>
      <c r="IP60" s="155"/>
      <c r="IQ60" s="148"/>
      <c r="IR60" s="33"/>
      <c r="IS60" s="39"/>
      <c r="IT60" s="143"/>
      <c r="IU60" s="38"/>
      <c r="IV60" s="144"/>
      <c r="IW60" s="143" t="str">
        <f t="shared" si="24"/>
        <v>#REF!</v>
      </c>
      <c r="IX60" s="38"/>
      <c r="IY60" s="144" t="e">
        <v>#REF!</v>
      </c>
    </row>
    <row r="61" hidden="1" outlineLevel="1">
      <c r="A61" s="33"/>
      <c r="B61" s="181"/>
      <c r="C61" s="38" t="str">
        <f>IFERROR(__xludf.DUMMYFUNCTION("""COMPUTED_VALUE"""),"")</f>
        <v/>
      </c>
      <c r="D61" s="144">
        <v>46111.0</v>
      </c>
      <c r="E61" s="182"/>
      <c r="F61" s="168"/>
      <c r="G61" s="169"/>
      <c r="H61" s="170"/>
      <c r="I61" s="171" t="str">
        <f t="array" ref="I61">IFERROR(IF(C61="ac"+ISNUMBER(SEARCH("'",H61))+G61="","", MROUND(SWITCH(C61,"sq",'Personal Info'!$O$15,"bn",'Personal Info'!$S$15,"dl",'Personal Info'!$W$15,"")*IF(H61&gt;10, H61/100, VLOOKUP(H61, _rpe,SUBSTITUTE(G61,"+","")+1,0)), IF( SWITCH(C61:C210,"sq",'Personal Info'!$O$15,"bn",'Personal Info'!$S$15,"dl", 'Personal Info'!$W$15,"")&lt; IF(_uom="lbs", 175, 80), 1.25, IF(_uom="lbs",5,2.5)))),"")</f>
        <v/>
      </c>
      <c r="J61" s="148"/>
      <c r="K61" s="33"/>
      <c r="L61" s="171"/>
      <c r="M61" s="124" t="str">
        <f>IFERROR(__xludf.DUMMYFUNCTION("IF(I61=MAX(FILTER(I$10:I$199,LOOKUP(ROW(C$10:C$199),FILTER(ROW(C$10:C$199),C$10:C$199&lt;&gt;C$9:C$198))=LOOKUP(ROW(C61),FILTER(ROW(C$10:C$199),C$10:C$199&lt;&gt;C$9:C$198)))),J61,)"),"")</f>
        <v/>
      </c>
      <c r="N61" s="122"/>
      <c r="O61" s="33"/>
      <c r="P61" s="143" t="str">
        <f t="shared" si="12"/>
        <v/>
      </c>
      <c r="Q61" s="38" t="str">
        <f>IFERROR(__xludf.DUMMYFUNCTION("""COMPUTED_VALUE"""),"")</f>
        <v/>
      </c>
      <c r="R61" s="144">
        <v>46118.0</v>
      </c>
      <c r="S61" s="167" t="str">
        <f t="shared" si="13"/>
        <v/>
      </c>
      <c r="T61" s="168" t="str">
        <f t="shared" si="228"/>
        <v/>
      </c>
      <c r="U61" s="169" t="str">
        <f t="shared" si="229"/>
        <v/>
      </c>
      <c r="V61" s="172" t="str">
        <f t="shared" si="230"/>
        <v/>
      </c>
      <c r="W61" s="171" t="str">
        <f t="array" ref="W61">IFERROR(IF(Q61="ac"+ISNUMBER(SEARCH("'",V61))+U61="","", IF(ISNUMBER(SEARCH("lw",V61)), I61 + SUBSTITUTE(V61,"lw+",""), MROUND(SWITCH(Q61,"sq",U$7,"bn",V$7,"dl",W$7,"")*IF(V61&gt;10, V61/100, VLOOKUP(V61, _rpe,SUBSTITUTE(U61,"+","")+1,0)), IF( SWITCH(Q61,"sq",U$7,"bn",V$7,"dl", W$7,"")&lt; IF(_uom="lbs", 175, 80), 1.25, IF(_uom="lbs",5,2.5))))), "")</f>
        <v/>
      </c>
      <c r="X61" s="148"/>
      <c r="Y61" s="33"/>
      <c r="Z61" s="171"/>
      <c r="AA61" s="124" t="str">
        <f>IFERROR(__xludf.DUMMYFUNCTION("IF(W61=MAX(FILTER(W$10:W$199,LOOKUP(ROW(Q$10:Q$199),FILTER(ROW(Q$10:Q$199),Q$10:Q$199&lt;&gt;Q$9:Q$198))=LOOKUP(ROW(Q61),FILTER(ROW(Q$10:Q$199),Q$10:Q$199&lt;&gt;Q$9:Q$198)))),X61,)"),"")</f>
        <v/>
      </c>
      <c r="AB61" s="122"/>
      <c r="AC61" s="33"/>
      <c r="AD61" s="143" t="str">
        <f t="shared" si="14"/>
        <v/>
      </c>
      <c r="AE61" s="38" t="str">
        <f>IFERROR(__xludf.DUMMYFUNCTION("""COMPUTED_VALUE"""),"")</f>
        <v/>
      </c>
      <c r="AF61" s="144">
        <v>46125.0</v>
      </c>
      <c r="AG61" s="167" t="str">
        <f t="shared" si="54"/>
        <v/>
      </c>
      <c r="AH61" s="168" t="str">
        <f t="shared" si="151"/>
        <v/>
      </c>
      <c r="AI61" s="169" t="str">
        <f t="shared" si="231"/>
        <v/>
      </c>
      <c r="AJ61" s="172" t="str">
        <f t="shared" si="232"/>
        <v/>
      </c>
      <c r="AK61" s="171" t="str">
        <f t="array" ref="AK61">IFERROR(IF(AE61="ac"+ISNUMBER(SEARCH("'",AJ61))+AI61="","", IF(ISNUMBER(SEARCH("lw",AJ61)), W61 + SUBSTITUTE(AJ61,"lw+",""), MROUND(SWITCH(AE61,"sq",AI$7,"bn",AJ$7,"dl",AK$7,"")*IF(AJ61&gt;10, AJ61/100, VLOOKUP(AJ61, _rpe,SUBSTITUTE(AI61,"+","")+1,0)), IF( SWITCH(AE61,"sq",AI$7,"bn",AJ$7,"dl", AK$7,"")&lt; IF(_uom="lbs", 175, 80), 1.25, IF(_uom="lbs",5,2.5))))), "")</f>
        <v/>
      </c>
      <c r="AL61" s="148"/>
      <c r="AM61" s="33"/>
      <c r="AN61" s="171"/>
      <c r="AO61" s="124" t="str">
        <f>IFERROR(__xludf.DUMMYFUNCTION("IF(AK61=MAX(FILTER(AK$10:AK$199,LOOKUP(ROW(AE$10:AE$199),FILTER(ROW(AE$10:AE$199),AE$10:AE$199&lt;&gt;AE$9:AE$198))=LOOKUP(ROW(AE61),FILTER(ROW(AE$10:AE$199),AE$10:AE$199&lt;&gt;AE$9:AE$198)))),AL61,)"),"")</f>
        <v/>
      </c>
      <c r="AP61" s="122"/>
      <c r="AQ61" s="33"/>
      <c r="AR61" s="143" t="str">
        <f t="shared" si="16"/>
        <v/>
      </c>
      <c r="AS61" s="38" t="str">
        <f>IFERROR(__xludf.DUMMYFUNCTION("""COMPUTED_VALUE"""),"")</f>
        <v/>
      </c>
      <c r="AT61" s="144">
        <v>46132.0</v>
      </c>
      <c r="AU61" s="167" t="str">
        <f t="shared" si="26"/>
        <v/>
      </c>
      <c r="AV61" s="168" t="str">
        <f t="shared" si="152"/>
        <v/>
      </c>
      <c r="AW61" s="169" t="str">
        <f t="shared" si="233"/>
        <v/>
      </c>
      <c r="AX61" s="172" t="str">
        <f t="shared" si="216"/>
        <v/>
      </c>
      <c r="AY61" s="171" t="str">
        <f t="array" ref="AY61">IFERROR(IF(AS61="ac"+ISNUMBER(SEARCH("'",AX61))+AW61="","", IF(ISNUMBER(SEARCH("lw",AX61)), AK61 + SUBSTITUTE(AX61,"lw+",""), MROUND(SWITCH(AS61,"sq",AW$7,"bn",AX$7,"dl",AY$7,"")*IF(AX61&gt;10, AX61/100, VLOOKUP(AX61, _rpe,SUBSTITUTE(AW61,"+","")+1,0)), IF( SWITCH(AS61,"sq",AW$7,"bn",AX$7,"dl", AY$7,"")&lt; IF(_uom="lbs", 175, 80), 1.25, IF(_uom="lbs",5,2.5))))), "")</f>
        <v/>
      </c>
      <c r="AZ61" s="148"/>
      <c r="BA61" s="33"/>
      <c r="BB61" s="171"/>
      <c r="BC61" s="124" t="str">
        <f>IFERROR(__xludf.DUMMYFUNCTION("IF(AY61=MAX(FILTER(AY$10:AY$199,LOOKUP(ROW(AS$10:AS$199),FILTER(ROW(AS$10:AS$199),AS$10:AS$199&lt;&gt;AS$9:AS$198))=LOOKUP(ROW(AS61),FILTER(ROW(AS$10:AS$199),AS$10:AS$199&lt;&gt;AS$9:AS$198)))),AZ61,)"),"")</f>
        <v/>
      </c>
      <c r="BD61" s="122"/>
      <c r="BE61" s="33"/>
      <c r="BF61" s="143" t="str">
        <f t="shared" si="17"/>
        <v/>
      </c>
      <c r="BG61" s="38" t="str">
        <f>IFERROR(__xludf.DUMMYFUNCTION("""COMPUTED_VALUE"""),"")</f>
        <v/>
      </c>
      <c r="BH61" s="144">
        <v>46139.0</v>
      </c>
      <c r="BI61" s="167" t="str">
        <f t="shared" si="18"/>
        <v/>
      </c>
      <c r="BJ61" s="168" t="str">
        <f t="shared" si="234"/>
        <v/>
      </c>
      <c r="BK61" s="169" t="str">
        <f t="shared" si="235"/>
        <v/>
      </c>
      <c r="BL61" s="172" t="str">
        <f t="shared" si="236"/>
        <v/>
      </c>
      <c r="BM61" s="171" t="str">
        <f t="array" ref="BM61">IFERROR(IF(BG61="ac"+ISNUMBER(SEARCH("'",BL61))+BK61="","", IF(ISNUMBER(SEARCH("lw",BL61)), AY61 + SUBSTITUTE(BL61,"lw+",""), MROUND(SWITCH(BG61,"sq",BK$7,"bn",BL$7,"dl",BM$7,"")*IF(BL61&gt;10, BL61/100, VLOOKUP(BL61, _rpe,SUBSTITUTE(BK61,"+","")+1,0)), IF( SWITCH(BG61,"sq",BK$7,"bn",BL$7,"dl", BM$7,"")&lt; IF(_uom="lbs", 175, 80), 1.25, IF(_uom="lbs",5,2.5))))), "")</f>
        <v/>
      </c>
      <c r="BN61" s="148"/>
      <c r="BO61" s="33"/>
      <c r="BP61" s="171"/>
      <c r="BQ61" s="124" t="str">
        <f>IFERROR(__xludf.DUMMYFUNCTION("IF(BM61=MAX(FILTER(BM$10:BM$199,LOOKUP(ROW(BG$10:BG$199),FILTER(ROW(BG$10:BG$199),BG$10:BG$199&lt;&gt;BG$9:BG$198))=LOOKUP(ROW(BG61),FILTER(ROW(BG$10:BG$199),BG$10:BG$199&lt;&gt;BG$9:BG$198)))),BN61,)"),"")</f>
        <v/>
      </c>
      <c r="BR61" s="122"/>
      <c r="BS61" s="33"/>
      <c r="BT61" s="143" t="str">
        <f t="shared" si="19"/>
        <v/>
      </c>
      <c r="BU61" s="38" t="str">
        <f>IFERROR(__xludf.DUMMYFUNCTION("""COMPUTED_VALUE"""),"")</f>
        <v/>
      </c>
      <c r="BV61" s="144">
        <v>46146.0</v>
      </c>
      <c r="BW61" s="167" t="str">
        <f t="shared" si="20"/>
        <v/>
      </c>
      <c r="BX61" s="168" t="str">
        <f t="shared" si="237"/>
        <v/>
      </c>
      <c r="BY61" s="169" t="str">
        <f t="shared" si="238"/>
        <v/>
      </c>
      <c r="BZ61" s="172" t="str">
        <f t="shared" si="239"/>
        <v/>
      </c>
      <c r="CA61" s="171" t="str">
        <f t="array" ref="CA61">IFERROR(IF(BU61="ac"+ISNUMBER(SEARCH("'",BZ61))+BY61="","", IF(ISNUMBER(SEARCH("lw",BZ61)), BM61 + SUBSTITUTE(BZ61,"lw+",""), MROUND(SWITCH(BU61,"sq",BY$7,"bn",BZ$7,"dl",CA$7,"")*IF(BZ61&gt;10, BZ61/100, VLOOKUP(BZ61, _rpe,SUBSTITUTE(BY61,"+","")+1,0)), IF( SWITCH(BU61,"sq",BY$7,"bn",BZ$7,"dl", CA$7,"")&lt; IF(_uom="lbs", 175, 80), 1.25, IF(_uom="lbs",5,2.5))))), "")</f>
        <v/>
      </c>
      <c r="CB61" s="148"/>
      <c r="CC61" s="33"/>
      <c r="CD61" s="171"/>
      <c r="CE61" s="124" t="str">
        <f>IFERROR(__xludf.DUMMYFUNCTION("IF(CA61=MAX(FILTER(CA$10:CA$199,LOOKUP(ROW(BU$10:BU$199),FILTER(ROW(BU$10:BU$199),BU$10:BU$199&lt;&gt;BU$9:BU$198))=LOOKUP(ROW(BU61),FILTER(ROW(BU$10:BU$199),BU$10:BU$199&lt;&gt;BU$9:BU$198)))),CB61,)"),"")</f>
        <v/>
      </c>
      <c r="CF61" s="122"/>
      <c r="CG61" s="33"/>
      <c r="CH61" s="143" t="str">
        <f t="shared" si="21"/>
        <v/>
      </c>
      <c r="CI61" s="38" t="str">
        <f>IFERROR(__xludf.DUMMYFUNCTION("""COMPUTED_VALUE"""),"")</f>
        <v/>
      </c>
      <c r="CJ61" s="144">
        <v>46153.0</v>
      </c>
      <c r="CK61" s="167" t="str">
        <f t="shared" si="27"/>
        <v/>
      </c>
      <c r="CL61" s="168" t="str">
        <f t="shared" si="240"/>
        <v/>
      </c>
      <c r="CM61" s="169" t="str">
        <f t="shared" si="241"/>
        <v/>
      </c>
      <c r="CN61" s="172" t="str">
        <f t="shared" si="242"/>
        <v/>
      </c>
      <c r="CO61" s="171" t="str">
        <f t="array" ref="CO61">IFERROR(IF(CI61="ac"+ISNUMBER(SEARCH("'",CN61))+CM61="","", IF(ISNUMBER(SEARCH("lw",CN61)), CA61 + SUBSTITUTE(CN61,"lw+",""), MROUND(SWITCH(CI61,"sq",CM$7,"bn",CN$7,"dl",CO$7,"")*IF(CN61&gt;10, CN61/100, VLOOKUP(CN61, _rpe,SUBSTITUTE(CM61,"+","")+1,0)), IF( SWITCH(CI61,"sq",CM$7,"bn",CN$7,"dl", CO$7,"")&lt; IF(_uom="lbs", 175, 80), 1.25, IF(_uom="lbs",5,2.5))))), "")</f>
        <v/>
      </c>
      <c r="CP61" s="148"/>
      <c r="CQ61" s="33"/>
      <c r="CR61" s="171"/>
      <c r="CS61" s="124" t="str">
        <f>IFERROR(__xludf.DUMMYFUNCTION("IF(CO61=MAX(FILTER(CO$10:CO$199,LOOKUP(ROW(CI$10:CI$199),FILTER(ROW(CI$10:CI$199),CI$10:CI$199&lt;&gt;CI$9:CI$198))=LOOKUP(ROW(CI61),FILTER(ROW(CI$10:CI$199),CI$10:CI$199&lt;&gt;CI$9:CI$198)))),CP61,)"),"")</f>
        <v/>
      </c>
      <c r="CT61" s="122"/>
      <c r="CU61" s="33"/>
      <c r="CV61" s="143" t="str">
        <f t="shared" si="22"/>
        <v/>
      </c>
      <c r="CW61" s="38" t="str">
        <f>IFERROR(__xludf.DUMMYFUNCTION("""COMPUTED_VALUE"""),"")</f>
        <v/>
      </c>
      <c r="CX61" s="144">
        <v>46160.0</v>
      </c>
      <c r="CY61" s="167" t="str">
        <f t="shared" si="28"/>
        <v/>
      </c>
      <c r="CZ61" s="168" t="str">
        <f t="shared" si="243"/>
        <v/>
      </c>
      <c r="DA61" s="169" t="str">
        <f t="shared" si="244"/>
        <v/>
      </c>
      <c r="DB61" s="172" t="str">
        <f t="shared" si="227"/>
        <v/>
      </c>
      <c r="DC61" s="171" t="str">
        <f t="array" ref="DC61">IFERROR(IF(CW61="ac"+ISNUMBER(SEARCH("'",DB61))+DA61="","", IF(ISNUMBER(SEARCH("lw",DB61)), CO61 + SUBSTITUTE(DB61,"lw+",""), MROUND(SWITCH(CW61,"sq",DA$7,"bn",DB$7,"dl",DC$7,"")*IF(DB61&gt;10, DB61/100, VLOOKUP(DB61, _rpe,SUBSTITUTE(DA61,"+","")+1,0)), IF( SWITCH(CW61,"sq",DA$7,"bn",DB$7,"dl", DC$7,"")&lt; IF(_uom="lbs", 175, 80), 1.25, IF(_uom="lbs",5,2.5))))), "")</f>
        <v/>
      </c>
      <c r="DD61" s="148"/>
      <c r="DE61" s="33"/>
      <c r="DF61" s="171"/>
      <c r="DG61" s="124" t="str">
        <f>IFERROR(__xludf.DUMMYFUNCTION("IF(DC61=MAX(FILTER(DC$10:DC$199,LOOKUP(ROW(CW$10:CW$199),FILTER(ROW(CW$10:CW$199),CW$10:CW$199&lt;&gt;CW$9:CW$198))=LOOKUP(ROW(CW61),FILTER(ROW(CW$10:CW$199),CW$10:CW$199&lt;&gt;CW$9:CW$198)))),DD61,)"),"")</f>
        <v/>
      </c>
      <c r="DH61" s="122"/>
      <c r="DI61" s="33"/>
      <c r="DJ61" s="143" t="str">
        <f t="shared" si="23"/>
        <v/>
      </c>
      <c r="DK61" s="38" t="str">
        <f>IFERROR(__xludf.DUMMYFUNCTION("""COMPUTED_VALUE"""),"")</f>
        <v/>
      </c>
      <c r="DL61" s="144">
        <v>46167.0</v>
      </c>
      <c r="DM61" s="167"/>
      <c r="DN61" s="168"/>
      <c r="DO61" s="169"/>
      <c r="DP61" s="172"/>
      <c r="DQ61" s="171" t="str">
        <f t="array" ref="DQ61">IFERROR(IF(DK61="ac"+ISNUMBER(SEARCH("'",DP61))+DO61="","", IF(ISNUMBER(SEARCH("lw",DP61)), DC61 + SUBSTITUTE(DP61,"lw+",""), MROUND(SWITCH(DK61,"sq",DO$7,"bn",DP$7,"dl",DQ$7,"")*IF(DP61&gt;10, DP61/100, VLOOKUP(DP61, _rpe,SUBSTITUTE(DO61,"+","")+1,0)), IF( SWITCH(DK61,"sq",DO$7,"bn",DP$7,"dl", DQ$7,"")&lt; IF(_uom="lbs", 175, 80), 1.25, IF(_uom="lbs",5,2.5))))), "")</f>
        <v/>
      </c>
      <c r="DR61" s="148"/>
      <c r="DS61" s="33"/>
      <c r="DT61" s="171"/>
      <c r="DU61" s="124" t="str">
        <f>IFERROR(__xludf.DUMMYFUNCTION("IF(DQ61=MAX(FILTER(DQ$10:DQ$199,LOOKUP(ROW(DK$10:DK$199),FILTER(ROW(DK$10:DK$199),DK$10:DK$199&lt;&gt;DK$9:DK$198))=LOOKUP(ROW(DK61),FILTER(ROW(DK$10:DK$199),DK$10:DK$199&lt;&gt;DK$9:DK$198)))),DR61,)"),"")</f>
        <v/>
      </c>
      <c r="DV61" s="122"/>
      <c r="DW61" s="33"/>
      <c r="DX61" s="143"/>
      <c r="DY61" s="38"/>
      <c r="DZ61" s="144"/>
      <c r="EA61" s="150"/>
      <c r="EB61" s="174"/>
      <c r="EC61" s="175"/>
      <c r="ED61" s="176"/>
      <c r="EE61" s="155"/>
      <c r="EF61" s="148"/>
      <c r="EG61" s="33"/>
      <c r="EH61" s="155"/>
      <c r="EI61" s="148"/>
      <c r="EJ61" s="33"/>
      <c r="EK61" s="33"/>
      <c r="EL61" s="143"/>
      <c r="EM61" s="38"/>
      <c r="EN61" s="144"/>
      <c r="EO61" s="150"/>
      <c r="EP61" s="174"/>
      <c r="EQ61" s="175"/>
      <c r="ER61" s="176"/>
      <c r="ES61" s="155"/>
      <c r="ET61" s="148"/>
      <c r="EU61" s="33"/>
      <c r="EV61" s="155"/>
      <c r="EW61" s="148"/>
      <c r="EX61" s="33"/>
      <c r="EY61" s="33"/>
      <c r="EZ61" s="143"/>
      <c r="FA61" s="38"/>
      <c r="FB61" s="144"/>
      <c r="FC61" s="150"/>
      <c r="FD61" s="174"/>
      <c r="FE61" s="175"/>
      <c r="FF61" s="176"/>
      <c r="FG61" s="155"/>
      <c r="FH61" s="148"/>
      <c r="FI61" s="33"/>
      <c r="FJ61" s="155"/>
      <c r="FK61" s="148"/>
      <c r="FL61" s="33"/>
      <c r="FM61" s="33"/>
      <c r="FN61" s="143"/>
      <c r="FO61" s="38"/>
      <c r="FP61" s="144"/>
      <c r="FQ61" s="150"/>
      <c r="FR61" s="174"/>
      <c r="FS61" s="175"/>
      <c r="FT61" s="176"/>
      <c r="FU61" s="155"/>
      <c r="FV61" s="148"/>
      <c r="FW61" s="33"/>
      <c r="FX61" s="155"/>
      <c r="FY61" s="148"/>
      <c r="FZ61" s="33"/>
      <c r="GA61" s="33"/>
      <c r="GB61" s="143"/>
      <c r="GC61" s="38"/>
      <c r="GD61" s="144"/>
      <c r="GE61" s="150"/>
      <c r="GF61" s="174"/>
      <c r="GG61" s="175"/>
      <c r="GH61" s="176"/>
      <c r="GI61" s="155"/>
      <c r="GJ61" s="148"/>
      <c r="GK61" s="33"/>
      <c r="GL61" s="155"/>
      <c r="GM61" s="148"/>
      <c r="GN61" s="33"/>
      <c r="GO61" s="33"/>
      <c r="GP61" s="143"/>
      <c r="GQ61" s="38"/>
      <c r="GR61" s="144"/>
      <c r="GS61" s="150"/>
      <c r="GT61" s="174"/>
      <c r="GU61" s="175"/>
      <c r="GV61" s="176"/>
      <c r="GW61" s="155"/>
      <c r="GX61" s="148"/>
      <c r="GY61" s="33"/>
      <c r="GZ61" s="155"/>
      <c r="HA61" s="148"/>
      <c r="HB61" s="33"/>
      <c r="HC61" s="33"/>
      <c r="HD61" s="143"/>
      <c r="HE61" s="38"/>
      <c r="HF61" s="144"/>
      <c r="HG61" s="150"/>
      <c r="HH61" s="174"/>
      <c r="HI61" s="175"/>
      <c r="HJ61" s="176"/>
      <c r="HK61" s="155"/>
      <c r="HL61" s="148"/>
      <c r="HM61" s="33"/>
      <c r="HN61" s="155"/>
      <c r="HO61" s="148"/>
      <c r="HP61" s="33"/>
      <c r="HQ61" s="33"/>
      <c r="HR61" s="143"/>
      <c r="HS61" s="38"/>
      <c r="HT61" s="144"/>
      <c r="HU61" s="150"/>
      <c r="HV61" s="174"/>
      <c r="HW61" s="175"/>
      <c r="HX61" s="176"/>
      <c r="HY61" s="155"/>
      <c r="HZ61" s="148"/>
      <c r="IA61" s="33"/>
      <c r="IB61" s="155"/>
      <c r="IC61" s="148"/>
      <c r="ID61" s="33"/>
      <c r="IE61" s="33"/>
      <c r="IF61" s="143"/>
      <c r="IG61" s="38"/>
      <c r="IH61" s="144"/>
      <c r="II61" s="150"/>
      <c r="IJ61" s="174"/>
      <c r="IK61" s="175"/>
      <c r="IL61" s="176"/>
      <c r="IM61" s="155"/>
      <c r="IN61" s="148"/>
      <c r="IO61" s="33"/>
      <c r="IP61" s="155"/>
      <c r="IQ61" s="148"/>
      <c r="IR61" s="33"/>
      <c r="IS61" s="33"/>
      <c r="IT61" s="143"/>
      <c r="IU61" s="38"/>
      <c r="IV61" s="144"/>
      <c r="IW61" s="143" t="str">
        <f t="shared" si="24"/>
        <v>#REF!</v>
      </c>
      <c r="IX61" s="38"/>
      <c r="IY61" s="144" t="e">
        <v>#REF!</v>
      </c>
    </row>
    <row r="62" collapsed="1">
      <c r="A62" s="33"/>
      <c r="B62" s="143" t="s">
        <v>336</v>
      </c>
      <c r="C62" s="38" t="str">
        <f>IFERROR(__xludf.DUMMYFUNCTION("""COMPUTED_VALUE"""),"ac")</f>
        <v>ac</v>
      </c>
      <c r="D62" s="144">
        <v>46111.0</v>
      </c>
      <c r="E62" s="167" t="s">
        <v>337</v>
      </c>
      <c r="F62" s="168">
        <v>3.0</v>
      </c>
      <c r="G62" s="179" t="s">
        <v>317</v>
      </c>
      <c r="H62" s="173" t="s">
        <v>307</v>
      </c>
      <c r="I62" s="171" t="str">
        <f t="array" ref="I62">IFERROR(IF(C62="ac"+ISNUMBER(SEARCH("'",H62))+G62="","", MROUND(SWITCH(C62,"sq",'Personal Info'!$O$15,"bn",'Personal Info'!$S$15,"dl",'Personal Info'!$W$15,"")*IF(H62&gt;10, H62/100, VLOOKUP(H62, _rpe,SUBSTITUTE(G62,"+","")+1,0)), IF( SWITCH(C62:C210,"sq",'Personal Info'!$O$15,"bn",'Personal Info'!$S$15,"dl", 'Personal Info'!$W$15,"")&lt; IF(_uom="lbs", 175, 80), 1.25, IF(_uom="lbs",5,2.5)))),"")</f>
        <v/>
      </c>
      <c r="J62" s="148"/>
      <c r="K62" s="33"/>
      <c r="L62" s="171"/>
      <c r="M62" s="124" t="str">
        <f>IFERROR(__xludf.DUMMYFUNCTION("IF(I62=MAX(FILTER(I$10:I$199,LOOKUP(ROW(C$10:C$199),FILTER(ROW(C$10:C$199),C$10:C$199&lt;&gt;C$9:C$198))=LOOKUP(ROW(C62),FILTER(ROW(C$10:C$199),C$10:C$199&lt;&gt;C$9:C$198)))),J62,)"),"")</f>
        <v/>
      </c>
      <c r="N62" s="122"/>
      <c r="O62" s="33"/>
      <c r="P62" s="143" t="str">
        <f t="shared" si="12"/>
        <v>quads</v>
      </c>
      <c r="Q62" s="38" t="str">
        <f>IFERROR(__xludf.DUMMYFUNCTION("""COMPUTED_VALUE"""),"ac")</f>
        <v>ac</v>
      </c>
      <c r="R62" s="144">
        <v>46118.0</v>
      </c>
      <c r="S62" s="167" t="str">
        <f t="shared" si="13"/>
        <v>Leg Press or Hack Squat</v>
      </c>
      <c r="T62" s="168">
        <f t="shared" si="228"/>
        <v>3</v>
      </c>
      <c r="U62" s="179" t="s">
        <v>317</v>
      </c>
      <c r="V62" s="173" t="s">
        <v>307</v>
      </c>
      <c r="W62" s="171" t="str">
        <f t="array" ref="W62">IFERROR(IF(Q62="ac"+ISNUMBER(SEARCH("'",V62))+U62="","", IF(ISNUMBER(SEARCH("lw",V62)), I62 + SUBSTITUTE(V62,"lw+",""), MROUND(SWITCH(Q62,"sq",U$7,"bn",V$7,"dl",W$7,"")*IF(V62&gt;10, V62/100, VLOOKUP(V62, _rpe,SUBSTITUTE(U62,"+","")+1,0)), IF( SWITCH(Q62,"sq",U$7,"bn",V$7,"dl", W$7,"")&lt; IF(_uom="lbs", 175, 80), 1.25, IF(_uom="lbs",5,2.5))))), "")</f>
        <v/>
      </c>
      <c r="X62" s="148"/>
      <c r="Y62" s="33"/>
      <c r="Z62" s="171"/>
      <c r="AA62" s="124" t="str">
        <f>IFERROR(__xludf.DUMMYFUNCTION("IF(W62=MAX(FILTER(W$10:W$199,LOOKUP(ROW(Q$10:Q$199),FILTER(ROW(Q$10:Q$199),Q$10:Q$199&lt;&gt;Q$9:Q$198))=LOOKUP(ROW(Q62),FILTER(ROW(Q$10:Q$199),Q$10:Q$199&lt;&gt;Q$9:Q$198)))),X62,)"),"")</f>
        <v/>
      </c>
      <c r="AB62" s="122"/>
      <c r="AC62" s="33"/>
      <c r="AD62" s="143" t="str">
        <f t="shared" si="14"/>
        <v>quads</v>
      </c>
      <c r="AE62" s="38" t="str">
        <f>IFERROR(__xludf.DUMMYFUNCTION("""COMPUTED_VALUE"""),"ac")</f>
        <v>ac</v>
      </c>
      <c r="AF62" s="144">
        <v>46125.0</v>
      </c>
      <c r="AG62" s="167" t="str">
        <f t="shared" si="54"/>
        <v>Leg Press or Hack Squat</v>
      </c>
      <c r="AH62" s="168">
        <f t="shared" si="151"/>
        <v>3</v>
      </c>
      <c r="AI62" s="179" t="s">
        <v>317</v>
      </c>
      <c r="AJ62" s="173" t="s">
        <v>307</v>
      </c>
      <c r="AK62" s="171" t="str">
        <f t="array" ref="AK62">IFERROR(IF(AE62="ac"+ISNUMBER(SEARCH("'",AJ62))+AI62="","", IF(ISNUMBER(SEARCH("lw",AJ62)), W62 + SUBSTITUTE(AJ62,"lw+",""), MROUND(SWITCH(AE62,"sq",AI$7,"bn",AJ$7,"dl",AK$7,"")*IF(AJ62&gt;10, AJ62/100, VLOOKUP(AJ62, _rpe,SUBSTITUTE(AI62,"+","")+1,0)), IF( SWITCH(AE62,"sq",AI$7,"bn",AJ$7,"dl", AK$7,"")&lt; IF(_uom="lbs", 175, 80), 1.25, IF(_uom="lbs",5,2.5))))), "")</f>
        <v/>
      </c>
      <c r="AL62" s="148"/>
      <c r="AM62" s="33"/>
      <c r="AN62" s="171"/>
      <c r="AO62" s="124" t="str">
        <f>IFERROR(__xludf.DUMMYFUNCTION("IF(AK62=MAX(FILTER(AK$10:AK$199,LOOKUP(ROW(AE$10:AE$199),FILTER(ROW(AE$10:AE$199),AE$10:AE$199&lt;&gt;AE$9:AE$198))=LOOKUP(ROW(AE62),FILTER(ROW(AE$10:AE$199),AE$10:AE$199&lt;&gt;AE$9:AE$198)))),AL62,)"),"")</f>
        <v/>
      </c>
      <c r="AP62" s="122"/>
      <c r="AQ62" s="33"/>
      <c r="AR62" s="143" t="str">
        <f t="shared" si="16"/>
        <v>quads</v>
      </c>
      <c r="AS62" s="38" t="str">
        <f>IFERROR(__xludf.DUMMYFUNCTION("""COMPUTED_VALUE"""),"ac")</f>
        <v>ac</v>
      </c>
      <c r="AT62" s="144">
        <v>46132.0</v>
      </c>
      <c r="AU62" s="167" t="str">
        <f t="shared" si="26"/>
        <v>Leg Press or Hack Squat</v>
      </c>
      <c r="AV62" s="168">
        <f t="shared" si="152"/>
        <v>3</v>
      </c>
      <c r="AW62" s="179" t="s">
        <v>317</v>
      </c>
      <c r="AX62" s="172" t="str">
        <f t="shared" si="216"/>
        <v>@7.5</v>
      </c>
      <c r="AY62" s="171" t="str">
        <f t="array" ref="AY62">IFERROR(IF(AS62="ac"+ISNUMBER(SEARCH("'",AX62))+AW62="","", IF(ISNUMBER(SEARCH("lw",AX62)), AK62 + SUBSTITUTE(AX62,"lw+",""), MROUND(SWITCH(AS62,"sq",AW$7,"bn",AX$7,"dl",AY$7,"")*IF(AX62&gt;10, AX62/100, VLOOKUP(AX62, _rpe,SUBSTITUTE(AW62,"+","")+1,0)), IF( SWITCH(AS62,"sq",AW$7,"bn",AX$7,"dl", AY$7,"")&lt; IF(_uom="lbs", 175, 80), 1.25, IF(_uom="lbs",5,2.5))))), "")</f>
        <v/>
      </c>
      <c r="AZ62" s="148"/>
      <c r="BA62" s="33"/>
      <c r="BB62" s="171"/>
      <c r="BC62" s="124" t="str">
        <f>IFERROR(__xludf.DUMMYFUNCTION("IF(AY62=MAX(FILTER(AY$10:AY$199,LOOKUP(ROW(AS$10:AS$199),FILTER(ROW(AS$10:AS$199),AS$10:AS$199&lt;&gt;AS$9:AS$198))=LOOKUP(ROW(AS62),FILTER(ROW(AS$10:AS$199),AS$10:AS$199&lt;&gt;AS$9:AS$198)))),AZ62,)"),"")</f>
        <v/>
      </c>
      <c r="BD62" s="122"/>
      <c r="BE62" s="33"/>
      <c r="BF62" s="143" t="str">
        <f t="shared" si="17"/>
        <v>quads</v>
      </c>
      <c r="BG62" s="38" t="str">
        <f>IFERROR(__xludf.DUMMYFUNCTION("""COMPUTED_VALUE"""),"ac")</f>
        <v>ac</v>
      </c>
      <c r="BH62" s="144">
        <v>46139.0</v>
      </c>
      <c r="BI62" s="167" t="str">
        <f t="shared" si="18"/>
        <v>Leg Press or Hack Squat</v>
      </c>
      <c r="BJ62" s="168">
        <v>3.0</v>
      </c>
      <c r="BK62" s="179" t="s">
        <v>335</v>
      </c>
      <c r="BL62" s="173" t="s">
        <v>307</v>
      </c>
      <c r="BM62" s="171" t="str">
        <f t="array" ref="BM62">IFERROR(IF(BG62="ac"+ISNUMBER(SEARCH("'",BL62))+BK62="","", IF(ISNUMBER(SEARCH("lw",BL62)), AY62 + SUBSTITUTE(BL62,"lw+",""), MROUND(SWITCH(BG62,"sq",BK$7,"bn",BL$7,"dl",BM$7,"")*IF(BL62&gt;10, BL62/100, VLOOKUP(BL62, _rpe,SUBSTITUTE(BK62,"+","")+1,0)), IF( SWITCH(BG62,"sq",BK$7,"bn",BL$7,"dl", BM$7,"")&lt; IF(_uom="lbs", 175, 80), 1.25, IF(_uom="lbs",5,2.5))))), "")</f>
        <v/>
      </c>
      <c r="BN62" s="148"/>
      <c r="BO62" s="33"/>
      <c r="BP62" s="171"/>
      <c r="BQ62" s="124" t="str">
        <f>IFERROR(__xludf.DUMMYFUNCTION("IF(BM62=MAX(FILTER(BM$10:BM$199,LOOKUP(ROW(BG$10:BG$199),FILTER(ROW(BG$10:BG$199),BG$10:BG$199&lt;&gt;BG$9:BG$198))=LOOKUP(ROW(BG62),FILTER(ROW(BG$10:BG$199),BG$10:BG$199&lt;&gt;BG$9:BG$198)))),BN62,)"),"")</f>
        <v/>
      </c>
      <c r="BR62" s="122"/>
      <c r="BS62" s="33"/>
      <c r="BT62" s="143" t="str">
        <f t="shared" si="19"/>
        <v>quads</v>
      </c>
      <c r="BU62" s="38" t="str">
        <f>IFERROR(__xludf.DUMMYFUNCTION("""COMPUTED_VALUE"""),"ac")</f>
        <v>ac</v>
      </c>
      <c r="BV62" s="144">
        <v>46146.0</v>
      </c>
      <c r="BW62" s="167" t="str">
        <f t="shared" si="20"/>
        <v>Leg Press or Hack Squat</v>
      </c>
      <c r="BX62" s="168">
        <v>3.0</v>
      </c>
      <c r="BY62" s="179" t="s">
        <v>335</v>
      </c>
      <c r="BZ62" s="173" t="s">
        <v>307</v>
      </c>
      <c r="CA62" s="171" t="str">
        <f t="array" ref="CA62">IFERROR(IF(BU62="ac"+ISNUMBER(SEARCH("'",BZ62))+BY62="","", IF(ISNUMBER(SEARCH("lw",BZ62)), BM62 + SUBSTITUTE(BZ62,"lw+",""), MROUND(SWITCH(BU62,"sq",BY$7,"bn",BZ$7,"dl",CA$7,"")*IF(BZ62&gt;10, BZ62/100, VLOOKUP(BZ62, _rpe,SUBSTITUTE(BY62,"+","")+1,0)), IF( SWITCH(BU62,"sq",BY$7,"bn",BZ$7,"dl", CA$7,"")&lt; IF(_uom="lbs", 175, 80), 1.25, IF(_uom="lbs",5,2.5))))), "")</f>
        <v/>
      </c>
      <c r="CB62" s="148"/>
      <c r="CC62" s="33"/>
      <c r="CD62" s="171"/>
      <c r="CE62" s="124" t="str">
        <f>IFERROR(__xludf.DUMMYFUNCTION("IF(CA62=MAX(FILTER(CA$10:CA$199,LOOKUP(ROW(BU$10:BU$199),FILTER(ROW(BU$10:BU$199),BU$10:BU$199&lt;&gt;BU$9:BU$198))=LOOKUP(ROW(BU62),FILTER(ROW(BU$10:BU$199),BU$10:BU$199&lt;&gt;BU$9:BU$198)))),CB62,)"),"")</f>
        <v/>
      </c>
      <c r="CF62" s="122"/>
      <c r="CG62" s="33"/>
      <c r="CH62" s="143" t="str">
        <f t="shared" si="21"/>
        <v>quads</v>
      </c>
      <c r="CI62" s="38" t="str">
        <f>IFERROR(__xludf.DUMMYFUNCTION("""COMPUTED_VALUE"""),"ac")</f>
        <v>ac</v>
      </c>
      <c r="CJ62" s="144">
        <v>46153.0</v>
      </c>
      <c r="CK62" s="167" t="str">
        <f t="shared" si="27"/>
        <v>Leg Press or Hack Squat</v>
      </c>
      <c r="CL62" s="168">
        <v>3.0</v>
      </c>
      <c r="CM62" s="179" t="s">
        <v>335</v>
      </c>
      <c r="CN62" s="173" t="s">
        <v>307</v>
      </c>
      <c r="CO62" s="171" t="str">
        <f t="array" ref="CO62">IFERROR(IF(CI62="ac"+ISNUMBER(SEARCH("'",CN62))+CM62="","", IF(ISNUMBER(SEARCH("lw",CN62)), CA62 + SUBSTITUTE(CN62,"lw+",""), MROUND(SWITCH(CI62,"sq",CM$7,"bn",CN$7,"dl",CO$7,"")*IF(CN62&gt;10, CN62/100, VLOOKUP(CN62, _rpe,SUBSTITUTE(CM62,"+","")+1,0)), IF( SWITCH(CI62,"sq",CM$7,"bn",CN$7,"dl", CO$7,"")&lt; IF(_uom="lbs", 175, 80), 1.25, IF(_uom="lbs",5,2.5))))), "")</f>
        <v/>
      </c>
      <c r="CP62" s="148"/>
      <c r="CQ62" s="33"/>
      <c r="CR62" s="171"/>
      <c r="CS62" s="124" t="str">
        <f>IFERROR(__xludf.DUMMYFUNCTION("IF(CO62=MAX(FILTER(CO$10:CO$199,LOOKUP(ROW(CI$10:CI$199),FILTER(ROW(CI$10:CI$199),CI$10:CI$199&lt;&gt;CI$9:CI$198))=LOOKUP(ROW(CI62),FILTER(ROW(CI$10:CI$199),CI$10:CI$199&lt;&gt;CI$9:CI$198)))),CP62,)"),"")</f>
        <v/>
      </c>
      <c r="CT62" s="122"/>
      <c r="CU62" s="33"/>
      <c r="CV62" s="143" t="str">
        <f t="shared" si="22"/>
        <v>quads</v>
      </c>
      <c r="CW62" s="38" t="str">
        <f>IFERROR(__xludf.DUMMYFUNCTION("""COMPUTED_VALUE"""),"ac")</f>
        <v>ac</v>
      </c>
      <c r="CX62" s="144">
        <v>46160.0</v>
      </c>
      <c r="CY62" s="167" t="str">
        <f t="shared" si="28"/>
        <v>Leg Press or Hack Squat</v>
      </c>
      <c r="CZ62" s="168">
        <f t="shared" si="243"/>
        <v>3</v>
      </c>
      <c r="DA62" s="179" t="s">
        <v>335</v>
      </c>
      <c r="DB62" s="172" t="str">
        <f t="shared" si="227"/>
        <v>@7.5</v>
      </c>
      <c r="DC62" s="171" t="str">
        <f t="array" ref="DC62">IFERROR(IF(CW62="ac"+ISNUMBER(SEARCH("'",DB62))+DA62="","", IF(ISNUMBER(SEARCH("lw",DB62)), CO62 + SUBSTITUTE(DB62,"lw+",""), MROUND(SWITCH(CW62,"sq",DA$7,"bn",DB$7,"dl",DC$7,"")*IF(DB62&gt;10, DB62/100, VLOOKUP(DB62, _rpe,SUBSTITUTE(DA62,"+","")+1,0)), IF( SWITCH(CW62,"sq",DA$7,"bn",DB$7,"dl", DC$7,"")&lt; IF(_uom="lbs", 175, 80), 1.25, IF(_uom="lbs",5,2.5))))), "")</f>
        <v/>
      </c>
      <c r="DD62" s="148"/>
      <c r="DE62" s="33"/>
      <c r="DF62" s="171"/>
      <c r="DG62" s="124" t="str">
        <f>IFERROR(__xludf.DUMMYFUNCTION("IF(DC62=MAX(FILTER(DC$10:DC$199,LOOKUP(ROW(CW$10:CW$199),FILTER(ROW(CW$10:CW$199),CW$10:CW$199&lt;&gt;CW$9:CW$198))=LOOKUP(ROW(CW62),FILTER(ROW(CW$10:CW$199),CW$10:CW$199&lt;&gt;CW$9:CW$198)))),DD62,)"),"")</f>
        <v/>
      </c>
      <c r="DH62" s="122"/>
      <c r="DI62" s="33"/>
      <c r="DJ62" s="143" t="str">
        <f t="shared" si="23"/>
        <v>quads</v>
      </c>
      <c r="DK62" s="38" t="str">
        <f>IFERROR(__xludf.DUMMYFUNCTION("""COMPUTED_VALUE"""),"")</f>
        <v/>
      </c>
      <c r="DL62" s="144">
        <v>46167.0</v>
      </c>
      <c r="DM62" s="167"/>
      <c r="DN62" s="168"/>
      <c r="DO62" s="169"/>
      <c r="DP62" s="171"/>
      <c r="DQ62" s="171" t="str">
        <f t="array" ref="DQ62">IFERROR(IF(DK62="ac"+ISNUMBER(SEARCH("'",DP62))+DO62="","", IF(ISNUMBER(SEARCH("lw",DP62)), DC62 + SUBSTITUTE(DP62,"lw+",""), MROUND(SWITCH(DK62,"sq",DO$7,"bn",DP$7,"dl",DQ$7,"")*IF(DP62&gt;10, DP62/100, VLOOKUP(DP62, _rpe,SUBSTITUTE(DO62,"+","")+1,0)), IF( SWITCH(DK62,"sq",DO$7,"bn",DP$7,"dl", DQ$7,"")&lt; IF(_uom="lbs", 175, 80), 1.25, IF(_uom="lbs",5,2.5))))), "")</f>
        <v/>
      </c>
      <c r="DR62" s="148"/>
      <c r="DS62" s="33"/>
      <c r="DT62" s="171"/>
      <c r="DU62" s="124" t="str">
        <f>IFERROR(__xludf.DUMMYFUNCTION("IF(DQ62=MAX(FILTER(DQ$10:DQ$199,LOOKUP(ROW(DK$10:DK$199),FILTER(ROW(DK$10:DK$199),DK$10:DK$199&lt;&gt;DK$9:DK$198))=LOOKUP(ROW(DK62),FILTER(ROW(DK$10:DK$199),DK$10:DK$199&lt;&gt;DK$9:DK$198)))),DR62,)"),"")</f>
        <v/>
      </c>
      <c r="DV62" s="122"/>
      <c r="DW62" s="33"/>
      <c r="DX62" s="143"/>
      <c r="DY62" s="38"/>
      <c r="DZ62" s="144"/>
      <c r="EA62" s="150"/>
      <c r="EB62" s="174"/>
      <c r="EC62" s="175"/>
      <c r="ED62" s="155"/>
      <c r="EE62" s="155"/>
      <c r="EF62" s="148"/>
      <c r="EG62" s="33"/>
      <c r="EH62" s="155"/>
      <c r="EI62" s="148"/>
      <c r="EJ62" s="33"/>
      <c r="EK62" s="33"/>
      <c r="EL62" s="143"/>
      <c r="EM62" s="38"/>
      <c r="EN62" s="144"/>
      <c r="EO62" s="150"/>
      <c r="EP62" s="174"/>
      <c r="EQ62" s="175"/>
      <c r="ER62" s="176"/>
      <c r="ES62" s="155"/>
      <c r="ET62" s="148"/>
      <c r="EU62" s="33"/>
      <c r="EV62" s="155"/>
      <c r="EW62" s="148"/>
      <c r="EX62" s="33"/>
      <c r="EY62" s="33"/>
      <c r="EZ62" s="143"/>
      <c r="FA62" s="38"/>
      <c r="FB62" s="144"/>
      <c r="FC62" s="150"/>
      <c r="FD62" s="174"/>
      <c r="FE62" s="175"/>
      <c r="FF62" s="176"/>
      <c r="FG62" s="155"/>
      <c r="FH62" s="148"/>
      <c r="FI62" s="33"/>
      <c r="FJ62" s="155"/>
      <c r="FK62" s="148"/>
      <c r="FL62" s="33"/>
      <c r="FM62" s="33"/>
      <c r="FN62" s="143"/>
      <c r="FO62" s="38"/>
      <c r="FP62" s="144"/>
      <c r="FQ62" s="150"/>
      <c r="FR62" s="174"/>
      <c r="FS62" s="175"/>
      <c r="FT62" s="176"/>
      <c r="FU62" s="155"/>
      <c r="FV62" s="148"/>
      <c r="FW62" s="33"/>
      <c r="FX62" s="155"/>
      <c r="FY62" s="148"/>
      <c r="FZ62" s="33"/>
      <c r="GA62" s="33"/>
      <c r="GB62" s="143"/>
      <c r="GC62" s="38"/>
      <c r="GD62" s="144"/>
      <c r="GE62" s="150"/>
      <c r="GF62" s="174"/>
      <c r="GG62" s="175"/>
      <c r="GH62" s="176"/>
      <c r="GI62" s="155"/>
      <c r="GJ62" s="148"/>
      <c r="GK62" s="33"/>
      <c r="GL62" s="155"/>
      <c r="GM62" s="148"/>
      <c r="GN62" s="33"/>
      <c r="GO62" s="33"/>
      <c r="GP62" s="143"/>
      <c r="GQ62" s="38"/>
      <c r="GR62" s="144"/>
      <c r="GS62" s="150"/>
      <c r="GT62" s="174"/>
      <c r="GU62" s="175"/>
      <c r="GV62" s="176"/>
      <c r="GW62" s="155"/>
      <c r="GX62" s="148"/>
      <c r="GY62" s="33"/>
      <c r="GZ62" s="155"/>
      <c r="HA62" s="148"/>
      <c r="HB62" s="33"/>
      <c r="HC62" s="33"/>
      <c r="HD62" s="143"/>
      <c r="HE62" s="38"/>
      <c r="HF62" s="144"/>
      <c r="HG62" s="150"/>
      <c r="HH62" s="174"/>
      <c r="HI62" s="175"/>
      <c r="HJ62" s="176"/>
      <c r="HK62" s="155"/>
      <c r="HL62" s="148"/>
      <c r="HM62" s="33"/>
      <c r="HN62" s="155"/>
      <c r="HO62" s="148"/>
      <c r="HP62" s="33"/>
      <c r="HQ62" s="33"/>
      <c r="HR62" s="143"/>
      <c r="HS62" s="38"/>
      <c r="HT62" s="144"/>
      <c r="HU62" s="150"/>
      <c r="HV62" s="174"/>
      <c r="HW62" s="175"/>
      <c r="HX62" s="176"/>
      <c r="HY62" s="155"/>
      <c r="HZ62" s="148"/>
      <c r="IA62" s="33"/>
      <c r="IB62" s="155"/>
      <c r="IC62" s="148"/>
      <c r="ID62" s="33"/>
      <c r="IE62" s="33"/>
      <c r="IF62" s="143"/>
      <c r="IG62" s="38"/>
      <c r="IH62" s="144"/>
      <c r="II62" s="150"/>
      <c r="IJ62" s="174"/>
      <c r="IK62" s="175"/>
      <c r="IL62" s="176"/>
      <c r="IM62" s="155"/>
      <c r="IN62" s="148"/>
      <c r="IO62" s="33"/>
      <c r="IP62" s="155"/>
      <c r="IQ62" s="148"/>
      <c r="IR62" s="33"/>
      <c r="IS62" s="33"/>
      <c r="IT62" s="143"/>
      <c r="IU62" s="38"/>
      <c r="IV62" s="144"/>
      <c r="IW62" s="143" t="str">
        <f t="shared" si="24"/>
        <v>#REF!</v>
      </c>
      <c r="IX62" s="38"/>
      <c r="IY62" s="144" t="e">
        <v>#REF!</v>
      </c>
    </row>
    <row r="63" hidden="1" outlineLevel="1">
      <c r="A63" s="33"/>
      <c r="B63" s="181"/>
      <c r="C63" s="38" t="str">
        <f>IFERROR(__xludf.DUMMYFUNCTION("""COMPUTED_VALUE"""),"")</f>
        <v/>
      </c>
      <c r="D63" s="144">
        <v>46111.0</v>
      </c>
      <c r="E63" s="182"/>
      <c r="F63" s="168"/>
      <c r="G63" s="169"/>
      <c r="H63" s="170"/>
      <c r="I63" s="171" t="str">
        <f t="array" ref="I63">IFERROR(IF(C63="ac"+ISNUMBER(SEARCH("'",H63))+G63="","", MROUND(SWITCH(C63,"sq",'Personal Info'!$O$15,"bn",'Personal Info'!$S$15,"dl",'Personal Info'!$W$15,"")*IF(H63&gt;10, H63/100, VLOOKUP(H63, _rpe,SUBSTITUTE(G63,"+","")+1,0)), IF( SWITCH(C63:C210,"sq",'Personal Info'!$O$15,"bn",'Personal Info'!$S$15,"dl", 'Personal Info'!$W$15,"")&lt; IF(_uom="lbs", 175, 80), 1.25, IF(_uom="lbs",5,2.5)))),"")</f>
        <v/>
      </c>
      <c r="J63" s="148"/>
      <c r="K63" s="33"/>
      <c r="L63" s="171"/>
      <c r="M63" s="124" t="str">
        <f>IFERROR(__xludf.DUMMYFUNCTION("IF(I63=MAX(FILTER(I$10:I$199,LOOKUP(ROW(C$10:C$199),FILTER(ROW(C$10:C$199),C$10:C$199&lt;&gt;C$9:C$198))=LOOKUP(ROW(C63),FILTER(ROW(C$10:C$199),C$10:C$199&lt;&gt;C$9:C$198)))),J63,)"),"")</f>
        <v/>
      </c>
      <c r="N63" s="122"/>
      <c r="O63" s="33"/>
      <c r="P63" s="143" t="str">
        <f t="shared" si="12"/>
        <v/>
      </c>
      <c r="Q63" s="38" t="str">
        <f>IFERROR(__xludf.DUMMYFUNCTION("""COMPUTED_VALUE"""),"")</f>
        <v/>
      </c>
      <c r="R63" s="144">
        <v>46118.0</v>
      </c>
      <c r="S63" s="167" t="str">
        <f t="shared" si="13"/>
        <v/>
      </c>
      <c r="T63" s="168" t="str">
        <f t="shared" si="228"/>
        <v/>
      </c>
      <c r="U63" s="169" t="str">
        <f t="shared" ref="U63:U65" si="245">IF( OR(ISBLANK(G63),G63=""),"", G63)</f>
        <v/>
      </c>
      <c r="V63" s="172" t="str">
        <f t="shared" ref="V63:V65" si="246">IF(ISBLANK(H63),"",H63)</f>
        <v/>
      </c>
      <c r="W63" s="171" t="str">
        <f t="array" ref="W63">IFERROR(IF(Q63="ac"+ISNUMBER(SEARCH("'",V63))+U63="","", IF(ISNUMBER(SEARCH("lw",V63)), I63 + SUBSTITUTE(V63,"lw+",""), MROUND(SWITCH(Q63,"sq",U$7,"bn",V$7,"dl",W$7,"")*IF(V63&gt;10, V63/100, VLOOKUP(V63, _rpe,SUBSTITUTE(U63,"+","")+1,0)), IF( SWITCH(Q63,"sq",U$7,"bn",V$7,"dl", W$7,"")&lt; IF(_uom="lbs", 175, 80), 1.25, IF(_uom="lbs",5,2.5))))), "")</f>
        <v/>
      </c>
      <c r="X63" s="148"/>
      <c r="Y63" s="33"/>
      <c r="Z63" s="171"/>
      <c r="AA63" s="124" t="str">
        <f>IFERROR(__xludf.DUMMYFUNCTION("IF(W63=MAX(FILTER(W$10:W$199,LOOKUP(ROW(Q$10:Q$199),FILTER(ROW(Q$10:Q$199),Q$10:Q$199&lt;&gt;Q$9:Q$198))=LOOKUP(ROW(Q63),FILTER(ROW(Q$10:Q$199),Q$10:Q$199&lt;&gt;Q$9:Q$198)))),X63,)"),"")</f>
        <v/>
      </c>
      <c r="AB63" s="122"/>
      <c r="AC63" s="33"/>
      <c r="AD63" s="143" t="str">
        <f t="shared" si="14"/>
        <v/>
      </c>
      <c r="AE63" s="38" t="str">
        <f>IFERROR(__xludf.DUMMYFUNCTION("""COMPUTED_VALUE"""),"")</f>
        <v/>
      </c>
      <c r="AF63" s="144">
        <v>46125.0</v>
      </c>
      <c r="AG63" s="167" t="str">
        <f t="shared" si="54"/>
        <v/>
      </c>
      <c r="AH63" s="168" t="str">
        <f t="shared" si="151"/>
        <v/>
      </c>
      <c r="AI63" s="169" t="str">
        <f t="shared" ref="AI63:AI65" si="247">IF( OR(ISBLANK(U63),U63=""),"", U63)</f>
        <v/>
      </c>
      <c r="AJ63" s="172" t="str">
        <f t="shared" ref="AJ63:AJ65" si="248">IF(ISBLANK(V63),"",V63)</f>
        <v/>
      </c>
      <c r="AK63" s="171" t="str">
        <f t="array" ref="AK63">IFERROR(IF(AE63="ac"+ISNUMBER(SEARCH("'",AJ63))+AI63="","", IF(ISNUMBER(SEARCH("lw",AJ63)), W63 + SUBSTITUTE(AJ63,"lw+",""), MROUND(SWITCH(AE63,"sq",AI$7,"bn",AJ$7,"dl",AK$7,"")*IF(AJ63&gt;10, AJ63/100, VLOOKUP(AJ63, _rpe,SUBSTITUTE(AI63,"+","")+1,0)), IF( SWITCH(AE63,"sq",AI$7,"bn",AJ$7,"dl", AK$7,"")&lt; IF(_uom="lbs", 175, 80), 1.25, IF(_uom="lbs",5,2.5))))), "")</f>
        <v/>
      </c>
      <c r="AL63" s="148"/>
      <c r="AM63" s="33"/>
      <c r="AN63" s="171"/>
      <c r="AO63" s="124" t="str">
        <f>IFERROR(__xludf.DUMMYFUNCTION("IF(AK63=MAX(FILTER(AK$10:AK$199,LOOKUP(ROW(AE$10:AE$199),FILTER(ROW(AE$10:AE$199),AE$10:AE$199&lt;&gt;AE$9:AE$198))=LOOKUP(ROW(AE63),FILTER(ROW(AE$10:AE$199),AE$10:AE$199&lt;&gt;AE$9:AE$198)))),AL63,)"),"")</f>
        <v/>
      </c>
      <c r="AP63" s="122"/>
      <c r="AQ63" s="33"/>
      <c r="AR63" s="143" t="str">
        <f t="shared" si="16"/>
        <v/>
      </c>
      <c r="AS63" s="38" t="str">
        <f>IFERROR(__xludf.DUMMYFUNCTION("""COMPUTED_VALUE"""),"")</f>
        <v/>
      </c>
      <c r="AT63" s="144">
        <v>46132.0</v>
      </c>
      <c r="AU63" s="167" t="str">
        <f t="shared" si="26"/>
        <v/>
      </c>
      <c r="AV63" s="168" t="str">
        <f t="shared" si="152"/>
        <v/>
      </c>
      <c r="AW63" s="169" t="str">
        <f t="shared" ref="AW63:AW65" si="249">IF( OR(ISBLANK(AI63),AI63=""),"", AI63)</f>
        <v/>
      </c>
      <c r="AX63" s="172" t="str">
        <f t="shared" si="216"/>
        <v/>
      </c>
      <c r="AY63" s="171" t="str">
        <f t="array" ref="AY63">IFERROR(IF(AS63="ac"+ISNUMBER(SEARCH("'",AX63))+AW63="","", IF(ISNUMBER(SEARCH("lw",AX63)), AK63 + SUBSTITUTE(AX63,"lw+",""), MROUND(SWITCH(AS63,"sq",AW$7,"bn",AX$7,"dl",AY$7,"")*IF(AX63&gt;10, AX63/100, VLOOKUP(AX63, _rpe,SUBSTITUTE(AW63,"+","")+1,0)), IF( SWITCH(AS63,"sq",AW$7,"bn",AX$7,"dl", AY$7,"")&lt; IF(_uom="lbs", 175, 80), 1.25, IF(_uom="lbs",5,2.5))))), "")</f>
        <v/>
      </c>
      <c r="AZ63" s="148"/>
      <c r="BA63" s="33"/>
      <c r="BB63" s="171"/>
      <c r="BC63" s="124" t="str">
        <f>IFERROR(__xludf.DUMMYFUNCTION("IF(AY63=MAX(FILTER(AY$10:AY$199,LOOKUP(ROW(AS$10:AS$199),FILTER(ROW(AS$10:AS$199),AS$10:AS$199&lt;&gt;AS$9:AS$198))=LOOKUP(ROW(AS63),FILTER(ROW(AS$10:AS$199),AS$10:AS$199&lt;&gt;AS$9:AS$198)))),AZ63,)"),"")</f>
        <v/>
      </c>
      <c r="BD63" s="122"/>
      <c r="BE63" s="33"/>
      <c r="BF63" s="143" t="str">
        <f t="shared" si="17"/>
        <v/>
      </c>
      <c r="BG63" s="38" t="str">
        <f>IFERROR(__xludf.DUMMYFUNCTION("""COMPUTED_VALUE"""),"")</f>
        <v/>
      </c>
      <c r="BH63" s="144">
        <v>46139.0</v>
      </c>
      <c r="BI63" s="167" t="str">
        <f t="shared" si="18"/>
        <v/>
      </c>
      <c r="BJ63" s="168" t="str">
        <f t="shared" ref="BJ63:BJ65" si="250">IF(ISBLANK(AV63),"",AV63)</f>
        <v/>
      </c>
      <c r="BK63" s="169" t="str">
        <f t="shared" ref="BK63:BK65" si="251">IF( OR(ISBLANK(AW63),AW63=""),"", AW63)</f>
        <v/>
      </c>
      <c r="BL63" s="172" t="str">
        <f t="shared" ref="BL63:BL65" si="252">IF(ISBLANK(AX63),"",AX63)</f>
        <v/>
      </c>
      <c r="BM63" s="171" t="str">
        <f t="array" ref="BM63">IFERROR(IF(BG63="ac"+ISNUMBER(SEARCH("'",BL63))+BK63="","", IF(ISNUMBER(SEARCH("lw",BL63)), AY63 + SUBSTITUTE(BL63,"lw+",""), MROUND(SWITCH(BG63,"sq",BK$7,"bn",BL$7,"dl",BM$7,"")*IF(BL63&gt;10, BL63/100, VLOOKUP(BL63, _rpe,SUBSTITUTE(BK63,"+","")+1,0)), IF( SWITCH(BG63,"sq",BK$7,"bn",BL$7,"dl", BM$7,"")&lt; IF(_uom="lbs", 175, 80), 1.25, IF(_uom="lbs",5,2.5))))), "")</f>
        <v/>
      </c>
      <c r="BN63" s="148"/>
      <c r="BO63" s="33"/>
      <c r="BP63" s="171"/>
      <c r="BQ63" s="124" t="str">
        <f>IFERROR(__xludf.DUMMYFUNCTION("IF(BM63=MAX(FILTER(BM$10:BM$199,LOOKUP(ROW(BG$10:BG$199),FILTER(ROW(BG$10:BG$199),BG$10:BG$199&lt;&gt;BG$9:BG$198))=LOOKUP(ROW(BG63),FILTER(ROW(BG$10:BG$199),BG$10:BG$199&lt;&gt;BG$9:BG$198)))),BN63,)"),"")</f>
        <v/>
      </c>
      <c r="BR63" s="122"/>
      <c r="BS63" s="33"/>
      <c r="BT63" s="143" t="str">
        <f t="shared" si="19"/>
        <v/>
      </c>
      <c r="BU63" s="38" t="str">
        <f>IFERROR(__xludf.DUMMYFUNCTION("""COMPUTED_VALUE"""),"")</f>
        <v/>
      </c>
      <c r="BV63" s="144">
        <v>46146.0</v>
      </c>
      <c r="BW63" s="167" t="str">
        <f t="shared" si="20"/>
        <v/>
      </c>
      <c r="BX63" s="168" t="str">
        <f t="shared" ref="BX63:BX65" si="253">IF(ISBLANK(BJ63),"",BJ63)</f>
        <v/>
      </c>
      <c r="BY63" s="169" t="str">
        <f t="shared" ref="BY63:BY65" si="254">IF( OR(ISBLANK(BK63),BK63=""),"", BK63)</f>
        <v/>
      </c>
      <c r="BZ63" s="172" t="str">
        <f t="shared" ref="BZ63:BZ65" si="255">IF(ISBLANK(BL63),"",BL63)</f>
        <v/>
      </c>
      <c r="CA63" s="171" t="str">
        <f t="array" ref="CA63">IFERROR(IF(BU63="ac"+ISNUMBER(SEARCH("'",BZ63))+BY63="","", IF(ISNUMBER(SEARCH("lw",BZ63)), BM63 + SUBSTITUTE(BZ63,"lw+",""), MROUND(SWITCH(BU63,"sq",BY$7,"bn",BZ$7,"dl",CA$7,"")*IF(BZ63&gt;10, BZ63/100, VLOOKUP(BZ63, _rpe,SUBSTITUTE(BY63,"+","")+1,0)), IF( SWITCH(BU63,"sq",BY$7,"bn",BZ$7,"dl", CA$7,"")&lt; IF(_uom="lbs", 175, 80), 1.25, IF(_uom="lbs",5,2.5))))), "")</f>
        <v/>
      </c>
      <c r="CB63" s="148"/>
      <c r="CC63" s="33"/>
      <c r="CD63" s="171"/>
      <c r="CE63" s="124" t="str">
        <f>IFERROR(__xludf.DUMMYFUNCTION("IF(CA63=MAX(FILTER(CA$10:CA$199,LOOKUP(ROW(BU$10:BU$199),FILTER(ROW(BU$10:BU$199),BU$10:BU$199&lt;&gt;BU$9:BU$198))=LOOKUP(ROW(BU63),FILTER(ROW(BU$10:BU$199),BU$10:BU$199&lt;&gt;BU$9:BU$198)))),CB63,)"),"")</f>
        <v/>
      </c>
      <c r="CF63" s="122"/>
      <c r="CG63" s="33"/>
      <c r="CH63" s="143" t="str">
        <f t="shared" si="21"/>
        <v/>
      </c>
      <c r="CI63" s="38" t="str">
        <f>IFERROR(__xludf.DUMMYFUNCTION("""COMPUTED_VALUE"""),"")</f>
        <v/>
      </c>
      <c r="CJ63" s="144">
        <v>46153.0</v>
      </c>
      <c r="CK63" s="167" t="str">
        <f t="shared" si="27"/>
        <v/>
      </c>
      <c r="CL63" s="168" t="str">
        <f t="shared" ref="CL63:CL65" si="256">IF(ISBLANK(BX63),"",BX63)</f>
        <v/>
      </c>
      <c r="CM63" s="169" t="str">
        <f t="shared" ref="CM63:CM65" si="257">IF( OR(ISBLANK(BY63),BY63=""),"", BY63)</f>
        <v/>
      </c>
      <c r="CN63" s="172" t="str">
        <f t="shared" ref="CN63:CN65" si="258">IF(ISBLANK(BZ63),"",BZ63)</f>
        <v/>
      </c>
      <c r="CO63" s="171" t="str">
        <f t="array" ref="CO63">IFERROR(IF(CI63="ac"+ISNUMBER(SEARCH("'",CN63))+CM63="","", IF(ISNUMBER(SEARCH("lw",CN63)), CA63 + SUBSTITUTE(CN63,"lw+",""), MROUND(SWITCH(CI63,"sq",CM$7,"bn",CN$7,"dl",CO$7,"")*IF(CN63&gt;10, CN63/100, VLOOKUP(CN63, _rpe,SUBSTITUTE(CM63,"+","")+1,0)), IF( SWITCH(CI63,"sq",CM$7,"bn",CN$7,"dl", CO$7,"")&lt; IF(_uom="lbs", 175, 80), 1.25, IF(_uom="lbs",5,2.5))))), "")</f>
        <v/>
      </c>
      <c r="CP63" s="148"/>
      <c r="CQ63" s="33"/>
      <c r="CR63" s="171"/>
      <c r="CS63" s="124" t="str">
        <f>IFERROR(__xludf.DUMMYFUNCTION("IF(CO63=MAX(FILTER(CO$10:CO$199,LOOKUP(ROW(CI$10:CI$199),FILTER(ROW(CI$10:CI$199),CI$10:CI$199&lt;&gt;CI$9:CI$198))=LOOKUP(ROW(CI63),FILTER(ROW(CI$10:CI$199),CI$10:CI$199&lt;&gt;CI$9:CI$198)))),CP63,)"),"")</f>
        <v/>
      </c>
      <c r="CT63" s="122"/>
      <c r="CU63" s="33"/>
      <c r="CV63" s="143" t="str">
        <f t="shared" si="22"/>
        <v/>
      </c>
      <c r="CW63" s="38" t="str">
        <f>IFERROR(__xludf.DUMMYFUNCTION("""COMPUTED_VALUE"""),"")</f>
        <v/>
      </c>
      <c r="CX63" s="144">
        <v>46160.0</v>
      </c>
      <c r="CY63" s="167" t="str">
        <f t="shared" si="28"/>
        <v/>
      </c>
      <c r="CZ63" s="168" t="str">
        <f t="shared" si="243"/>
        <v/>
      </c>
      <c r="DA63" s="169" t="str">
        <f t="shared" ref="DA63:DA65" si="259">IF( OR(ISBLANK(CM63),CM63=""),"", CM63)</f>
        <v/>
      </c>
      <c r="DB63" s="172" t="str">
        <f t="shared" si="227"/>
        <v/>
      </c>
      <c r="DC63" s="171" t="str">
        <f t="array" ref="DC63">IFERROR(IF(CW63="ac"+ISNUMBER(SEARCH("'",DB63))+DA63="","", IF(ISNUMBER(SEARCH("lw",DB63)), CO63 + SUBSTITUTE(DB63,"lw+",""), MROUND(SWITCH(CW63,"sq",DA$7,"bn",DB$7,"dl",DC$7,"")*IF(DB63&gt;10, DB63/100, VLOOKUP(DB63, _rpe,SUBSTITUTE(DA63,"+","")+1,0)), IF( SWITCH(CW63,"sq",DA$7,"bn",DB$7,"dl", DC$7,"")&lt; IF(_uom="lbs", 175, 80), 1.25, IF(_uom="lbs",5,2.5))))), "")</f>
        <v/>
      </c>
      <c r="DD63" s="148"/>
      <c r="DE63" s="33"/>
      <c r="DF63" s="171"/>
      <c r="DG63" s="124" t="str">
        <f>IFERROR(__xludf.DUMMYFUNCTION("IF(DC63=MAX(FILTER(DC$10:DC$199,LOOKUP(ROW(CW$10:CW$199),FILTER(ROW(CW$10:CW$199),CW$10:CW$199&lt;&gt;CW$9:CW$198))=LOOKUP(ROW(CW63),FILTER(ROW(CW$10:CW$199),CW$10:CW$199&lt;&gt;CW$9:CW$198)))),DD63,)"),"")</f>
        <v/>
      </c>
      <c r="DH63" s="122"/>
      <c r="DI63" s="33"/>
      <c r="DJ63" s="143" t="str">
        <f t="shared" si="23"/>
        <v/>
      </c>
      <c r="DK63" s="38" t="str">
        <f>IFERROR(__xludf.DUMMYFUNCTION("""COMPUTED_VALUE"""),"")</f>
        <v/>
      </c>
      <c r="DL63" s="144">
        <v>46167.0</v>
      </c>
      <c r="DM63" s="167"/>
      <c r="DN63" s="168"/>
      <c r="DO63" s="169"/>
      <c r="DP63" s="172"/>
      <c r="DQ63" s="171" t="str">
        <f t="array" ref="DQ63">IFERROR(IF(DK63="ac"+ISNUMBER(SEARCH("'",DP63))+DO63="","", IF(ISNUMBER(SEARCH("lw",DP63)), DC63 + SUBSTITUTE(DP63,"lw+",""), MROUND(SWITCH(DK63,"sq",DO$7,"bn",DP$7,"dl",DQ$7,"")*IF(DP63&gt;10, DP63/100, VLOOKUP(DP63, _rpe,SUBSTITUTE(DO63,"+","")+1,0)), IF( SWITCH(DK63,"sq",DO$7,"bn",DP$7,"dl", DQ$7,"")&lt; IF(_uom="lbs", 175, 80), 1.25, IF(_uom="lbs",5,2.5))))), "")</f>
        <v/>
      </c>
      <c r="DR63" s="148"/>
      <c r="DS63" s="33"/>
      <c r="DT63" s="171"/>
      <c r="DU63" s="124" t="str">
        <f>IFERROR(__xludf.DUMMYFUNCTION("IF(DQ63=MAX(FILTER(DQ$10:DQ$199,LOOKUP(ROW(DK$10:DK$199),FILTER(ROW(DK$10:DK$199),DK$10:DK$199&lt;&gt;DK$9:DK$198))=LOOKUP(ROW(DK63),FILTER(ROW(DK$10:DK$199),DK$10:DK$199&lt;&gt;DK$9:DK$198)))),DR63,)"),"")</f>
        <v/>
      </c>
      <c r="DV63" s="122"/>
      <c r="DW63" s="33"/>
      <c r="DX63" s="143"/>
      <c r="DY63" s="38"/>
      <c r="DZ63" s="144"/>
      <c r="EA63" s="150"/>
      <c r="EB63" s="174"/>
      <c r="EC63" s="175"/>
      <c r="ED63" s="176"/>
      <c r="EE63" s="155"/>
      <c r="EF63" s="148"/>
      <c r="EG63" s="33"/>
      <c r="EH63" s="155"/>
      <c r="EI63" s="148"/>
      <c r="EJ63" s="33"/>
      <c r="EK63" s="33"/>
      <c r="EL63" s="143"/>
      <c r="EM63" s="38"/>
      <c r="EN63" s="144"/>
      <c r="EO63" s="150"/>
      <c r="EP63" s="174"/>
      <c r="EQ63" s="175"/>
      <c r="ER63" s="176"/>
      <c r="ES63" s="155"/>
      <c r="ET63" s="148"/>
      <c r="EU63" s="33"/>
      <c r="EV63" s="155"/>
      <c r="EW63" s="148"/>
      <c r="EX63" s="33"/>
      <c r="EY63" s="33"/>
      <c r="EZ63" s="143"/>
      <c r="FA63" s="38"/>
      <c r="FB63" s="144"/>
      <c r="FC63" s="150"/>
      <c r="FD63" s="174"/>
      <c r="FE63" s="175"/>
      <c r="FF63" s="176"/>
      <c r="FG63" s="155"/>
      <c r="FH63" s="148"/>
      <c r="FI63" s="33"/>
      <c r="FJ63" s="155"/>
      <c r="FK63" s="148"/>
      <c r="FL63" s="33"/>
      <c r="FM63" s="33"/>
      <c r="FN63" s="143"/>
      <c r="FO63" s="38"/>
      <c r="FP63" s="144"/>
      <c r="FQ63" s="150"/>
      <c r="FR63" s="174"/>
      <c r="FS63" s="175"/>
      <c r="FT63" s="176"/>
      <c r="FU63" s="155"/>
      <c r="FV63" s="148"/>
      <c r="FW63" s="33"/>
      <c r="FX63" s="155"/>
      <c r="FY63" s="148"/>
      <c r="FZ63" s="33"/>
      <c r="GA63" s="33"/>
      <c r="GB63" s="143"/>
      <c r="GC63" s="38"/>
      <c r="GD63" s="144"/>
      <c r="GE63" s="150"/>
      <c r="GF63" s="174"/>
      <c r="GG63" s="175"/>
      <c r="GH63" s="176"/>
      <c r="GI63" s="155"/>
      <c r="GJ63" s="148"/>
      <c r="GK63" s="33"/>
      <c r="GL63" s="155"/>
      <c r="GM63" s="148"/>
      <c r="GN63" s="33"/>
      <c r="GO63" s="33"/>
      <c r="GP63" s="143"/>
      <c r="GQ63" s="38"/>
      <c r="GR63" s="144"/>
      <c r="GS63" s="150"/>
      <c r="GT63" s="174"/>
      <c r="GU63" s="175"/>
      <c r="GV63" s="176"/>
      <c r="GW63" s="155"/>
      <c r="GX63" s="148"/>
      <c r="GY63" s="33"/>
      <c r="GZ63" s="155"/>
      <c r="HA63" s="148"/>
      <c r="HB63" s="33"/>
      <c r="HC63" s="33"/>
      <c r="HD63" s="143"/>
      <c r="HE63" s="38"/>
      <c r="HF63" s="144"/>
      <c r="HG63" s="150"/>
      <c r="HH63" s="174"/>
      <c r="HI63" s="175"/>
      <c r="HJ63" s="176"/>
      <c r="HK63" s="155"/>
      <c r="HL63" s="148"/>
      <c r="HM63" s="33"/>
      <c r="HN63" s="155"/>
      <c r="HO63" s="148"/>
      <c r="HP63" s="33"/>
      <c r="HQ63" s="33"/>
      <c r="HR63" s="143"/>
      <c r="HS63" s="38"/>
      <c r="HT63" s="144"/>
      <c r="HU63" s="150"/>
      <c r="HV63" s="174"/>
      <c r="HW63" s="175"/>
      <c r="HX63" s="176"/>
      <c r="HY63" s="155"/>
      <c r="HZ63" s="148"/>
      <c r="IA63" s="33"/>
      <c r="IB63" s="155"/>
      <c r="IC63" s="148"/>
      <c r="ID63" s="33"/>
      <c r="IE63" s="33"/>
      <c r="IF63" s="143"/>
      <c r="IG63" s="38"/>
      <c r="IH63" s="144"/>
      <c r="II63" s="150"/>
      <c r="IJ63" s="174"/>
      <c r="IK63" s="175"/>
      <c r="IL63" s="176"/>
      <c r="IM63" s="155"/>
      <c r="IN63" s="148"/>
      <c r="IO63" s="33"/>
      <c r="IP63" s="155"/>
      <c r="IQ63" s="148"/>
      <c r="IR63" s="33"/>
      <c r="IS63" s="33"/>
      <c r="IT63" s="143"/>
      <c r="IU63" s="38"/>
      <c r="IV63" s="144"/>
      <c r="IW63" s="143" t="str">
        <f t="shared" si="24"/>
        <v>#REF!</v>
      </c>
      <c r="IX63" s="38"/>
      <c r="IY63" s="144" t="e">
        <v>#REF!</v>
      </c>
    </row>
    <row r="64" hidden="1" outlineLevel="1">
      <c r="A64" s="33"/>
      <c r="B64" s="181"/>
      <c r="C64" s="38" t="str">
        <f>IFERROR(__xludf.DUMMYFUNCTION("""COMPUTED_VALUE"""),"")</f>
        <v/>
      </c>
      <c r="D64" s="144">
        <v>46111.0</v>
      </c>
      <c r="E64" s="182"/>
      <c r="F64" s="168"/>
      <c r="G64" s="169"/>
      <c r="H64" s="170"/>
      <c r="I64" s="171" t="str">
        <f t="array" ref="I64">IFERROR(IF(C64="ac"+ISNUMBER(SEARCH("'",H64))+G64="","", MROUND(SWITCH(C64,"sq",'Personal Info'!$O$15,"bn",'Personal Info'!$S$15,"dl",'Personal Info'!$W$15,"")*IF(H64&gt;10, H64/100, VLOOKUP(H64, _rpe,SUBSTITUTE(G64,"+","")+1,0)), IF( SWITCH(C64:C210,"sq",'Personal Info'!$O$15,"bn",'Personal Info'!$S$15,"dl", 'Personal Info'!$W$15,"")&lt; IF(_uom="lbs", 175, 80), 1.25, IF(_uom="lbs",5,2.5)))),"")</f>
        <v/>
      </c>
      <c r="J64" s="148"/>
      <c r="K64" s="33"/>
      <c r="L64" s="171"/>
      <c r="M64" s="124" t="str">
        <f>IFERROR(__xludf.DUMMYFUNCTION("IF(I64=MAX(FILTER(I$10:I$199,LOOKUP(ROW(C$10:C$199),FILTER(ROW(C$10:C$199),C$10:C$199&lt;&gt;C$9:C$198))=LOOKUP(ROW(C64),FILTER(ROW(C$10:C$199),C$10:C$199&lt;&gt;C$9:C$198)))),J64,)"),"")</f>
        <v/>
      </c>
      <c r="N64" s="122"/>
      <c r="O64" s="33"/>
      <c r="P64" s="143" t="str">
        <f t="shared" si="12"/>
        <v/>
      </c>
      <c r="Q64" s="38" t="str">
        <f>IFERROR(__xludf.DUMMYFUNCTION("""COMPUTED_VALUE"""),"")</f>
        <v/>
      </c>
      <c r="R64" s="144">
        <v>46118.0</v>
      </c>
      <c r="S64" s="167" t="str">
        <f t="shared" si="13"/>
        <v/>
      </c>
      <c r="T64" s="168" t="str">
        <f t="shared" si="228"/>
        <v/>
      </c>
      <c r="U64" s="169" t="str">
        <f t="shared" si="245"/>
        <v/>
      </c>
      <c r="V64" s="172" t="str">
        <f t="shared" si="246"/>
        <v/>
      </c>
      <c r="W64" s="171" t="str">
        <f t="array" ref="W64">IFERROR(IF(Q64="ac"+ISNUMBER(SEARCH("'",V64))+U64="","", IF(ISNUMBER(SEARCH("lw",V64)), I64 + SUBSTITUTE(V64,"lw+",""), MROUND(SWITCH(Q64,"sq",U$7,"bn",V$7,"dl",W$7,"")*IF(V64&gt;10, V64/100, VLOOKUP(V64, _rpe,SUBSTITUTE(U64,"+","")+1,0)), IF( SWITCH(Q64,"sq",U$7,"bn",V$7,"dl", W$7,"")&lt; IF(_uom="lbs", 175, 80), 1.25, IF(_uom="lbs",5,2.5))))), "")</f>
        <v/>
      </c>
      <c r="X64" s="148"/>
      <c r="Y64" s="33"/>
      <c r="Z64" s="171"/>
      <c r="AA64" s="124" t="str">
        <f>IFERROR(__xludf.DUMMYFUNCTION("IF(W64=MAX(FILTER(W$10:W$199,LOOKUP(ROW(Q$10:Q$199),FILTER(ROW(Q$10:Q$199),Q$10:Q$199&lt;&gt;Q$9:Q$198))=LOOKUP(ROW(Q64),FILTER(ROW(Q$10:Q$199),Q$10:Q$199&lt;&gt;Q$9:Q$198)))),X64,)"),"")</f>
        <v/>
      </c>
      <c r="AB64" s="122"/>
      <c r="AC64" s="33"/>
      <c r="AD64" s="143" t="str">
        <f t="shared" si="14"/>
        <v/>
      </c>
      <c r="AE64" s="38" t="str">
        <f>IFERROR(__xludf.DUMMYFUNCTION("""COMPUTED_VALUE"""),"")</f>
        <v/>
      </c>
      <c r="AF64" s="144">
        <v>46125.0</v>
      </c>
      <c r="AG64" s="167" t="str">
        <f t="shared" si="54"/>
        <v/>
      </c>
      <c r="AH64" s="168" t="str">
        <f t="shared" si="151"/>
        <v/>
      </c>
      <c r="AI64" s="169" t="str">
        <f t="shared" si="247"/>
        <v/>
      </c>
      <c r="AJ64" s="172" t="str">
        <f t="shared" si="248"/>
        <v/>
      </c>
      <c r="AK64" s="171" t="str">
        <f t="array" ref="AK64">IFERROR(IF(AE64="ac"+ISNUMBER(SEARCH("'",AJ64))+AI64="","", IF(ISNUMBER(SEARCH("lw",AJ64)), W64 + SUBSTITUTE(AJ64,"lw+",""), MROUND(SWITCH(AE64,"sq",AI$7,"bn",AJ$7,"dl",AK$7,"")*IF(AJ64&gt;10, AJ64/100, VLOOKUP(AJ64, _rpe,SUBSTITUTE(AI64,"+","")+1,0)), IF( SWITCH(AE64,"sq",AI$7,"bn",AJ$7,"dl", AK$7,"")&lt; IF(_uom="lbs", 175, 80), 1.25, IF(_uom="lbs",5,2.5))))), "")</f>
        <v/>
      </c>
      <c r="AL64" s="148"/>
      <c r="AM64" s="33"/>
      <c r="AN64" s="171"/>
      <c r="AO64" s="124" t="str">
        <f>IFERROR(__xludf.DUMMYFUNCTION("IF(AK64=MAX(FILTER(AK$10:AK$199,LOOKUP(ROW(AE$10:AE$199),FILTER(ROW(AE$10:AE$199),AE$10:AE$199&lt;&gt;AE$9:AE$198))=LOOKUP(ROW(AE64),FILTER(ROW(AE$10:AE$199),AE$10:AE$199&lt;&gt;AE$9:AE$198)))),AL64,)"),"")</f>
        <v/>
      </c>
      <c r="AP64" s="122"/>
      <c r="AQ64" s="33"/>
      <c r="AR64" s="143" t="str">
        <f t="shared" si="16"/>
        <v/>
      </c>
      <c r="AS64" s="38" t="str">
        <f>IFERROR(__xludf.DUMMYFUNCTION("""COMPUTED_VALUE"""),"")</f>
        <v/>
      </c>
      <c r="AT64" s="144">
        <v>46132.0</v>
      </c>
      <c r="AU64" s="167" t="str">
        <f t="shared" si="26"/>
        <v/>
      </c>
      <c r="AV64" s="168" t="str">
        <f t="shared" si="152"/>
        <v/>
      </c>
      <c r="AW64" s="169" t="str">
        <f t="shared" si="249"/>
        <v/>
      </c>
      <c r="AX64" s="172" t="str">
        <f t="shared" si="216"/>
        <v/>
      </c>
      <c r="AY64" s="171" t="str">
        <f t="array" ref="AY64">IFERROR(IF(AS64="ac"+ISNUMBER(SEARCH("'",AX64))+AW64="","", IF(ISNUMBER(SEARCH("lw",AX64)), AK64 + SUBSTITUTE(AX64,"lw+",""), MROUND(SWITCH(AS64,"sq",AW$7,"bn",AX$7,"dl",AY$7,"")*IF(AX64&gt;10, AX64/100, VLOOKUP(AX64, _rpe,SUBSTITUTE(AW64,"+","")+1,0)), IF( SWITCH(AS64,"sq",AW$7,"bn",AX$7,"dl", AY$7,"")&lt; IF(_uom="lbs", 175, 80), 1.25, IF(_uom="lbs",5,2.5))))), "")</f>
        <v/>
      </c>
      <c r="AZ64" s="148"/>
      <c r="BA64" s="33"/>
      <c r="BB64" s="171"/>
      <c r="BC64" s="124" t="str">
        <f>IFERROR(__xludf.DUMMYFUNCTION("IF(AY64=MAX(FILTER(AY$10:AY$199,LOOKUP(ROW(AS$10:AS$199),FILTER(ROW(AS$10:AS$199),AS$10:AS$199&lt;&gt;AS$9:AS$198))=LOOKUP(ROW(AS64),FILTER(ROW(AS$10:AS$199),AS$10:AS$199&lt;&gt;AS$9:AS$198)))),AZ64,)"),"")</f>
        <v/>
      </c>
      <c r="BD64" s="122"/>
      <c r="BE64" s="33"/>
      <c r="BF64" s="143" t="str">
        <f t="shared" si="17"/>
        <v/>
      </c>
      <c r="BG64" s="38" t="str">
        <f>IFERROR(__xludf.DUMMYFUNCTION("""COMPUTED_VALUE"""),"")</f>
        <v/>
      </c>
      <c r="BH64" s="144">
        <v>46139.0</v>
      </c>
      <c r="BI64" s="167" t="str">
        <f t="shared" si="18"/>
        <v/>
      </c>
      <c r="BJ64" s="168" t="str">
        <f t="shared" si="250"/>
        <v/>
      </c>
      <c r="BK64" s="169" t="str">
        <f t="shared" si="251"/>
        <v/>
      </c>
      <c r="BL64" s="172" t="str">
        <f t="shared" si="252"/>
        <v/>
      </c>
      <c r="BM64" s="171" t="str">
        <f t="array" ref="BM64">IFERROR(IF(BG64="ac"+ISNUMBER(SEARCH("'",BL64))+BK64="","", IF(ISNUMBER(SEARCH("lw",BL64)), AY64 + SUBSTITUTE(BL64,"lw+",""), MROUND(SWITCH(BG64,"sq",BK$7,"bn",BL$7,"dl",BM$7,"")*IF(BL64&gt;10, BL64/100, VLOOKUP(BL64, _rpe,SUBSTITUTE(BK64,"+","")+1,0)), IF( SWITCH(BG64,"sq",BK$7,"bn",BL$7,"dl", BM$7,"")&lt; IF(_uom="lbs", 175, 80), 1.25, IF(_uom="lbs",5,2.5))))), "")</f>
        <v/>
      </c>
      <c r="BN64" s="148"/>
      <c r="BO64" s="33"/>
      <c r="BP64" s="171"/>
      <c r="BQ64" s="124" t="str">
        <f>IFERROR(__xludf.DUMMYFUNCTION("IF(BM64=MAX(FILTER(BM$10:BM$199,LOOKUP(ROW(BG$10:BG$199),FILTER(ROW(BG$10:BG$199),BG$10:BG$199&lt;&gt;BG$9:BG$198))=LOOKUP(ROW(BG64),FILTER(ROW(BG$10:BG$199),BG$10:BG$199&lt;&gt;BG$9:BG$198)))),BN64,)"),"")</f>
        <v/>
      </c>
      <c r="BR64" s="122"/>
      <c r="BS64" s="33"/>
      <c r="BT64" s="143" t="str">
        <f t="shared" si="19"/>
        <v/>
      </c>
      <c r="BU64" s="38" t="str">
        <f>IFERROR(__xludf.DUMMYFUNCTION("""COMPUTED_VALUE"""),"")</f>
        <v/>
      </c>
      <c r="BV64" s="144">
        <v>46146.0</v>
      </c>
      <c r="BW64" s="167" t="str">
        <f t="shared" si="20"/>
        <v/>
      </c>
      <c r="BX64" s="168" t="str">
        <f t="shared" si="253"/>
        <v/>
      </c>
      <c r="BY64" s="169" t="str">
        <f t="shared" si="254"/>
        <v/>
      </c>
      <c r="BZ64" s="172" t="str">
        <f t="shared" si="255"/>
        <v/>
      </c>
      <c r="CA64" s="171" t="str">
        <f t="array" ref="CA64">IFERROR(IF(BU64="ac"+ISNUMBER(SEARCH("'",BZ64))+BY64="","", IF(ISNUMBER(SEARCH("lw",BZ64)), BM64 + SUBSTITUTE(BZ64,"lw+",""), MROUND(SWITCH(BU64,"sq",BY$7,"bn",BZ$7,"dl",CA$7,"")*IF(BZ64&gt;10, BZ64/100, VLOOKUP(BZ64, _rpe,SUBSTITUTE(BY64,"+","")+1,0)), IF( SWITCH(BU64,"sq",BY$7,"bn",BZ$7,"dl", CA$7,"")&lt; IF(_uom="lbs", 175, 80), 1.25, IF(_uom="lbs",5,2.5))))), "")</f>
        <v/>
      </c>
      <c r="CB64" s="148"/>
      <c r="CC64" s="33"/>
      <c r="CD64" s="171"/>
      <c r="CE64" s="124" t="str">
        <f>IFERROR(__xludf.DUMMYFUNCTION("IF(CA64=MAX(FILTER(CA$10:CA$199,LOOKUP(ROW(BU$10:BU$199),FILTER(ROW(BU$10:BU$199),BU$10:BU$199&lt;&gt;BU$9:BU$198))=LOOKUP(ROW(BU64),FILTER(ROW(BU$10:BU$199),BU$10:BU$199&lt;&gt;BU$9:BU$198)))),CB64,)"),"")</f>
        <v/>
      </c>
      <c r="CF64" s="122"/>
      <c r="CG64" s="33"/>
      <c r="CH64" s="143" t="str">
        <f t="shared" si="21"/>
        <v/>
      </c>
      <c r="CI64" s="38" t="str">
        <f>IFERROR(__xludf.DUMMYFUNCTION("""COMPUTED_VALUE"""),"")</f>
        <v/>
      </c>
      <c r="CJ64" s="144">
        <v>46153.0</v>
      </c>
      <c r="CK64" s="167" t="str">
        <f t="shared" si="27"/>
        <v/>
      </c>
      <c r="CL64" s="168" t="str">
        <f t="shared" si="256"/>
        <v/>
      </c>
      <c r="CM64" s="169" t="str">
        <f t="shared" si="257"/>
        <v/>
      </c>
      <c r="CN64" s="172" t="str">
        <f t="shared" si="258"/>
        <v/>
      </c>
      <c r="CO64" s="171" t="str">
        <f t="array" ref="CO64">IFERROR(IF(CI64="ac"+ISNUMBER(SEARCH("'",CN64))+CM64="","", IF(ISNUMBER(SEARCH("lw",CN64)), CA64 + SUBSTITUTE(CN64,"lw+",""), MROUND(SWITCH(CI64,"sq",CM$7,"bn",CN$7,"dl",CO$7,"")*IF(CN64&gt;10, CN64/100, VLOOKUP(CN64, _rpe,SUBSTITUTE(CM64,"+","")+1,0)), IF( SWITCH(CI64,"sq",CM$7,"bn",CN$7,"dl", CO$7,"")&lt; IF(_uom="lbs", 175, 80), 1.25, IF(_uom="lbs",5,2.5))))), "")</f>
        <v/>
      </c>
      <c r="CP64" s="148"/>
      <c r="CQ64" s="33"/>
      <c r="CR64" s="171"/>
      <c r="CS64" s="124" t="str">
        <f>IFERROR(__xludf.DUMMYFUNCTION("IF(CO64=MAX(FILTER(CO$10:CO$199,LOOKUP(ROW(CI$10:CI$199),FILTER(ROW(CI$10:CI$199),CI$10:CI$199&lt;&gt;CI$9:CI$198))=LOOKUP(ROW(CI64),FILTER(ROW(CI$10:CI$199),CI$10:CI$199&lt;&gt;CI$9:CI$198)))),CP64,)"),"")</f>
        <v/>
      </c>
      <c r="CT64" s="122"/>
      <c r="CU64" s="33"/>
      <c r="CV64" s="143" t="str">
        <f t="shared" si="22"/>
        <v/>
      </c>
      <c r="CW64" s="38" t="str">
        <f>IFERROR(__xludf.DUMMYFUNCTION("""COMPUTED_VALUE"""),"")</f>
        <v/>
      </c>
      <c r="CX64" s="144">
        <v>46160.0</v>
      </c>
      <c r="CY64" s="167" t="str">
        <f t="shared" si="28"/>
        <v/>
      </c>
      <c r="CZ64" s="168" t="str">
        <f t="shared" si="243"/>
        <v/>
      </c>
      <c r="DA64" s="169" t="str">
        <f t="shared" si="259"/>
        <v/>
      </c>
      <c r="DB64" s="172" t="str">
        <f t="shared" si="227"/>
        <v/>
      </c>
      <c r="DC64" s="171" t="str">
        <f t="array" ref="DC64">IFERROR(IF(CW64="ac"+ISNUMBER(SEARCH("'",DB64))+DA64="","", IF(ISNUMBER(SEARCH("lw",DB64)), CO64 + SUBSTITUTE(DB64,"lw+",""), MROUND(SWITCH(CW64,"sq",DA$7,"bn",DB$7,"dl",DC$7,"")*IF(DB64&gt;10, DB64/100, VLOOKUP(DB64, _rpe,SUBSTITUTE(DA64,"+","")+1,0)), IF( SWITCH(CW64,"sq",DA$7,"bn",DB$7,"dl", DC$7,"")&lt; IF(_uom="lbs", 175, 80), 1.25, IF(_uom="lbs",5,2.5))))), "")</f>
        <v/>
      </c>
      <c r="DD64" s="148"/>
      <c r="DE64" s="33"/>
      <c r="DF64" s="171"/>
      <c r="DG64" s="124" t="str">
        <f>IFERROR(__xludf.DUMMYFUNCTION("IF(DC64=MAX(FILTER(DC$10:DC$199,LOOKUP(ROW(CW$10:CW$199),FILTER(ROW(CW$10:CW$199),CW$10:CW$199&lt;&gt;CW$9:CW$198))=LOOKUP(ROW(CW64),FILTER(ROW(CW$10:CW$199),CW$10:CW$199&lt;&gt;CW$9:CW$198)))),DD64,)"),"")</f>
        <v/>
      </c>
      <c r="DH64" s="122"/>
      <c r="DI64" s="33"/>
      <c r="DJ64" s="143" t="str">
        <f t="shared" si="23"/>
        <v/>
      </c>
      <c r="DK64" s="38" t="str">
        <f>IFERROR(__xludf.DUMMYFUNCTION("""COMPUTED_VALUE"""),"")</f>
        <v/>
      </c>
      <c r="DL64" s="144">
        <v>46167.0</v>
      </c>
      <c r="DM64" s="167"/>
      <c r="DN64" s="168"/>
      <c r="DO64" s="169"/>
      <c r="DP64" s="172"/>
      <c r="DQ64" s="171" t="str">
        <f t="array" ref="DQ64">IFERROR(IF(DK64="ac"+ISNUMBER(SEARCH("'",DP64))+DO64="","", IF(ISNUMBER(SEARCH("lw",DP64)), DC64 + SUBSTITUTE(DP64,"lw+",""), MROUND(SWITCH(DK64,"sq",DO$7,"bn",DP$7,"dl",DQ$7,"")*IF(DP64&gt;10, DP64/100, VLOOKUP(DP64, _rpe,SUBSTITUTE(DO64,"+","")+1,0)), IF( SWITCH(DK64,"sq",DO$7,"bn",DP$7,"dl", DQ$7,"")&lt; IF(_uom="lbs", 175, 80), 1.25, IF(_uom="lbs",5,2.5))))), "")</f>
        <v/>
      </c>
      <c r="DR64" s="148"/>
      <c r="DS64" s="33"/>
      <c r="DT64" s="171"/>
      <c r="DU64" s="124" t="str">
        <f>IFERROR(__xludf.DUMMYFUNCTION("IF(DQ64=MAX(FILTER(DQ$10:DQ$199,LOOKUP(ROW(DK$10:DK$199),FILTER(ROW(DK$10:DK$199),DK$10:DK$199&lt;&gt;DK$9:DK$198))=LOOKUP(ROW(DK64),FILTER(ROW(DK$10:DK$199),DK$10:DK$199&lt;&gt;DK$9:DK$198)))),DR64,)"),"")</f>
        <v/>
      </c>
      <c r="DV64" s="122"/>
      <c r="DW64" s="33"/>
      <c r="DX64" s="143"/>
      <c r="DY64" s="38"/>
      <c r="DZ64" s="144"/>
      <c r="EA64" s="150"/>
      <c r="EB64" s="174"/>
      <c r="EC64" s="175"/>
      <c r="ED64" s="176"/>
      <c r="EE64" s="155"/>
      <c r="EF64" s="148"/>
      <c r="EG64" s="33"/>
      <c r="EH64" s="155"/>
      <c r="EI64" s="148"/>
      <c r="EJ64" s="33"/>
      <c r="EK64" s="33"/>
      <c r="EL64" s="143"/>
      <c r="EM64" s="38"/>
      <c r="EN64" s="144"/>
      <c r="EO64" s="150"/>
      <c r="EP64" s="174"/>
      <c r="EQ64" s="175"/>
      <c r="ER64" s="176"/>
      <c r="ES64" s="155"/>
      <c r="ET64" s="148"/>
      <c r="EU64" s="33"/>
      <c r="EV64" s="155"/>
      <c r="EW64" s="148"/>
      <c r="EX64" s="33"/>
      <c r="EY64" s="33"/>
      <c r="EZ64" s="143"/>
      <c r="FA64" s="38"/>
      <c r="FB64" s="144"/>
      <c r="FC64" s="150"/>
      <c r="FD64" s="174"/>
      <c r="FE64" s="175"/>
      <c r="FF64" s="176"/>
      <c r="FG64" s="155"/>
      <c r="FH64" s="148"/>
      <c r="FI64" s="33"/>
      <c r="FJ64" s="155"/>
      <c r="FK64" s="148"/>
      <c r="FL64" s="33"/>
      <c r="FM64" s="33"/>
      <c r="FN64" s="143"/>
      <c r="FO64" s="38"/>
      <c r="FP64" s="144"/>
      <c r="FQ64" s="150"/>
      <c r="FR64" s="174"/>
      <c r="FS64" s="175"/>
      <c r="FT64" s="176"/>
      <c r="FU64" s="155"/>
      <c r="FV64" s="148"/>
      <c r="FW64" s="33"/>
      <c r="FX64" s="155"/>
      <c r="FY64" s="148"/>
      <c r="FZ64" s="33"/>
      <c r="GA64" s="33"/>
      <c r="GB64" s="143"/>
      <c r="GC64" s="38"/>
      <c r="GD64" s="144"/>
      <c r="GE64" s="150"/>
      <c r="GF64" s="174"/>
      <c r="GG64" s="175"/>
      <c r="GH64" s="176"/>
      <c r="GI64" s="155"/>
      <c r="GJ64" s="148"/>
      <c r="GK64" s="33"/>
      <c r="GL64" s="155"/>
      <c r="GM64" s="148"/>
      <c r="GN64" s="33"/>
      <c r="GO64" s="33"/>
      <c r="GP64" s="143"/>
      <c r="GQ64" s="38"/>
      <c r="GR64" s="144"/>
      <c r="GS64" s="150"/>
      <c r="GT64" s="174"/>
      <c r="GU64" s="175"/>
      <c r="GV64" s="176"/>
      <c r="GW64" s="155"/>
      <c r="GX64" s="148"/>
      <c r="GY64" s="33"/>
      <c r="GZ64" s="155"/>
      <c r="HA64" s="148"/>
      <c r="HB64" s="33"/>
      <c r="HC64" s="33"/>
      <c r="HD64" s="143"/>
      <c r="HE64" s="38"/>
      <c r="HF64" s="144"/>
      <c r="HG64" s="150"/>
      <c r="HH64" s="174"/>
      <c r="HI64" s="175"/>
      <c r="HJ64" s="176"/>
      <c r="HK64" s="155"/>
      <c r="HL64" s="148"/>
      <c r="HM64" s="33"/>
      <c r="HN64" s="155"/>
      <c r="HO64" s="148"/>
      <c r="HP64" s="33"/>
      <c r="HQ64" s="33"/>
      <c r="HR64" s="143"/>
      <c r="HS64" s="38"/>
      <c r="HT64" s="144"/>
      <c r="HU64" s="150"/>
      <c r="HV64" s="174"/>
      <c r="HW64" s="175"/>
      <c r="HX64" s="176"/>
      <c r="HY64" s="155"/>
      <c r="HZ64" s="148"/>
      <c r="IA64" s="33"/>
      <c r="IB64" s="155"/>
      <c r="IC64" s="148"/>
      <c r="ID64" s="33"/>
      <c r="IE64" s="33"/>
      <c r="IF64" s="143"/>
      <c r="IG64" s="38"/>
      <c r="IH64" s="144"/>
      <c r="II64" s="150"/>
      <c r="IJ64" s="174"/>
      <c r="IK64" s="175"/>
      <c r="IL64" s="176"/>
      <c r="IM64" s="155"/>
      <c r="IN64" s="148"/>
      <c r="IO64" s="33"/>
      <c r="IP64" s="155"/>
      <c r="IQ64" s="148"/>
      <c r="IR64" s="33"/>
      <c r="IS64" s="33"/>
      <c r="IT64" s="143"/>
      <c r="IU64" s="38"/>
      <c r="IV64" s="144"/>
      <c r="IW64" s="143" t="str">
        <f t="shared" si="24"/>
        <v>#REF!</v>
      </c>
      <c r="IX64" s="38"/>
      <c r="IY64" s="144" t="e">
        <v>#REF!</v>
      </c>
    </row>
    <row r="65" hidden="1" outlineLevel="1">
      <c r="A65" s="33"/>
      <c r="B65" s="181"/>
      <c r="C65" s="38" t="str">
        <f>IFERROR(__xludf.DUMMYFUNCTION("""COMPUTED_VALUE"""),"")</f>
        <v/>
      </c>
      <c r="D65" s="144">
        <v>46111.0</v>
      </c>
      <c r="E65" s="182"/>
      <c r="F65" s="168"/>
      <c r="G65" s="169"/>
      <c r="H65" s="170"/>
      <c r="I65" s="171" t="str">
        <f t="array" ref="I65">IFERROR(IF(C65="ac"+ISNUMBER(SEARCH("'",H65))+G65="","", MROUND(SWITCH(C65,"sq",'Personal Info'!$O$15,"bn",'Personal Info'!$S$15,"dl",'Personal Info'!$W$15,"")*IF(H65&gt;10, H65/100, VLOOKUP(H65, _rpe,SUBSTITUTE(G65,"+","")+1,0)), IF( SWITCH(C65:C210,"sq",'Personal Info'!$O$15,"bn",'Personal Info'!$S$15,"dl", 'Personal Info'!$W$15,"")&lt; IF(_uom="lbs", 175, 80), 1.25, IF(_uom="lbs",5,2.5)))),"")</f>
        <v/>
      </c>
      <c r="J65" s="148"/>
      <c r="K65" s="33"/>
      <c r="L65" s="171"/>
      <c r="M65" s="124" t="str">
        <f>IFERROR(__xludf.DUMMYFUNCTION("IF(I65=MAX(FILTER(I$10:I$199,LOOKUP(ROW(C$10:C$199),FILTER(ROW(C$10:C$199),C$10:C$199&lt;&gt;C$9:C$198))=LOOKUP(ROW(C65),FILTER(ROW(C$10:C$199),C$10:C$199&lt;&gt;C$9:C$198)))),J65,)"),"")</f>
        <v/>
      </c>
      <c r="N65" s="122"/>
      <c r="O65" s="33"/>
      <c r="P65" s="143" t="str">
        <f t="shared" si="12"/>
        <v/>
      </c>
      <c r="Q65" s="38" t="str">
        <f>IFERROR(__xludf.DUMMYFUNCTION("""COMPUTED_VALUE"""),"")</f>
        <v/>
      </c>
      <c r="R65" s="144">
        <v>46118.0</v>
      </c>
      <c r="S65" s="167" t="str">
        <f t="shared" si="13"/>
        <v/>
      </c>
      <c r="T65" s="168" t="str">
        <f t="shared" si="228"/>
        <v/>
      </c>
      <c r="U65" s="169" t="str">
        <f t="shared" si="245"/>
        <v/>
      </c>
      <c r="V65" s="172" t="str">
        <f t="shared" si="246"/>
        <v/>
      </c>
      <c r="W65" s="171" t="str">
        <f t="array" ref="W65">IFERROR(IF(Q65="ac"+ISNUMBER(SEARCH("'",V65))+U65="","", IF(ISNUMBER(SEARCH("lw",V65)), I65 + SUBSTITUTE(V65,"lw+",""), MROUND(SWITCH(Q65,"sq",U$7,"bn",V$7,"dl",W$7,"")*IF(V65&gt;10, V65/100, VLOOKUP(V65, _rpe,SUBSTITUTE(U65,"+","")+1,0)), IF( SWITCH(Q65,"sq",U$7,"bn",V$7,"dl", W$7,"")&lt; IF(_uom="lbs", 175, 80), 1.25, IF(_uom="lbs",5,2.5))))), "")</f>
        <v/>
      </c>
      <c r="X65" s="148"/>
      <c r="Y65" s="33"/>
      <c r="Z65" s="171"/>
      <c r="AA65" s="124" t="str">
        <f>IFERROR(__xludf.DUMMYFUNCTION("IF(W65=MAX(FILTER(W$10:W$199,LOOKUP(ROW(Q$10:Q$199),FILTER(ROW(Q$10:Q$199),Q$10:Q$199&lt;&gt;Q$9:Q$198))=LOOKUP(ROW(Q65),FILTER(ROW(Q$10:Q$199),Q$10:Q$199&lt;&gt;Q$9:Q$198)))),X65,)"),"")</f>
        <v/>
      </c>
      <c r="AB65" s="122"/>
      <c r="AC65" s="33"/>
      <c r="AD65" s="143" t="str">
        <f t="shared" si="14"/>
        <v/>
      </c>
      <c r="AE65" s="38" t="str">
        <f>IFERROR(__xludf.DUMMYFUNCTION("""COMPUTED_VALUE"""),"")</f>
        <v/>
      </c>
      <c r="AF65" s="144">
        <v>46125.0</v>
      </c>
      <c r="AG65" s="167" t="str">
        <f t="shared" si="54"/>
        <v/>
      </c>
      <c r="AH65" s="168" t="str">
        <f t="shared" si="151"/>
        <v/>
      </c>
      <c r="AI65" s="169" t="str">
        <f t="shared" si="247"/>
        <v/>
      </c>
      <c r="AJ65" s="172" t="str">
        <f t="shared" si="248"/>
        <v/>
      </c>
      <c r="AK65" s="171" t="str">
        <f t="array" ref="AK65">IFERROR(IF(AE65="ac"+ISNUMBER(SEARCH("'",AJ65))+AI65="","", IF(ISNUMBER(SEARCH("lw",AJ65)), W65 + SUBSTITUTE(AJ65,"lw+",""), MROUND(SWITCH(AE65,"sq",AI$7,"bn",AJ$7,"dl",AK$7,"")*IF(AJ65&gt;10, AJ65/100, VLOOKUP(AJ65, _rpe,SUBSTITUTE(AI65,"+","")+1,0)), IF( SWITCH(AE65,"sq",AI$7,"bn",AJ$7,"dl", AK$7,"")&lt; IF(_uom="lbs", 175, 80), 1.25, IF(_uom="lbs",5,2.5))))), "")</f>
        <v/>
      </c>
      <c r="AL65" s="148"/>
      <c r="AM65" s="33"/>
      <c r="AN65" s="171"/>
      <c r="AO65" s="124" t="str">
        <f>IFERROR(__xludf.DUMMYFUNCTION("IF(AK65=MAX(FILTER(AK$10:AK$199,LOOKUP(ROW(AE$10:AE$199),FILTER(ROW(AE$10:AE$199),AE$10:AE$199&lt;&gt;AE$9:AE$198))=LOOKUP(ROW(AE65),FILTER(ROW(AE$10:AE$199),AE$10:AE$199&lt;&gt;AE$9:AE$198)))),AL65,)"),"")</f>
        <v/>
      </c>
      <c r="AP65" s="122"/>
      <c r="AQ65" s="33"/>
      <c r="AR65" s="143" t="str">
        <f t="shared" si="16"/>
        <v/>
      </c>
      <c r="AS65" s="38" t="str">
        <f>IFERROR(__xludf.DUMMYFUNCTION("""COMPUTED_VALUE"""),"")</f>
        <v/>
      </c>
      <c r="AT65" s="144">
        <v>46132.0</v>
      </c>
      <c r="AU65" s="167" t="str">
        <f t="shared" si="26"/>
        <v/>
      </c>
      <c r="AV65" s="168" t="str">
        <f t="shared" si="152"/>
        <v/>
      </c>
      <c r="AW65" s="169" t="str">
        <f t="shared" si="249"/>
        <v/>
      </c>
      <c r="AX65" s="172" t="str">
        <f t="shared" si="216"/>
        <v/>
      </c>
      <c r="AY65" s="171" t="str">
        <f t="array" ref="AY65">IFERROR(IF(AS65="ac"+ISNUMBER(SEARCH("'",AX65))+AW65="","", IF(ISNUMBER(SEARCH("lw",AX65)), AK65 + SUBSTITUTE(AX65,"lw+",""), MROUND(SWITCH(AS65,"sq",AW$7,"bn",AX$7,"dl",AY$7,"")*IF(AX65&gt;10, AX65/100, VLOOKUP(AX65, _rpe,SUBSTITUTE(AW65,"+","")+1,0)), IF( SWITCH(AS65,"sq",AW$7,"bn",AX$7,"dl", AY$7,"")&lt; IF(_uom="lbs", 175, 80), 1.25, IF(_uom="lbs",5,2.5))))), "")</f>
        <v/>
      </c>
      <c r="AZ65" s="148"/>
      <c r="BA65" s="33"/>
      <c r="BB65" s="171"/>
      <c r="BC65" s="124" t="str">
        <f>IFERROR(__xludf.DUMMYFUNCTION("IF(AY65=MAX(FILTER(AY$10:AY$199,LOOKUP(ROW(AS$10:AS$199),FILTER(ROW(AS$10:AS$199),AS$10:AS$199&lt;&gt;AS$9:AS$198))=LOOKUP(ROW(AS65),FILTER(ROW(AS$10:AS$199),AS$10:AS$199&lt;&gt;AS$9:AS$198)))),AZ65,)"),"")</f>
        <v/>
      </c>
      <c r="BD65" s="122"/>
      <c r="BE65" s="33"/>
      <c r="BF65" s="143" t="str">
        <f t="shared" si="17"/>
        <v/>
      </c>
      <c r="BG65" s="38" t="str">
        <f>IFERROR(__xludf.DUMMYFUNCTION("""COMPUTED_VALUE"""),"")</f>
        <v/>
      </c>
      <c r="BH65" s="144">
        <v>46139.0</v>
      </c>
      <c r="BI65" s="167" t="str">
        <f t="shared" si="18"/>
        <v/>
      </c>
      <c r="BJ65" s="168" t="str">
        <f t="shared" si="250"/>
        <v/>
      </c>
      <c r="BK65" s="169" t="str">
        <f t="shared" si="251"/>
        <v/>
      </c>
      <c r="BL65" s="172" t="str">
        <f t="shared" si="252"/>
        <v/>
      </c>
      <c r="BM65" s="171" t="str">
        <f t="array" ref="BM65">IFERROR(IF(BG65="ac"+ISNUMBER(SEARCH("'",BL65))+BK65="","", IF(ISNUMBER(SEARCH("lw",BL65)), AY65 + SUBSTITUTE(BL65,"lw+",""), MROUND(SWITCH(BG65,"sq",BK$7,"bn",BL$7,"dl",BM$7,"")*IF(BL65&gt;10, BL65/100, VLOOKUP(BL65, _rpe,SUBSTITUTE(BK65,"+","")+1,0)), IF( SWITCH(BG65,"sq",BK$7,"bn",BL$7,"dl", BM$7,"")&lt; IF(_uom="lbs", 175, 80), 1.25, IF(_uom="lbs",5,2.5))))), "")</f>
        <v/>
      </c>
      <c r="BN65" s="148"/>
      <c r="BO65" s="33"/>
      <c r="BP65" s="171"/>
      <c r="BQ65" s="124" t="str">
        <f>IFERROR(__xludf.DUMMYFUNCTION("IF(BM65=MAX(FILTER(BM$10:BM$199,LOOKUP(ROW(BG$10:BG$199),FILTER(ROW(BG$10:BG$199),BG$10:BG$199&lt;&gt;BG$9:BG$198))=LOOKUP(ROW(BG65),FILTER(ROW(BG$10:BG$199),BG$10:BG$199&lt;&gt;BG$9:BG$198)))),BN65,)"),"")</f>
        <v/>
      </c>
      <c r="BR65" s="122"/>
      <c r="BS65" s="33"/>
      <c r="BT65" s="143" t="str">
        <f t="shared" si="19"/>
        <v/>
      </c>
      <c r="BU65" s="38" t="str">
        <f>IFERROR(__xludf.DUMMYFUNCTION("""COMPUTED_VALUE"""),"")</f>
        <v/>
      </c>
      <c r="BV65" s="144">
        <v>46146.0</v>
      </c>
      <c r="BW65" s="167" t="str">
        <f t="shared" si="20"/>
        <v/>
      </c>
      <c r="BX65" s="168" t="str">
        <f t="shared" si="253"/>
        <v/>
      </c>
      <c r="BY65" s="169" t="str">
        <f t="shared" si="254"/>
        <v/>
      </c>
      <c r="BZ65" s="172" t="str">
        <f t="shared" si="255"/>
        <v/>
      </c>
      <c r="CA65" s="171" t="str">
        <f t="array" ref="CA65">IFERROR(IF(BU65="ac"+ISNUMBER(SEARCH("'",BZ65))+BY65="","", IF(ISNUMBER(SEARCH("lw",BZ65)), BM65 + SUBSTITUTE(BZ65,"lw+",""), MROUND(SWITCH(BU65,"sq",BY$7,"bn",BZ$7,"dl",CA$7,"")*IF(BZ65&gt;10, BZ65/100, VLOOKUP(BZ65, _rpe,SUBSTITUTE(BY65,"+","")+1,0)), IF( SWITCH(BU65,"sq",BY$7,"bn",BZ$7,"dl", CA$7,"")&lt; IF(_uom="lbs", 175, 80), 1.25, IF(_uom="lbs",5,2.5))))), "")</f>
        <v/>
      </c>
      <c r="CB65" s="148"/>
      <c r="CC65" s="33"/>
      <c r="CD65" s="171"/>
      <c r="CE65" s="124" t="str">
        <f>IFERROR(__xludf.DUMMYFUNCTION("IF(CA65=MAX(FILTER(CA$10:CA$199,LOOKUP(ROW(BU$10:BU$199),FILTER(ROW(BU$10:BU$199),BU$10:BU$199&lt;&gt;BU$9:BU$198))=LOOKUP(ROW(BU65),FILTER(ROW(BU$10:BU$199),BU$10:BU$199&lt;&gt;BU$9:BU$198)))),CB65,)"),"")</f>
        <v/>
      </c>
      <c r="CF65" s="122"/>
      <c r="CG65" s="33"/>
      <c r="CH65" s="143" t="str">
        <f t="shared" si="21"/>
        <v/>
      </c>
      <c r="CI65" s="38" t="str">
        <f>IFERROR(__xludf.DUMMYFUNCTION("""COMPUTED_VALUE"""),"")</f>
        <v/>
      </c>
      <c r="CJ65" s="144">
        <v>46153.0</v>
      </c>
      <c r="CK65" s="167" t="str">
        <f t="shared" si="27"/>
        <v/>
      </c>
      <c r="CL65" s="168" t="str">
        <f t="shared" si="256"/>
        <v/>
      </c>
      <c r="CM65" s="169" t="str">
        <f t="shared" si="257"/>
        <v/>
      </c>
      <c r="CN65" s="172" t="str">
        <f t="shared" si="258"/>
        <v/>
      </c>
      <c r="CO65" s="171" t="str">
        <f t="array" ref="CO65">IFERROR(IF(CI65="ac"+ISNUMBER(SEARCH("'",CN65))+CM65="","", IF(ISNUMBER(SEARCH("lw",CN65)), CA65 + SUBSTITUTE(CN65,"lw+",""), MROUND(SWITCH(CI65,"sq",CM$7,"bn",CN$7,"dl",CO$7,"")*IF(CN65&gt;10, CN65/100, VLOOKUP(CN65, _rpe,SUBSTITUTE(CM65,"+","")+1,0)), IF( SWITCH(CI65,"sq",CM$7,"bn",CN$7,"dl", CO$7,"")&lt; IF(_uom="lbs", 175, 80), 1.25, IF(_uom="lbs",5,2.5))))), "")</f>
        <v/>
      </c>
      <c r="CP65" s="148"/>
      <c r="CQ65" s="33"/>
      <c r="CR65" s="171"/>
      <c r="CS65" s="124" t="str">
        <f>IFERROR(__xludf.DUMMYFUNCTION("IF(CO65=MAX(FILTER(CO$10:CO$199,LOOKUP(ROW(CI$10:CI$199),FILTER(ROW(CI$10:CI$199),CI$10:CI$199&lt;&gt;CI$9:CI$198))=LOOKUP(ROW(CI65),FILTER(ROW(CI$10:CI$199),CI$10:CI$199&lt;&gt;CI$9:CI$198)))),CP65,)"),"")</f>
        <v/>
      </c>
      <c r="CT65" s="122"/>
      <c r="CU65" s="33"/>
      <c r="CV65" s="143" t="str">
        <f t="shared" si="22"/>
        <v/>
      </c>
      <c r="CW65" s="38" t="str">
        <f>IFERROR(__xludf.DUMMYFUNCTION("""COMPUTED_VALUE"""),"")</f>
        <v/>
      </c>
      <c r="CX65" s="144">
        <v>46160.0</v>
      </c>
      <c r="CY65" s="167" t="str">
        <f t="shared" si="28"/>
        <v/>
      </c>
      <c r="CZ65" s="168" t="str">
        <f t="shared" si="243"/>
        <v/>
      </c>
      <c r="DA65" s="169" t="str">
        <f t="shared" si="259"/>
        <v/>
      </c>
      <c r="DB65" s="172" t="str">
        <f t="shared" si="227"/>
        <v/>
      </c>
      <c r="DC65" s="171" t="str">
        <f t="array" ref="DC65">IFERROR(IF(CW65="ac"+ISNUMBER(SEARCH("'",DB65))+DA65="","", IF(ISNUMBER(SEARCH("lw",DB65)), CO65 + SUBSTITUTE(DB65,"lw+",""), MROUND(SWITCH(CW65,"sq",DA$7,"bn",DB$7,"dl",DC$7,"")*IF(DB65&gt;10, DB65/100, VLOOKUP(DB65, _rpe,SUBSTITUTE(DA65,"+","")+1,0)), IF( SWITCH(CW65,"sq",DA$7,"bn",DB$7,"dl", DC$7,"")&lt; IF(_uom="lbs", 175, 80), 1.25, IF(_uom="lbs",5,2.5))))), "")</f>
        <v/>
      </c>
      <c r="DD65" s="148"/>
      <c r="DE65" s="33"/>
      <c r="DF65" s="171"/>
      <c r="DG65" s="124" t="str">
        <f>IFERROR(__xludf.DUMMYFUNCTION("IF(DC65=MAX(FILTER(DC$10:DC$199,LOOKUP(ROW(CW$10:CW$199),FILTER(ROW(CW$10:CW$199),CW$10:CW$199&lt;&gt;CW$9:CW$198))=LOOKUP(ROW(CW65),FILTER(ROW(CW$10:CW$199),CW$10:CW$199&lt;&gt;CW$9:CW$198)))),DD65,)"),"")</f>
        <v/>
      </c>
      <c r="DH65" s="122"/>
      <c r="DI65" s="33"/>
      <c r="DJ65" s="143" t="str">
        <f t="shared" si="23"/>
        <v/>
      </c>
      <c r="DK65" s="38" t="str">
        <f>IFERROR(__xludf.DUMMYFUNCTION("""COMPUTED_VALUE"""),"")</f>
        <v/>
      </c>
      <c r="DL65" s="144">
        <v>46167.0</v>
      </c>
      <c r="DM65" s="167"/>
      <c r="DN65" s="168"/>
      <c r="DO65" s="169"/>
      <c r="DP65" s="172"/>
      <c r="DQ65" s="171" t="str">
        <f t="array" ref="DQ65">IFERROR(IF(DK65="ac"+ISNUMBER(SEARCH("'",DP65))+DO65="","", IF(ISNUMBER(SEARCH("lw",DP65)), DC65 + SUBSTITUTE(DP65,"lw+",""), MROUND(SWITCH(DK65,"sq",DO$7,"bn",DP$7,"dl",DQ$7,"")*IF(DP65&gt;10, DP65/100, VLOOKUP(DP65, _rpe,SUBSTITUTE(DO65,"+","")+1,0)), IF( SWITCH(DK65,"sq",DO$7,"bn",DP$7,"dl", DQ$7,"")&lt; IF(_uom="lbs", 175, 80), 1.25, IF(_uom="lbs",5,2.5))))), "")</f>
        <v/>
      </c>
      <c r="DR65" s="148"/>
      <c r="DS65" s="33"/>
      <c r="DT65" s="171"/>
      <c r="DU65" s="124" t="str">
        <f>IFERROR(__xludf.DUMMYFUNCTION("IF(DQ65=MAX(FILTER(DQ$10:DQ$199,LOOKUP(ROW(DK$10:DK$199),FILTER(ROW(DK$10:DK$199),DK$10:DK$199&lt;&gt;DK$9:DK$198))=LOOKUP(ROW(DK65),FILTER(ROW(DK$10:DK$199),DK$10:DK$199&lt;&gt;DK$9:DK$198)))),DR65,)"),"")</f>
        <v/>
      </c>
      <c r="DV65" s="122"/>
      <c r="DW65" s="33"/>
      <c r="DX65" s="143"/>
      <c r="DY65" s="38"/>
      <c r="DZ65" s="144"/>
      <c r="EA65" s="150"/>
      <c r="EB65" s="174"/>
      <c r="EC65" s="175"/>
      <c r="ED65" s="176"/>
      <c r="EE65" s="155"/>
      <c r="EF65" s="148"/>
      <c r="EG65" s="33"/>
      <c r="EH65" s="155"/>
      <c r="EI65" s="148"/>
      <c r="EJ65" s="33"/>
      <c r="EK65" s="33"/>
      <c r="EL65" s="143"/>
      <c r="EM65" s="38"/>
      <c r="EN65" s="144"/>
      <c r="EO65" s="150"/>
      <c r="EP65" s="174"/>
      <c r="EQ65" s="175"/>
      <c r="ER65" s="176"/>
      <c r="ES65" s="155"/>
      <c r="ET65" s="148"/>
      <c r="EU65" s="33"/>
      <c r="EV65" s="155"/>
      <c r="EW65" s="148"/>
      <c r="EX65" s="33"/>
      <c r="EY65" s="33"/>
      <c r="EZ65" s="143"/>
      <c r="FA65" s="38"/>
      <c r="FB65" s="144"/>
      <c r="FC65" s="150"/>
      <c r="FD65" s="174"/>
      <c r="FE65" s="175"/>
      <c r="FF65" s="176"/>
      <c r="FG65" s="155"/>
      <c r="FH65" s="148"/>
      <c r="FI65" s="33"/>
      <c r="FJ65" s="155"/>
      <c r="FK65" s="148"/>
      <c r="FL65" s="33"/>
      <c r="FM65" s="33"/>
      <c r="FN65" s="143"/>
      <c r="FO65" s="38"/>
      <c r="FP65" s="144"/>
      <c r="FQ65" s="150"/>
      <c r="FR65" s="174"/>
      <c r="FS65" s="175"/>
      <c r="FT65" s="176"/>
      <c r="FU65" s="155"/>
      <c r="FV65" s="148"/>
      <c r="FW65" s="33"/>
      <c r="FX65" s="155"/>
      <c r="FY65" s="148"/>
      <c r="FZ65" s="33"/>
      <c r="GA65" s="33"/>
      <c r="GB65" s="143"/>
      <c r="GC65" s="38"/>
      <c r="GD65" s="144"/>
      <c r="GE65" s="150"/>
      <c r="GF65" s="174"/>
      <c r="GG65" s="175"/>
      <c r="GH65" s="176"/>
      <c r="GI65" s="155"/>
      <c r="GJ65" s="148"/>
      <c r="GK65" s="33"/>
      <c r="GL65" s="155"/>
      <c r="GM65" s="148"/>
      <c r="GN65" s="33"/>
      <c r="GO65" s="33"/>
      <c r="GP65" s="143"/>
      <c r="GQ65" s="38"/>
      <c r="GR65" s="144"/>
      <c r="GS65" s="150"/>
      <c r="GT65" s="174"/>
      <c r="GU65" s="175"/>
      <c r="GV65" s="176"/>
      <c r="GW65" s="155"/>
      <c r="GX65" s="148"/>
      <c r="GY65" s="33"/>
      <c r="GZ65" s="155"/>
      <c r="HA65" s="148"/>
      <c r="HB65" s="33"/>
      <c r="HC65" s="33"/>
      <c r="HD65" s="143"/>
      <c r="HE65" s="38"/>
      <c r="HF65" s="144"/>
      <c r="HG65" s="150"/>
      <c r="HH65" s="174"/>
      <c r="HI65" s="175"/>
      <c r="HJ65" s="176"/>
      <c r="HK65" s="155"/>
      <c r="HL65" s="148"/>
      <c r="HM65" s="33"/>
      <c r="HN65" s="155"/>
      <c r="HO65" s="148"/>
      <c r="HP65" s="33"/>
      <c r="HQ65" s="33"/>
      <c r="HR65" s="143"/>
      <c r="HS65" s="38"/>
      <c r="HT65" s="144"/>
      <c r="HU65" s="150"/>
      <c r="HV65" s="174"/>
      <c r="HW65" s="175"/>
      <c r="HX65" s="176"/>
      <c r="HY65" s="155"/>
      <c r="HZ65" s="148"/>
      <c r="IA65" s="33"/>
      <c r="IB65" s="155"/>
      <c r="IC65" s="148"/>
      <c r="ID65" s="33"/>
      <c r="IE65" s="33"/>
      <c r="IF65" s="143"/>
      <c r="IG65" s="38"/>
      <c r="IH65" s="144"/>
      <c r="II65" s="150"/>
      <c r="IJ65" s="174"/>
      <c r="IK65" s="175"/>
      <c r="IL65" s="176"/>
      <c r="IM65" s="155"/>
      <c r="IN65" s="148"/>
      <c r="IO65" s="33"/>
      <c r="IP65" s="155"/>
      <c r="IQ65" s="148"/>
      <c r="IR65" s="33"/>
      <c r="IS65" s="33"/>
      <c r="IT65" s="143"/>
      <c r="IU65" s="38"/>
      <c r="IV65" s="144"/>
      <c r="IW65" s="143" t="str">
        <f t="shared" si="24"/>
        <v>#REF!</v>
      </c>
      <c r="IX65" s="38"/>
      <c r="IY65" s="144" t="e">
        <v>#REF!</v>
      </c>
    </row>
    <row r="66">
      <c r="A66" s="33"/>
      <c r="B66" s="143" t="s">
        <v>314</v>
      </c>
      <c r="C66" s="38" t="str">
        <f>IFERROR(__xludf.DUMMYFUNCTION("""COMPUTED_VALUE"""),"ac")</f>
        <v>ac</v>
      </c>
      <c r="D66" s="144">
        <v>46111.0</v>
      </c>
      <c r="E66" s="167" t="s">
        <v>338</v>
      </c>
      <c r="F66" s="168">
        <v>3.0</v>
      </c>
      <c r="G66" s="179" t="s">
        <v>316</v>
      </c>
      <c r="H66" s="173" t="s">
        <v>313</v>
      </c>
      <c r="I66" s="171" t="str">
        <f t="array" ref="I66">IFERROR(IF(C66="ac"+ISNUMBER(SEARCH("'",H66))+G66="","", MROUND(SWITCH(C66,"sq",'Personal Info'!$O$15,"bn",'Personal Info'!$S$15,"dl",'Personal Info'!$W$15,"")*IF(H66&gt;10, H66/100, VLOOKUP(H66, _rpe,SUBSTITUTE(G66,"+","")+1,0)), IF( SWITCH(C66:C210,"sq",'Personal Info'!$O$15,"bn",'Personal Info'!$S$15,"dl", 'Personal Info'!$W$15,"")&lt; IF(_uom="lbs", 175, 80), 1.25, IF(_uom="lbs",5,2.5)))),"")</f>
        <v/>
      </c>
      <c r="J66" s="148"/>
      <c r="K66" s="33"/>
      <c r="L66" s="171"/>
      <c r="M66" s="124" t="str">
        <f>IFERROR(__xludf.DUMMYFUNCTION("IF(I66=MAX(FILTER(I$10:I$199,LOOKUP(ROW(C$10:C$199),FILTER(ROW(C$10:C$199),C$10:C$199&lt;&gt;C$9:C$198))=LOOKUP(ROW(C66),FILTER(ROW(C$10:C$199),C$10:C$199&lt;&gt;C$9:C$198)))),J66,)"),"")</f>
        <v/>
      </c>
      <c r="N66" s="122"/>
      <c r="O66" s="33"/>
      <c r="P66" s="143" t="str">
        <f t="shared" si="12"/>
        <v>lats - h</v>
      </c>
      <c r="Q66" s="38" t="str">
        <f>IFERROR(__xludf.DUMMYFUNCTION("""COMPUTED_VALUE"""),"ac")</f>
        <v>ac</v>
      </c>
      <c r="R66" s="144">
        <v>46118.0</v>
      </c>
      <c r="S66" s="167" t="str">
        <f t="shared" si="13"/>
        <v>Chest-supported Row</v>
      </c>
      <c r="T66" s="168">
        <f>IF(OR(gen="SELECT",gen="MALE"), 3, 4)</f>
        <v>3</v>
      </c>
      <c r="U66" s="179" t="s">
        <v>316</v>
      </c>
      <c r="V66" s="173" t="s">
        <v>313</v>
      </c>
      <c r="W66" s="171" t="str">
        <f t="array" ref="W66">IFERROR(IF(Q66="ac"+ISNUMBER(SEARCH("'",V66))+U66="","", IF(ISNUMBER(SEARCH("lw",V66)), I66 + SUBSTITUTE(V66,"lw+",""), MROUND(SWITCH(Q66,"sq",U$7,"bn",V$7,"dl",W$7,"")*IF(V66&gt;10, V66/100, VLOOKUP(V66, _rpe,SUBSTITUTE(U66,"+","")+1,0)), IF( SWITCH(Q66,"sq",U$7,"bn",V$7,"dl", W$7,"")&lt; IF(_uom="lbs", 175, 80), 1.25, IF(_uom="lbs",5,2.5))))), "")</f>
        <v/>
      </c>
      <c r="X66" s="148"/>
      <c r="Y66" s="33"/>
      <c r="Z66" s="171"/>
      <c r="AA66" s="124" t="str">
        <f>IFERROR(__xludf.DUMMYFUNCTION("IF(W66=MAX(FILTER(W$10:W$199,LOOKUP(ROW(Q$10:Q$199),FILTER(ROW(Q$10:Q$199),Q$10:Q$199&lt;&gt;Q$9:Q$198))=LOOKUP(ROW(Q66),FILTER(ROW(Q$10:Q$199),Q$10:Q$199&lt;&gt;Q$9:Q$198)))),X66,)"),"")</f>
        <v/>
      </c>
      <c r="AB66" s="122"/>
      <c r="AC66" s="33"/>
      <c r="AD66" s="143" t="str">
        <f t="shared" si="14"/>
        <v>lats - h</v>
      </c>
      <c r="AE66" s="38" t="str">
        <f>IFERROR(__xludf.DUMMYFUNCTION("""COMPUTED_VALUE"""),"ac")</f>
        <v>ac</v>
      </c>
      <c r="AF66" s="144">
        <v>46125.0</v>
      </c>
      <c r="AG66" s="167" t="str">
        <f t="shared" si="54"/>
        <v>Chest-supported Row</v>
      </c>
      <c r="AH66" s="168">
        <f t="shared" si="151"/>
        <v>3</v>
      </c>
      <c r="AI66" s="179" t="s">
        <v>316</v>
      </c>
      <c r="AJ66" s="173" t="s">
        <v>313</v>
      </c>
      <c r="AK66" s="171" t="str">
        <f t="array" ref="AK66">IFERROR(IF(AE66="ac"+ISNUMBER(SEARCH("'",AJ66))+AI66="","", IF(ISNUMBER(SEARCH("lw",AJ66)), W66 + SUBSTITUTE(AJ66,"lw+",""), MROUND(SWITCH(AE66,"sq",AI$7,"bn",AJ$7,"dl",AK$7,"")*IF(AJ66&gt;10, AJ66/100, VLOOKUP(AJ66, _rpe,SUBSTITUTE(AI66,"+","")+1,0)), IF( SWITCH(AE66,"sq",AI$7,"bn",AJ$7,"dl", AK$7,"")&lt; IF(_uom="lbs", 175, 80), 1.25, IF(_uom="lbs",5,2.5))))), "")</f>
        <v/>
      </c>
      <c r="AL66" s="148"/>
      <c r="AM66" s="33"/>
      <c r="AN66" s="171"/>
      <c r="AO66" s="124" t="str">
        <f>IFERROR(__xludf.DUMMYFUNCTION("IF(AK66=MAX(FILTER(AK$10:AK$199,LOOKUP(ROW(AE$10:AE$199),FILTER(ROW(AE$10:AE$199),AE$10:AE$199&lt;&gt;AE$9:AE$198))=LOOKUP(ROW(AE66),FILTER(ROW(AE$10:AE$199),AE$10:AE$199&lt;&gt;AE$9:AE$198)))),AL66,)"),"")</f>
        <v/>
      </c>
      <c r="AP66" s="122"/>
      <c r="AQ66" s="33"/>
      <c r="AR66" s="143" t="str">
        <f t="shared" si="16"/>
        <v>lats - h</v>
      </c>
      <c r="AS66" s="38" t="str">
        <f>IFERROR(__xludf.DUMMYFUNCTION("""COMPUTED_VALUE"""),"ac")</f>
        <v>ac</v>
      </c>
      <c r="AT66" s="144">
        <v>46132.0</v>
      </c>
      <c r="AU66" s="167" t="str">
        <f t="shared" si="26"/>
        <v>Chest-supported Row</v>
      </c>
      <c r="AV66" s="168">
        <f t="shared" si="152"/>
        <v>3</v>
      </c>
      <c r="AW66" s="179" t="s">
        <v>316</v>
      </c>
      <c r="AX66" s="172" t="str">
        <f t="shared" si="216"/>
        <v>@8</v>
      </c>
      <c r="AY66" s="171" t="str">
        <f t="array" ref="AY66">IFERROR(IF(AS66="ac"+ISNUMBER(SEARCH("'",AX66))+AW66="","", IF(ISNUMBER(SEARCH("lw",AX66)), AK66 + SUBSTITUTE(AX66,"lw+",""), MROUND(SWITCH(AS66,"sq",AW$7,"bn",AX$7,"dl",AY$7,"")*IF(AX66&gt;10, AX66/100, VLOOKUP(AX66, _rpe,SUBSTITUTE(AW66,"+","")+1,0)), IF( SWITCH(AS66,"sq",AW$7,"bn",AX$7,"dl", AY$7,"")&lt; IF(_uom="lbs", 175, 80), 1.25, IF(_uom="lbs",5,2.5))))), "")</f>
        <v/>
      </c>
      <c r="AZ66" s="148"/>
      <c r="BA66" s="33"/>
      <c r="BB66" s="171"/>
      <c r="BC66" s="124" t="str">
        <f>IFERROR(__xludf.DUMMYFUNCTION("IF(AY66=MAX(FILTER(AY$10:AY$199,LOOKUP(ROW(AS$10:AS$199),FILTER(ROW(AS$10:AS$199),AS$10:AS$199&lt;&gt;AS$9:AS$198))=LOOKUP(ROW(AS66),FILTER(ROW(AS$10:AS$199),AS$10:AS$199&lt;&gt;AS$9:AS$198)))),AZ66,)"),"")</f>
        <v/>
      </c>
      <c r="BD66" s="122"/>
      <c r="BE66" s="33"/>
      <c r="BF66" s="143" t="str">
        <f t="shared" si="17"/>
        <v>lats - h</v>
      </c>
      <c r="BG66" s="38" t="str">
        <f>IFERROR(__xludf.DUMMYFUNCTION("""COMPUTED_VALUE"""),"ac")</f>
        <v>ac</v>
      </c>
      <c r="BH66" s="144">
        <v>46139.0</v>
      </c>
      <c r="BI66" s="167" t="str">
        <f t="shared" si="18"/>
        <v>Chest-supported Row</v>
      </c>
      <c r="BJ66" s="168">
        <v>3.0</v>
      </c>
      <c r="BK66" s="179" t="s">
        <v>317</v>
      </c>
      <c r="BL66" s="173" t="s">
        <v>313</v>
      </c>
      <c r="BM66" s="171" t="str">
        <f t="array" ref="BM66">IFERROR(IF(BG66="ac"+ISNUMBER(SEARCH("'",BL66))+BK66="","", IF(ISNUMBER(SEARCH("lw",BL66)), AY66 + SUBSTITUTE(BL66,"lw+",""), MROUND(SWITCH(BG66,"sq",BK$7,"bn",BL$7,"dl",BM$7,"")*IF(BL66&gt;10, BL66/100, VLOOKUP(BL66, _rpe,SUBSTITUTE(BK66,"+","")+1,0)), IF( SWITCH(BG66,"sq",BK$7,"bn",BL$7,"dl", BM$7,"")&lt; IF(_uom="lbs", 175, 80), 1.25, IF(_uom="lbs",5,2.5))))), "")</f>
        <v/>
      </c>
      <c r="BN66" s="148"/>
      <c r="BO66" s="33"/>
      <c r="BP66" s="171"/>
      <c r="BQ66" s="124" t="str">
        <f>IFERROR(__xludf.DUMMYFUNCTION("IF(BM66=MAX(FILTER(BM$10:BM$199,LOOKUP(ROW(BG$10:BG$199),FILTER(ROW(BG$10:BG$199),BG$10:BG$199&lt;&gt;BG$9:BG$198))=LOOKUP(ROW(BG66),FILTER(ROW(BG$10:BG$199),BG$10:BG$199&lt;&gt;BG$9:BG$198)))),BN66,)"),"")</f>
        <v/>
      </c>
      <c r="BR66" s="122"/>
      <c r="BS66" s="33"/>
      <c r="BT66" s="143" t="str">
        <f t="shared" si="19"/>
        <v>lats - h</v>
      </c>
      <c r="BU66" s="38" t="str">
        <f>IFERROR(__xludf.DUMMYFUNCTION("""COMPUTED_VALUE"""),"ac")</f>
        <v>ac</v>
      </c>
      <c r="BV66" s="144">
        <v>46146.0</v>
      </c>
      <c r="BW66" s="167" t="str">
        <f t="shared" si="20"/>
        <v>Chest-supported Row</v>
      </c>
      <c r="BX66" s="168">
        <v>3.0</v>
      </c>
      <c r="BY66" s="179" t="s">
        <v>317</v>
      </c>
      <c r="BZ66" s="173" t="s">
        <v>313</v>
      </c>
      <c r="CA66" s="171" t="str">
        <f t="array" ref="CA66">IFERROR(IF(BU66="ac"+ISNUMBER(SEARCH("'",BZ66))+BY66="","", IF(ISNUMBER(SEARCH("lw",BZ66)), BM66 + SUBSTITUTE(BZ66,"lw+",""), MROUND(SWITCH(BU66,"sq",BY$7,"bn",BZ$7,"dl",CA$7,"")*IF(BZ66&gt;10, BZ66/100, VLOOKUP(BZ66, _rpe,SUBSTITUTE(BY66,"+","")+1,0)), IF( SWITCH(BU66,"sq",BY$7,"bn",BZ$7,"dl", CA$7,"")&lt; IF(_uom="lbs", 175, 80), 1.25, IF(_uom="lbs",5,2.5))))), "")</f>
        <v/>
      </c>
      <c r="CB66" s="148"/>
      <c r="CC66" s="33"/>
      <c r="CD66" s="171"/>
      <c r="CE66" s="124" t="str">
        <f>IFERROR(__xludf.DUMMYFUNCTION("IF(CA66=MAX(FILTER(CA$10:CA$199,LOOKUP(ROW(BU$10:BU$199),FILTER(ROW(BU$10:BU$199),BU$10:BU$199&lt;&gt;BU$9:BU$198))=LOOKUP(ROW(BU66),FILTER(ROW(BU$10:BU$199),BU$10:BU$199&lt;&gt;BU$9:BU$198)))),CB66,)"),"")</f>
        <v/>
      </c>
      <c r="CF66" s="122"/>
      <c r="CG66" s="33"/>
      <c r="CH66" s="143" t="str">
        <f t="shared" si="21"/>
        <v>lats - h</v>
      </c>
      <c r="CI66" s="38" t="str">
        <f>IFERROR(__xludf.DUMMYFUNCTION("""COMPUTED_VALUE"""),"ac")</f>
        <v>ac</v>
      </c>
      <c r="CJ66" s="144">
        <v>46153.0</v>
      </c>
      <c r="CK66" s="167" t="str">
        <f t="shared" si="27"/>
        <v>Chest-supported Row</v>
      </c>
      <c r="CL66" s="168">
        <v>3.0</v>
      </c>
      <c r="CM66" s="179" t="s">
        <v>317</v>
      </c>
      <c r="CN66" s="173" t="s">
        <v>313</v>
      </c>
      <c r="CO66" s="171" t="str">
        <f t="array" ref="CO66">IFERROR(IF(CI66="ac"+ISNUMBER(SEARCH("'",CN66))+CM66="","", IF(ISNUMBER(SEARCH("lw",CN66)), CA66 + SUBSTITUTE(CN66,"lw+",""), MROUND(SWITCH(CI66,"sq",CM$7,"bn",CN$7,"dl",CO$7,"")*IF(CN66&gt;10, CN66/100, VLOOKUP(CN66, _rpe,SUBSTITUTE(CM66,"+","")+1,0)), IF( SWITCH(CI66,"sq",CM$7,"bn",CN$7,"dl", CO$7,"")&lt; IF(_uom="lbs", 175, 80), 1.25, IF(_uom="lbs",5,2.5))))), "")</f>
        <v/>
      </c>
      <c r="CP66" s="148"/>
      <c r="CQ66" s="33"/>
      <c r="CR66" s="171"/>
      <c r="CS66" s="124" t="str">
        <f>IFERROR(__xludf.DUMMYFUNCTION("IF(CO66=MAX(FILTER(CO$10:CO$199,LOOKUP(ROW(CI$10:CI$199),FILTER(ROW(CI$10:CI$199),CI$10:CI$199&lt;&gt;CI$9:CI$198))=LOOKUP(ROW(CI66),FILTER(ROW(CI$10:CI$199),CI$10:CI$199&lt;&gt;CI$9:CI$198)))),CP66,)"),"")</f>
        <v/>
      </c>
      <c r="CT66" s="122"/>
      <c r="CU66" s="33"/>
      <c r="CV66" s="143" t="str">
        <f t="shared" si="22"/>
        <v>lats - h</v>
      </c>
      <c r="CW66" s="38" t="str">
        <f>IFERROR(__xludf.DUMMYFUNCTION("""COMPUTED_VALUE"""),"ac")</f>
        <v>ac</v>
      </c>
      <c r="CX66" s="144">
        <v>46160.0</v>
      </c>
      <c r="CY66" s="167" t="str">
        <f t="shared" si="28"/>
        <v>Chest-supported Row</v>
      </c>
      <c r="CZ66" s="168">
        <f t="shared" si="243"/>
        <v>3</v>
      </c>
      <c r="DA66" s="179" t="s">
        <v>317</v>
      </c>
      <c r="DB66" s="172" t="str">
        <f t="shared" si="227"/>
        <v>@8</v>
      </c>
      <c r="DC66" s="171" t="str">
        <f t="array" ref="DC66">IFERROR(IF(CW66="ac"+ISNUMBER(SEARCH("'",DB66))+DA66="","", IF(ISNUMBER(SEARCH("lw",DB66)), CO66 + SUBSTITUTE(DB66,"lw+",""), MROUND(SWITCH(CW66,"sq",DA$7,"bn",DB$7,"dl",DC$7,"")*IF(DB66&gt;10, DB66/100, VLOOKUP(DB66, _rpe,SUBSTITUTE(DA66,"+","")+1,0)), IF( SWITCH(CW66,"sq",DA$7,"bn",DB$7,"dl", DC$7,"")&lt; IF(_uom="lbs", 175, 80), 1.25, IF(_uom="lbs",5,2.5))))), "")</f>
        <v/>
      </c>
      <c r="DD66" s="148"/>
      <c r="DE66" s="33"/>
      <c r="DF66" s="171"/>
      <c r="DG66" s="124" t="str">
        <f>IFERROR(__xludf.DUMMYFUNCTION("IF(DC66=MAX(FILTER(DC$10:DC$199,LOOKUP(ROW(CW$10:CW$199),FILTER(ROW(CW$10:CW$199),CW$10:CW$199&lt;&gt;CW$9:CW$198))=LOOKUP(ROW(CW66),FILTER(ROW(CW$10:CW$199),CW$10:CW$199&lt;&gt;CW$9:CW$198)))),DD66,)"),"")</f>
        <v/>
      </c>
      <c r="DH66" s="122"/>
      <c r="DI66" s="33"/>
      <c r="DJ66" s="143" t="str">
        <f t="shared" si="23"/>
        <v>lats - h</v>
      </c>
      <c r="DK66" s="38" t="str">
        <f>IFERROR(__xludf.DUMMYFUNCTION("""COMPUTED_VALUE"""),"")</f>
        <v/>
      </c>
      <c r="DL66" s="144">
        <v>46167.0</v>
      </c>
      <c r="DM66" s="167"/>
      <c r="DN66" s="168"/>
      <c r="DO66" s="169"/>
      <c r="DP66" s="171"/>
      <c r="DQ66" s="171" t="str">
        <f t="array" ref="DQ66">IFERROR(IF(DK66="ac"+ISNUMBER(SEARCH("'",DP66))+DO66="","", IF(ISNUMBER(SEARCH("lw",DP66)), DC66 + SUBSTITUTE(DP66,"lw+",""), MROUND(SWITCH(DK66,"sq",DO$7,"bn",DP$7,"dl",DQ$7,"")*IF(DP66&gt;10, DP66/100, VLOOKUP(DP66, _rpe,SUBSTITUTE(DO66,"+","")+1,0)), IF( SWITCH(DK66,"sq",DO$7,"bn",DP$7,"dl", DQ$7,"")&lt; IF(_uom="lbs", 175, 80), 1.25, IF(_uom="lbs",5,2.5))))), "")</f>
        <v/>
      </c>
      <c r="DR66" s="148"/>
      <c r="DS66" s="33"/>
      <c r="DT66" s="171"/>
      <c r="DU66" s="124" t="str">
        <f>IFERROR(__xludf.DUMMYFUNCTION("IF(DQ66=MAX(FILTER(DQ$10:DQ$199,LOOKUP(ROW(DK$10:DK$199),FILTER(ROW(DK$10:DK$199),DK$10:DK$199&lt;&gt;DK$9:DK$198))=LOOKUP(ROW(DK66),FILTER(ROW(DK$10:DK$199),DK$10:DK$199&lt;&gt;DK$9:DK$198)))),DR66,)"),"")</f>
        <v/>
      </c>
      <c r="DV66" s="122"/>
      <c r="DW66" s="33"/>
      <c r="DX66" s="143"/>
      <c r="DY66" s="38"/>
      <c r="DZ66" s="144"/>
      <c r="EA66" s="150"/>
      <c r="EB66" s="174"/>
      <c r="EC66" s="175"/>
      <c r="ED66" s="155"/>
      <c r="EE66" s="155"/>
      <c r="EF66" s="148"/>
      <c r="EG66" s="33"/>
      <c r="EH66" s="155"/>
      <c r="EI66" s="148"/>
      <c r="EJ66" s="33"/>
      <c r="EK66" s="33"/>
      <c r="EL66" s="143"/>
      <c r="EM66" s="38"/>
      <c r="EN66" s="144"/>
      <c r="EO66" s="150"/>
      <c r="EP66" s="174"/>
      <c r="EQ66" s="175"/>
      <c r="ER66" s="176"/>
      <c r="ES66" s="155"/>
      <c r="ET66" s="148"/>
      <c r="EU66" s="33"/>
      <c r="EV66" s="155"/>
      <c r="EW66" s="148"/>
      <c r="EX66" s="33"/>
      <c r="EY66" s="33"/>
      <c r="EZ66" s="143"/>
      <c r="FA66" s="38"/>
      <c r="FB66" s="144"/>
      <c r="FC66" s="150"/>
      <c r="FD66" s="174"/>
      <c r="FE66" s="175"/>
      <c r="FF66" s="176"/>
      <c r="FG66" s="155"/>
      <c r="FH66" s="148"/>
      <c r="FI66" s="33"/>
      <c r="FJ66" s="155"/>
      <c r="FK66" s="148"/>
      <c r="FL66" s="33"/>
      <c r="FM66" s="33"/>
      <c r="FN66" s="143"/>
      <c r="FO66" s="38"/>
      <c r="FP66" s="144"/>
      <c r="FQ66" s="150"/>
      <c r="FR66" s="174"/>
      <c r="FS66" s="175"/>
      <c r="FT66" s="176"/>
      <c r="FU66" s="155"/>
      <c r="FV66" s="148"/>
      <c r="FW66" s="33"/>
      <c r="FX66" s="155"/>
      <c r="FY66" s="148"/>
      <c r="FZ66" s="33"/>
      <c r="GA66" s="33"/>
      <c r="GB66" s="143"/>
      <c r="GC66" s="38"/>
      <c r="GD66" s="144"/>
      <c r="GE66" s="150"/>
      <c r="GF66" s="174"/>
      <c r="GG66" s="175"/>
      <c r="GH66" s="176"/>
      <c r="GI66" s="155"/>
      <c r="GJ66" s="148"/>
      <c r="GK66" s="33"/>
      <c r="GL66" s="155"/>
      <c r="GM66" s="148"/>
      <c r="GN66" s="33"/>
      <c r="GO66" s="33"/>
      <c r="GP66" s="143"/>
      <c r="GQ66" s="38"/>
      <c r="GR66" s="144"/>
      <c r="GS66" s="150"/>
      <c r="GT66" s="174"/>
      <c r="GU66" s="175"/>
      <c r="GV66" s="176"/>
      <c r="GW66" s="155"/>
      <c r="GX66" s="148"/>
      <c r="GY66" s="33"/>
      <c r="GZ66" s="155"/>
      <c r="HA66" s="148"/>
      <c r="HB66" s="33"/>
      <c r="HC66" s="33"/>
      <c r="HD66" s="143"/>
      <c r="HE66" s="38"/>
      <c r="HF66" s="144"/>
      <c r="HG66" s="150"/>
      <c r="HH66" s="174"/>
      <c r="HI66" s="175"/>
      <c r="HJ66" s="176"/>
      <c r="HK66" s="155"/>
      <c r="HL66" s="148"/>
      <c r="HM66" s="33"/>
      <c r="HN66" s="155"/>
      <c r="HO66" s="148"/>
      <c r="HP66" s="33"/>
      <c r="HQ66" s="33"/>
      <c r="HR66" s="143"/>
      <c r="HS66" s="38"/>
      <c r="HT66" s="144"/>
      <c r="HU66" s="150"/>
      <c r="HV66" s="174"/>
      <c r="HW66" s="175"/>
      <c r="HX66" s="176"/>
      <c r="HY66" s="155"/>
      <c r="HZ66" s="148"/>
      <c r="IA66" s="33"/>
      <c r="IB66" s="155"/>
      <c r="IC66" s="148"/>
      <c r="ID66" s="33"/>
      <c r="IE66" s="33"/>
      <c r="IF66" s="143"/>
      <c r="IG66" s="38"/>
      <c r="IH66" s="144"/>
      <c r="II66" s="150"/>
      <c r="IJ66" s="174"/>
      <c r="IK66" s="175"/>
      <c r="IL66" s="176"/>
      <c r="IM66" s="155"/>
      <c r="IN66" s="148"/>
      <c r="IO66" s="33"/>
      <c r="IP66" s="155"/>
      <c r="IQ66" s="148"/>
      <c r="IR66" s="33"/>
      <c r="IS66" s="33"/>
      <c r="IT66" s="143"/>
      <c r="IU66" s="38"/>
      <c r="IV66" s="144"/>
      <c r="IW66" s="143" t="str">
        <f t="shared" si="24"/>
        <v>#REF!</v>
      </c>
      <c r="IX66" s="38"/>
      <c r="IY66" s="144" t="e">
        <v>#REF!</v>
      </c>
    </row>
    <row r="67">
      <c r="A67" s="33"/>
      <c r="B67" s="143" t="s">
        <v>339</v>
      </c>
      <c r="C67" s="38" t="str">
        <f>IFERROR(__xludf.DUMMYFUNCTION("""COMPUTED_VALUE"""),"ac")</f>
        <v>ac</v>
      </c>
      <c r="D67" s="144">
        <v>46111.0</v>
      </c>
      <c r="E67" s="167" t="s">
        <v>340</v>
      </c>
      <c r="F67" s="168">
        <v>3.0</v>
      </c>
      <c r="G67" s="179" t="s">
        <v>341</v>
      </c>
      <c r="H67" s="173" t="s">
        <v>307</v>
      </c>
      <c r="I67" s="171" t="str">
        <f t="array" ref="I67">IFERROR(IF(C67="ac"+ISNUMBER(SEARCH("'",H67))+G67="","", MROUND(SWITCH(C67,"sq",'Personal Info'!$O$15,"bn",'Personal Info'!$S$15,"dl",'Personal Info'!$W$15,"")*IF(H67&gt;10, H67/100, VLOOKUP(H67, _rpe,SUBSTITUTE(G67,"+","")+1,0)), IF( SWITCH(C67:C210,"sq",'Personal Info'!$O$15,"bn",'Personal Info'!$S$15,"dl", 'Personal Info'!$W$15,"")&lt; IF(_uom="lbs", 175, 80), 1.25, IF(_uom="lbs",5,2.5)))),"")</f>
        <v/>
      </c>
      <c r="J67" s="148"/>
      <c r="K67" s="33"/>
      <c r="L67" s="171"/>
      <c r="M67" s="124" t="str">
        <f>IFERROR(__xludf.DUMMYFUNCTION("IF(I67=MAX(FILTER(I$10:I$199,LOOKUP(ROW(C$10:C$199),FILTER(ROW(C$10:C$199),C$10:C$199&lt;&gt;C$9:C$198))=LOOKUP(ROW(C67),FILTER(ROW(C$10:C$199),C$10:C$199&lt;&gt;C$9:C$198)))),J67,)"),"")</f>
        <v/>
      </c>
      <c r="N67" s="122"/>
      <c r="O67" s="33"/>
      <c r="P67" s="143" t="str">
        <f t="shared" si="12"/>
        <v>autonomy</v>
      </c>
      <c r="Q67" s="38" t="str">
        <f>IFERROR(__xludf.DUMMYFUNCTION("""COMPUTED_VALUE"""),"ac")</f>
        <v>ac</v>
      </c>
      <c r="R67" s="144">
        <v>46118.0</v>
      </c>
      <c r="S67" s="167" t="str">
        <f t="shared" si="13"/>
        <v>Athlete Movement of Choice</v>
      </c>
      <c r="T67" s="168">
        <v>3.0</v>
      </c>
      <c r="U67" s="179" t="s">
        <v>341</v>
      </c>
      <c r="V67" s="173" t="s">
        <v>307</v>
      </c>
      <c r="W67" s="171" t="str">
        <f t="array" ref="W67">IFERROR(IF(Q67="ac"+ISNUMBER(SEARCH("'",V67))+U67="","", IF(ISNUMBER(SEARCH("lw",V67)), I67 + SUBSTITUTE(V67,"lw+",""), MROUND(SWITCH(Q67,"sq",U$7,"bn",V$7,"dl",W$7,"")*IF(V67&gt;10, V67/100, VLOOKUP(V67, _rpe,SUBSTITUTE(U67,"+","")+1,0)), IF( SWITCH(Q67,"sq",U$7,"bn",V$7,"dl", W$7,"")&lt; IF(_uom="lbs", 175, 80), 1.25, IF(_uom="lbs",5,2.5))))), "")</f>
        <v/>
      </c>
      <c r="X67" s="148"/>
      <c r="Y67" s="33"/>
      <c r="Z67" s="171"/>
      <c r="AA67" s="124" t="str">
        <f>IFERROR(__xludf.DUMMYFUNCTION("IF(W67=MAX(FILTER(W$10:W$199,LOOKUP(ROW(Q$10:Q$199),FILTER(ROW(Q$10:Q$199),Q$10:Q$199&lt;&gt;Q$9:Q$198))=LOOKUP(ROW(Q67),FILTER(ROW(Q$10:Q$199),Q$10:Q$199&lt;&gt;Q$9:Q$198)))),X67,)"),"")</f>
        <v/>
      </c>
      <c r="AB67" s="122"/>
      <c r="AC67" s="33"/>
      <c r="AD67" s="143" t="str">
        <f t="shared" si="14"/>
        <v>autonomy</v>
      </c>
      <c r="AE67" s="38" t="str">
        <f>IFERROR(__xludf.DUMMYFUNCTION("""COMPUTED_VALUE"""),"ac")</f>
        <v>ac</v>
      </c>
      <c r="AF67" s="144">
        <v>46125.0</v>
      </c>
      <c r="AG67" s="167" t="str">
        <f t="shared" si="54"/>
        <v>Athlete Movement of Choice</v>
      </c>
      <c r="AH67" s="168">
        <v>3.0</v>
      </c>
      <c r="AI67" s="179" t="s">
        <v>341</v>
      </c>
      <c r="AJ67" s="173" t="s">
        <v>307</v>
      </c>
      <c r="AK67" s="171" t="str">
        <f t="array" ref="AK67">IFERROR(IF(AE67="ac"+ISNUMBER(SEARCH("'",AJ67))+AI67="","", IF(ISNUMBER(SEARCH("lw",AJ67)), W67 + SUBSTITUTE(AJ67,"lw+",""), MROUND(SWITCH(AE67,"sq",AI$7,"bn",AJ$7,"dl",AK$7,"")*IF(AJ67&gt;10, AJ67/100, VLOOKUP(AJ67, _rpe,SUBSTITUTE(AI67,"+","")+1,0)), IF( SWITCH(AE67,"sq",AI$7,"bn",AJ$7,"dl", AK$7,"")&lt; IF(_uom="lbs", 175, 80), 1.25, IF(_uom="lbs",5,2.5))))), "")</f>
        <v/>
      </c>
      <c r="AL67" s="148"/>
      <c r="AM67" s="33"/>
      <c r="AN67" s="171"/>
      <c r="AO67" s="124" t="str">
        <f>IFERROR(__xludf.DUMMYFUNCTION("IF(AK67=MAX(FILTER(AK$10:AK$199,LOOKUP(ROW(AE$10:AE$199),FILTER(ROW(AE$10:AE$199),AE$10:AE$199&lt;&gt;AE$9:AE$198))=LOOKUP(ROW(AE67),FILTER(ROW(AE$10:AE$199),AE$10:AE$199&lt;&gt;AE$9:AE$198)))),AL67,)"),"")</f>
        <v/>
      </c>
      <c r="AP67" s="122"/>
      <c r="AQ67" s="33"/>
      <c r="AR67" s="143" t="str">
        <f t="shared" si="16"/>
        <v>autonomy</v>
      </c>
      <c r="AS67" s="38" t="str">
        <f>IFERROR(__xludf.DUMMYFUNCTION("""COMPUTED_VALUE"""),"ac")</f>
        <v>ac</v>
      </c>
      <c r="AT67" s="144">
        <v>46132.0</v>
      </c>
      <c r="AU67" s="167" t="str">
        <f t="shared" si="26"/>
        <v>Athlete Movement of Choice</v>
      </c>
      <c r="AV67" s="168">
        <f t="shared" si="152"/>
        <v>3</v>
      </c>
      <c r="AW67" s="179" t="s">
        <v>341</v>
      </c>
      <c r="AX67" s="172" t="str">
        <f t="shared" si="216"/>
        <v>@7.5</v>
      </c>
      <c r="AY67" s="171" t="str">
        <f t="array" ref="AY67">IFERROR(IF(AS67="ac"+ISNUMBER(SEARCH("'",AX67))+AW67="","", IF(ISNUMBER(SEARCH("lw",AX67)), AK67 + SUBSTITUTE(AX67,"lw+",""), MROUND(SWITCH(AS67,"sq",AW$7,"bn",AX$7,"dl",AY$7,"")*IF(AX67&gt;10, AX67/100, VLOOKUP(AX67, _rpe,SUBSTITUTE(AW67,"+","")+1,0)), IF( SWITCH(AS67,"sq",AW$7,"bn",AX$7,"dl", AY$7,"")&lt; IF(_uom="lbs", 175, 80), 1.25, IF(_uom="lbs",5,2.5))))), "")</f>
        <v/>
      </c>
      <c r="AZ67" s="148"/>
      <c r="BA67" s="33"/>
      <c r="BB67" s="171"/>
      <c r="BC67" s="124" t="str">
        <f>IFERROR(__xludf.DUMMYFUNCTION("IF(AY67=MAX(FILTER(AY$10:AY$199,LOOKUP(ROW(AS$10:AS$199),FILTER(ROW(AS$10:AS$199),AS$10:AS$199&lt;&gt;AS$9:AS$198))=LOOKUP(ROW(AS67),FILTER(ROW(AS$10:AS$199),AS$10:AS$199&lt;&gt;AS$9:AS$198)))),AZ67,)"),"")</f>
        <v/>
      </c>
      <c r="BD67" s="122"/>
      <c r="BE67" s="33"/>
      <c r="BF67" s="143" t="str">
        <f t="shared" si="17"/>
        <v>autonomy</v>
      </c>
      <c r="BG67" s="38" t="str">
        <f>IFERROR(__xludf.DUMMYFUNCTION("""COMPUTED_VALUE"""),"ac")</f>
        <v>ac</v>
      </c>
      <c r="BH67" s="144">
        <v>46139.0</v>
      </c>
      <c r="BI67" s="167" t="str">
        <f t="shared" si="18"/>
        <v>Athlete Movement of Choice</v>
      </c>
      <c r="BJ67" s="168">
        <v>3.0</v>
      </c>
      <c r="BK67" s="179" t="s">
        <v>316</v>
      </c>
      <c r="BL67" s="173" t="s">
        <v>307</v>
      </c>
      <c r="BM67" s="171" t="str">
        <f t="array" ref="BM67">IFERROR(IF(BG67="ac"+ISNUMBER(SEARCH("'",BL67))+BK67="","", IF(ISNUMBER(SEARCH("lw",BL67)), AY67 + SUBSTITUTE(BL67,"lw+",""), MROUND(SWITCH(BG67,"sq",BK$7,"bn",BL$7,"dl",BM$7,"")*IF(BL67&gt;10, BL67/100, VLOOKUP(BL67, _rpe,SUBSTITUTE(BK67,"+","")+1,0)), IF( SWITCH(BG67,"sq",BK$7,"bn",BL$7,"dl", BM$7,"")&lt; IF(_uom="lbs", 175, 80), 1.25, IF(_uom="lbs",5,2.5))))), "")</f>
        <v/>
      </c>
      <c r="BN67" s="148"/>
      <c r="BO67" s="33"/>
      <c r="BP67" s="171"/>
      <c r="BQ67" s="124" t="str">
        <f>IFERROR(__xludf.DUMMYFUNCTION("IF(BM67=MAX(FILTER(BM$10:BM$199,LOOKUP(ROW(BG$10:BG$199),FILTER(ROW(BG$10:BG$199),BG$10:BG$199&lt;&gt;BG$9:BG$198))=LOOKUP(ROW(BG67),FILTER(ROW(BG$10:BG$199),BG$10:BG$199&lt;&gt;BG$9:BG$198)))),BN67,)"),"")</f>
        <v/>
      </c>
      <c r="BR67" s="122"/>
      <c r="BS67" s="33"/>
      <c r="BT67" s="143" t="str">
        <f t="shared" si="19"/>
        <v>autonomy</v>
      </c>
      <c r="BU67" s="38" t="str">
        <f>IFERROR(__xludf.DUMMYFUNCTION("""COMPUTED_VALUE"""),"ac")</f>
        <v>ac</v>
      </c>
      <c r="BV67" s="144">
        <v>46146.0</v>
      </c>
      <c r="BW67" s="167" t="str">
        <f t="shared" si="20"/>
        <v>Athlete Movement of Choice</v>
      </c>
      <c r="BX67" s="168">
        <v>3.0</v>
      </c>
      <c r="BY67" s="179" t="s">
        <v>316</v>
      </c>
      <c r="BZ67" s="173" t="s">
        <v>307</v>
      </c>
      <c r="CA67" s="171" t="str">
        <f t="array" ref="CA67">IFERROR(IF(BU67="ac"+ISNUMBER(SEARCH("'",BZ67))+BY67="","", IF(ISNUMBER(SEARCH("lw",BZ67)), BM67 + SUBSTITUTE(BZ67,"lw+",""), MROUND(SWITCH(BU67,"sq",BY$7,"bn",BZ$7,"dl",CA$7,"")*IF(BZ67&gt;10, BZ67/100, VLOOKUP(BZ67, _rpe,SUBSTITUTE(BY67,"+","")+1,0)), IF( SWITCH(BU67,"sq",BY$7,"bn",BZ$7,"dl", CA$7,"")&lt; IF(_uom="lbs", 175, 80), 1.25, IF(_uom="lbs",5,2.5))))), "")</f>
        <v/>
      </c>
      <c r="CB67" s="148"/>
      <c r="CC67" s="33"/>
      <c r="CD67" s="171"/>
      <c r="CE67" s="124" t="str">
        <f>IFERROR(__xludf.DUMMYFUNCTION("IF(CA67=MAX(FILTER(CA$10:CA$199,LOOKUP(ROW(BU$10:BU$199),FILTER(ROW(BU$10:BU$199),BU$10:BU$199&lt;&gt;BU$9:BU$198))=LOOKUP(ROW(BU67),FILTER(ROW(BU$10:BU$199),BU$10:BU$199&lt;&gt;BU$9:BU$198)))),CB67,)"),"")</f>
        <v/>
      </c>
      <c r="CF67" s="122"/>
      <c r="CG67" s="33"/>
      <c r="CH67" s="143" t="str">
        <f t="shared" si="21"/>
        <v>autonomy</v>
      </c>
      <c r="CI67" s="38" t="str">
        <f>IFERROR(__xludf.DUMMYFUNCTION("""COMPUTED_VALUE"""),"ac")</f>
        <v>ac</v>
      </c>
      <c r="CJ67" s="144">
        <v>46153.0</v>
      </c>
      <c r="CK67" s="167" t="str">
        <f t="shared" si="27"/>
        <v>Athlete Movement of Choice</v>
      </c>
      <c r="CL67" s="168">
        <v>3.0</v>
      </c>
      <c r="CM67" s="179" t="s">
        <v>317</v>
      </c>
      <c r="CN67" s="173" t="s">
        <v>307</v>
      </c>
      <c r="CO67" s="171" t="str">
        <f t="array" ref="CO67">IFERROR(IF(CI67="ac"+ISNUMBER(SEARCH("'",CN67))+CM67="","", IF(ISNUMBER(SEARCH("lw",CN67)), CA67 + SUBSTITUTE(CN67,"lw+",""), MROUND(SWITCH(CI67,"sq",CM$7,"bn",CN$7,"dl",CO$7,"")*IF(CN67&gt;10, CN67/100, VLOOKUP(CN67, _rpe,SUBSTITUTE(CM67,"+","")+1,0)), IF( SWITCH(CI67,"sq",CM$7,"bn",CN$7,"dl", CO$7,"")&lt; IF(_uom="lbs", 175, 80), 1.25, IF(_uom="lbs",5,2.5))))), "")</f>
        <v/>
      </c>
      <c r="CP67" s="148"/>
      <c r="CQ67" s="33"/>
      <c r="CR67" s="171"/>
      <c r="CS67" s="124" t="str">
        <f>IFERROR(__xludf.DUMMYFUNCTION("IF(CO67=MAX(FILTER(CO$10:CO$199,LOOKUP(ROW(CI$10:CI$199),FILTER(ROW(CI$10:CI$199),CI$10:CI$199&lt;&gt;CI$9:CI$198))=LOOKUP(ROW(CI67),FILTER(ROW(CI$10:CI$199),CI$10:CI$199&lt;&gt;CI$9:CI$198)))),CP67,)"),"")</f>
        <v/>
      </c>
      <c r="CT67" s="122"/>
      <c r="CU67" s="33"/>
      <c r="CV67" s="143" t="str">
        <f t="shared" si="22"/>
        <v>autonomy</v>
      </c>
      <c r="CW67" s="38" t="str">
        <f>IFERROR(__xludf.DUMMYFUNCTION("""COMPUTED_VALUE"""),"ac")</f>
        <v>ac</v>
      </c>
      <c r="CX67" s="144">
        <v>46160.0</v>
      </c>
      <c r="CY67" s="167" t="str">
        <f t="shared" si="28"/>
        <v>Athlete Movement of Choice</v>
      </c>
      <c r="CZ67" s="168">
        <f t="shared" si="243"/>
        <v>3</v>
      </c>
      <c r="DA67" s="179" t="s">
        <v>317</v>
      </c>
      <c r="DB67" s="172" t="str">
        <f t="shared" si="227"/>
        <v>@7.5</v>
      </c>
      <c r="DC67" s="171" t="str">
        <f t="array" ref="DC67">IFERROR(IF(CW67="ac"+ISNUMBER(SEARCH("'",DB67))+DA67="","", IF(ISNUMBER(SEARCH("lw",DB67)), CO67 + SUBSTITUTE(DB67,"lw+",""), MROUND(SWITCH(CW67,"sq",DA$7,"bn",DB$7,"dl",DC$7,"")*IF(DB67&gt;10, DB67/100, VLOOKUP(DB67, _rpe,SUBSTITUTE(DA67,"+","")+1,0)), IF( SWITCH(CW67,"sq",DA$7,"bn",DB$7,"dl", DC$7,"")&lt; IF(_uom="lbs", 175, 80), 1.25, IF(_uom="lbs",5,2.5))))), "")</f>
        <v/>
      </c>
      <c r="DD67" s="148"/>
      <c r="DE67" s="33"/>
      <c r="DF67" s="171"/>
      <c r="DG67" s="124" t="str">
        <f>IFERROR(__xludf.DUMMYFUNCTION("IF(DC67=MAX(FILTER(DC$10:DC$199,LOOKUP(ROW(CW$10:CW$199),FILTER(ROW(CW$10:CW$199),CW$10:CW$199&lt;&gt;CW$9:CW$198))=LOOKUP(ROW(CW67),FILTER(ROW(CW$10:CW$199),CW$10:CW$199&lt;&gt;CW$9:CW$198)))),DD67,)"),"")</f>
        <v/>
      </c>
      <c r="DH67" s="122"/>
      <c r="DI67" s="33"/>
      <c r="DJ67" s="143" t="str">
        <f t="shared" si="23"/>
        <v>autonomy</v>
      </c>
      <c r="DK67" s="38" t="str">
        <f>IFERROR(__xludf.DUMMYFUNCTION("""COMPUTED_VALUE"""),"")</f>
        <v/>
      </c>
      <c r="DL67" s="144">
        <v>46167.0</v>
      </c>
      <c r="DM67" s="167"/>
      <c r="DN67" s="168"/>
      <c r="DO67" s="169"/>
      <c r="DP67" s="171"/>
      <c r="DQ67" s="171" t="str">
        <f t="array" ref="DQ67">IFERROR(IF(DK67="ac"+ISNUMBER(SEARCH("'",DP67))+DO67="","", IF(ISNUMBER(SEARCH("lw",DP67)), DC67 + SUBSTITUTE(DP67,"lw+",""), MROUND(SWITCH(DK67,"sq",DO$7,"bn",DP$7,"dl",DQ$7,"")*IF(DP67&gt;10, DP67/100, VLOOKUP(DP67, _rpe,SUBSTITUTE(DO67,"+","")+1,0)), IF( SWITCH(DK67,"sq",DO$7,"bn",DP$7,"dl", DQ$7,"")&lt; IF(_uom="lbs", 175, 80), 1.25, IF(_uom="lbs",5,2.5))))), "")</f>
        <v/>
      </c>
      <c r="DR67" s="148"/>
      <c r="DS67" s="33"/>
      <c r="DT67" s="171"/>
      <c r="DU67" s="124" t="str">
        <f>IFERROR(__xludf.DUMMYFUNCTION("IF(DQ67=MAX(FILTER(DQ$10:DQ$199,LOOKUP(ROW(DK$10:DK$199),FILTER(ROW(DK$10:DK$199),DK$10:DK$199&lt;&gt;DK$9:DK$198))=LOOKUP(ROW(DK67),FILTER(ROW(DK$10:DK$199),DK$10:DK$199&lt;&gt;DK$9:DK$198)))),DR67,)"),"")</f>
        <v/>
      </c>
      <c r="DV67" s="122"/>
      <c r="DW67" s="33"/>
      <c r="DX67" s="143"/>
      <c r="DY67" s="38"/>
      <c r="DZ67" s="144"/>
      <c r="EA67" s="150"/>
      <c r="EB67" s="174"/>
      <c r="EC67" s="175"/>
      <c r="ED67" s="155"/>
      <c r="EE67" s="155"/>
      <c r="EF67" s="148"/>
      <c r="EG67" s="33"/>
      <c r="EH67" s="155"/>
      <c r="EI67" s="148"/>
      <c r="EJ67" s="33"/>
      <c r="EK67" s="33"/>
      <c r="EL67" s="143"/>
      <c r="EM67" s="38"/>
      <c r="EN67" s="144"/>
      <c r="EO67" s="150"/>
      <c r="EP67" s="174"/>
      <c r="EQ67" s="175"/>
      <c r="ER67" s="176"/>
      <c r="ES67" s="155"/>
      <c r="ET67" s="148"/>
      <c r="EU67" s="33"/>
      <c r="EV67" s="155"/>
      <c r="EW67" s="148"/>
      <c r="EX67" s="33"/>
      <c r="EY67" s="33"/>
      <c r="EZ67" s="143"/>
      <c r="FA67" s="38"/>
      <c r="FB67" s="144"/>
      <c r="FC67" s="150"/>
      <c r="FD67" s="174"/>
      <c r="FE67" s="175"/>
      <c r="FF67" s="176"/>
      <c r="FG67" s="155"/>
      <c r="FH67" s="148"/>
      <c r="FI67" s="33"/>
      <c r="FJ67" s="155"/>
      <c r="FK67" s="148"/>
      <c r="FL67" s="33"/>
      <c r="FM67" s="33"/>
      <c r="FN67" s="143"/>
      <c r="FO67" s="38"/>
      <c r="FP67" s="144"/>
      <c r="FQ67" s="150"/>
      <c r="FR67" s="174"/>
      <c r="FS67" s="175"/>
      <c r="FT67" s="176"/>
      <c r="FU67" s="155"/>
      <c r="FV67" s="148"/>
      <c r="FW67" s="33"/>
      <c r="FX67" s="155"/>
      <c r="FY67" s="148"/>
      <c r="FZ67" s="33"/>
      <c r="GA67" s="33"/>
      <c r="GB67" s="143"/>
      <c r="GC67" s="38"/>
      <c r="GD67" s="144"/>
      <c r="GE67" s="150"/>
      <c r="GF67" s="174"/>
      <c r="GG67" s="175"/>
      <c r="GH67" s="176"/>
      <c r="GI67" s="155"/>
      <c r="GJ67" s="148"/>
      <c r="GK67" s="33"/>
      <c r="GL67" s="155"/>
      <c r="GM67" s="148"/>
      <c r="GN67" s="33"/>
      <c r="GO67" s="33"/>
      <c r="GP67" s="143"/>
      <c r="GQ67" s="38"/>
      <c r="GR67" s="144"/>
      <c r="GS67" s="150"/>
      <c r="GT67" s="174"/>
      <c r="GU67" s="175"/>
      <c r="GV67" s="176"/>
      <c r="GW67" s="155"/>
      <c r="GX67" s="148"/>
      <c r="GY67" s="33"/>
      <c r="GZ67" s="155"/>
      <c r="HA67" s="148"/>
      <c r="HB67" s="33"/>
      <c r="HC67" s="33"/>
      <c r="HD67" s="143"/>
      <c r="HE67" s="38"/>
      <c r="HF67" s="144"/>
      <c r="HG67" s="150"/>
      <c r="HH67" s="174"/>
      <c r="HI67" s="175"/>
      <c r="HJ67" s="176"/>
      <c r="HK67" s="155"/>
      <c r="HL67" s="148"/>
      <c r="HM67" s="33"/>
      <c r="HN67" s="155"/>
      <c r="HO67" s="148"/>
      <c r="HP67" s="33"/>
      <c r="HQ67" s="33"/>
      <c r="HR67" s="143"/>
      <c r="HS67" s="38"/>
      <c r="HT67" s="144"/>
      <c r="HU67" s="150"/>
      <c r="HV67" s="174"/>
      <c r="HW67" s="175"/>
      <c r="HX67" s="176"/>
      <c r="HY67" s="155"/>
      <c r="HZ67" s="148"/>
      <c r="IA67" s="33"/>
      <c r="IB67" s="155"/>
      <c r="IC67" s="148"/>
      <c r="ID67" s="33"/>
      <c r="IE67" s="33"/>
      <c r="IF67" s="143"/>
      <c r="IG67" s="38"/>
      <c r="IH67" s="144"/>
      <c r="II67" s="150"/>
      <c r="IJ67" s="174"/>
      <c r="IK67" s="175"/>
      <c r="IL67" s="176"/>
      <c r="IM67" s="155"/>
      <c r="IN67" s="148"/>
      <c r="IO67" s="33"/>
      <c r="IP67" s="155"/>
      <c r="IQ67" s="148"/>
      <c r="IR67" s="33"/>
      <c r="IS67" s="33"/>
      <c r="IT67" s="143"/>
      <c r="IU67" s="38"/>
      <c r="IV67" s="144"/>
      <c r="IW67" s="143" t="str">
        <f t="shared" si="24"/>
        <v>#REF!</v>
      </c>
      <c r="IX67" s="38"/>
      <c r="IY67" s="144" t="e">
        <v>#REF!</v>
      </c>
    </row>
    <row r="68">
      <c r="A68" s="33"/>
      <c r="B68" s="181"/>
      <c r="C68" s="38" t="str">
        <f>IFERROR(__xludf.DUMMYFUNCTION("""COMPUTED_VALUE"""),"")</f>
        <v/>
      </c>
      <c r="D68" s="144">
        <v>46111.0</v>
      </c>
      <c r="E68" s="167"/>
      <c r="F68" s="168"/>
      <c r="G68" s="169"/>
      <c r="H68" s="170"/>
      <c r="I68" s="171" t="str">
        <f t="array" ref="I68">IFERROR(IF(C68="ac"+ISNUMBER(SEARCH("'",H68))+G68="","", MROUND(SWITCH(C68,"sq",'Personal Info'!$O$15,"bn",'Personal Info'!$S$15,"dl",'Personal Info'!$W$15,"")*IF(H68&gt;10, H68/100, VLOOKUP(H68, _rpe,SUBSTITUTE(G68,"+","")+1,0)), IF( SWITCH(C68:C210,"sq",'Personal Info'!$O$15,"bn",'Personal Info'!$S$15,"dl", 'Personal Info'!$W$15,"")&lt; IF(_uom="lbs", 175, 80), 1.25, IF(_uom="lbs",5,2.5)))),"")</f>
        <v/>
      </c>
      <c r="J68" s="148"/>
      <c r="K68" s="33"/>
      <c r="L68" s="171"/>
      <c r="M68" s="124" t="str">
        <f>IFERROR(__xludf.DUMMYFUNCTION("IF(I68=MAX(FILTER(I$10:I$199,LOOKUP(ROW(C$10:C$199),FILTER(ROW(C$10:C$199),C$10:C$199&lt;&gt;C$9:C$198))=LOOKUP(ROW(C68),FILTER(ROW(C$10:C$199),C$10:C$199&lt;&gt;C$9:C$198)))),J68,)"),"")</f>
        <v/>
      </c>
      <c r="N68" s="122"/>
      <c r="O68" s="33"/>
      <c r="P68" s="143" t="str">
        <f t="shared" si="12"/>
        <v/>
      </c>
      <c r="Q68" s="38" t="str">
        <f>IFERROR(__xludf.DUMMYFUNCTION("""COMPUTED_VALUE"""),"")</f>
        <v/>
      </c>
      <c r="R68" s="144">
        <v>46118.0</v>
      </c>
      <c r="S68" s="167" t="str">
        <f t="shared" si="13"/>
        <v/>
      </c>
      <c r="T68" s="168" t="str">
        <f t="shared" ref="T68:T76" si="261">IF(ISBLANK(F68),"",F68)</f>
        <v/>
      </c>
      <c r="U68" s="169" t="str">
        <f t="shared" ref="U68:U77" si="262">IF( OR(ISBLANK(G68),G68=""),"", G68)</f>
        <v/>
      </c>
      <c r="V68" s="172" t="str">
        <f t="shared" ref="V68:V75" si="263">IF(ISBLANK(H68),"",H68)</f>
        <v/>
      </c>
      <c r="W68" s="171" t="str">
        <f t="array" ref="W68">IFERROR(IF(Q68="ac"+ISNUMBER(SEARCH("'",V68))+U68="","", IF(ISNUMBER(SEARCH("lw",V68)), I68 + SUBSTITUTE(V68,"lw+",""), MROUND(SWITCH(Q68,"sq",U$7,"bn",V$7,"dl",W$7,"")*IF(V68&gt;10, V68/100, VLOOKUP(V68, _rpe,SUBSTITUTE(U68,"+","")+1,0)), IF( SWITCH(Q68,"sq",U$7,"bn",V$7,"dl", W$7,"")&lt; IF(_uom="lbs", 175, 80), 1.25, IF(_uom="lbs",5,2.5))))), "")</f>
        <v/>
      </c>
      <c r="X68" s="148"/>
      <c r="Y68" s="33"/>
      <c r="Z68" s="171"/>
      <c r="AA68" s="124" t="str">
        <f>IFERROR(__xludf.DUMMYFUNCTION("IF(W68=MAX(FILTER(W$10:W$199,LOOKUP(ROW(Q$10:Q$199),FILTER(ROW(Q$10:Q$199),Q$10:Q$199&lt;&gt;Q$9:Q$198))=LOOKUP(ROW(Q68),FILTER(ROW(Q$10:Q$199),Q$10:Q$199&lt;&gt;Q$9:Q$198)))),X68,)"),"")</f>
        <v/>
      </c>
      <c r="AB68" s="122"/>
      <c r="AC68" s="33"/>
      <c r="AD68" s="143" t="str">
        <f t="shared" si="14"/>
        <v/>
      </c>
      <c r="AE68" s="38" t="str">
        <f>IFERROR(__xludf.DUMMYFUNCTION("""COMPUTED_VALUE"""),"")</f>
        <v/>
      </c>
      <c r="AF68" s="144">
        <v>46125.0</v>
      </c>
      <c r="AG68" s="167" t="str">
        <f t="shared" si="54"/>
        <v/>
      </c>
      <c r="AH68" s="168" t="str">
        <f t="shared" ref="AH68:AH76" si="264">IF(ISBLANK(T68),"",T68)</f>
        <v/>
      </c>
      <c r="AI68" s="169" t="str">
        <f t="shared" ref="AI68:AI75" si="265">IF( OR(ISBLANK(U68),U68=""),"", U68)</f>
        <v/>
      </c>
      <c r="AJ68" s="172" t="str">
        <f t="shared" ref="AJ68:AJ75" si="266">IF(ISBLANK(V68),"",V68)</f>
        <v/>
      </c>
      <c r="AK68" s="171" t="str">
        <f t="array" ref="AK68">IFERROR(IF(AE68="ac"+ISNUMBER(SEARCH("'",AJ68))+AI68="","", IF(ISNUMBER(SEARCH("lw",AJ68)), W68 + SUBSTITUTE(AJ68,"lw+",""), MROUND(SWITCH(AE68,"sq",AI$7,"bn",AJ$7,"dl",AK$7,"")*IF(AJ68&gt;10, AJ68/100, VLOOKUP(AJ68, _rpe,SUBSTITUTE(AI68,"+","")+1,0)), IF( SWITCH(AE68,"sq",AI$7,"bn",AJ$7,"dl", AK$7,"")&lt; IF(_uom="lbs", 175, 80), 1.25, IF(_uom="lbs",5,2.5))))), "")</f>
        <v/>
      </c>
      <c r="AL68" s="148"/>
      <c r="AM68" s="33"/>
      <c r="AN68" s="171"/>
      <c r="AO68" s="124" t="str">
        <f>IFERROR(__xludf.DUMMYFUNCTION("IF(AK68=MAX(FILTER(AK$10:AK$199,LOOKUP(ROW(AE$10:AE$199),FILTER(ROW(AE$10:AE$199),AE$10:AE$199&lt;&gt;AE$9:AE$198))=LOOKUP(ROW(AE68),FILTER(ROW(AE$10:AE$199),AE$10:AE$199&lt;&gt;AE$9:AE$198)))),AL68,)"),"")</f>
        <v/>
      </c>
      <c r="AP68" s="122"/>
      <c r="AQ68" s="33"/>
      <c r="AR68" s="143" t="str">
        <f t="shared" si="16"/>
        <v/>
      </c>
      <c r="AS68" s="38" t="str">
        <f>IFERROR(__xludf.DUMMYFUNCTION("""COMPUTED_VALUE"""),"")</f>
        <v/>
      </c>
      <c r="AT68" s="144">
        <v>46132.0</v>
      </c>
      <c r="AU68" s="167" t="str">
        <f t="shared" si="26"/>
        <v/>
      </c>
      <c r="AV68" s="168" t="str">
        <f t="shared" si="152"/>
        <v/>
      </c>
      <c r="AW68" s="169" t="str">
        <f t="shared" ref="AW68:AW75" si="267">IF( OR(ISBLANK(AI68),AI68=""),"", AI68)</f>
        <v/>
      </c>
      <c r="AX68" s="172" t="str">
        <f t="shared" si="216"/>
        <v/>
      </c>
      <c r="AY68" s="171" t="str">
        <f t="array" ref="AY68">IFERROR(IF(AS68="ac"+ISNUMBER(SEARCH("'",AX68))+AW68="","", IF(ISNUMBER(SEARCH("lw",AX68)), AK68 + SUBSTITUTE(AX68,"lw+",""), MROUND(SWITCH(AS68,"sq",AW$7,"bn",AX$7,"dl",AY$7,"")*IF(AX68&gt;10, AX68/100, VLOOKUP(AX68, _rpe,SUBSTITUTE(AW68,"+","")+1,0)), IF( SWITCH(AS68,"sq",AW$7,"bn",AX$7,"dl", AY$7,"")&lt; IF(_uom="lbs", 175, 80), 1.25, IF(_uom="lbs",5,2.5))))), "")</f>
        <v/>
      </c>
      <c r="AZ68" s="148"/>
      <c r="BA68" s="33"/>
      <c r="BB68" s="171"/>
      <c r="BC68" s="124" t="str">
        <f>IFERROR(__xludf.DUMMYFUNCTION("IF(AY68=MAX(FILTER(AY$10:AY$199,LOOKUP(ROW(AS$10:AS$199),FILTER(ROW(AS$10:AS$199),AS$10:AS$199&lt;&gt;AS$9:AS$198))=LOOKUP(ROW(AS68),FILTER(ROW(AS$10:AS$199),AS$10:AS$199&lt;&gt;AS$9:AS$198)))),AZ68,)"),"")</f>
        <v/>
      </c>
      <c r="BD68" s="122"/>
      <c r="BE68" s="33"/>
      <c r="BF68" s="143" t="str">
        <f t="shared" si="17"/>
        <v/>
      </c>
      <c r="BG68" s="38" t="str">
        <f>IFERROR(__xludf.DUMMYFUNCTION("""COMPUTED_VALUE"""),"")</f>
        <v/>
      </c>
      <c r="BH68" s="144">
        <v>46139.0</v>
      </c>
      <c r="BI68" s="167" t="str">
        <f t="shared" si="18"/>
        <v/>
      </c>
      <c r="BJ68" s="168" t="str">
        <f t="shared" ref="BJ68:BJ75" si="268">IF(ISBLANK(AV68),"",AV68)</f>
        <v/>
      </c>
      <c r="BK68" s="169" t="str">
        <f t="shared" ref="BK68:BK75" si="269">IF( OR(ISBLANK(AW68),AW68=""),"", AW68)</f>
        <v/>
      </c>
      <c r="BL68" s="172" t="str">
        <f t="shared" ref="BL68:BL75" si="270">IF(ISBLANK(AX68),"",AX68)</f>
        <v/>
      </c>
      <c r="BM68" s="171" t="str">
        <f t="array" ref="BM68">IFERROR(IF(BG68="ac"+ISNUMBER(SEARCH("'",BL68))+BK68="","", IF(ISNUMBER(SEARCH("lw",BL68)), AY68 + SUBSTITUTE(BL68,"lw+",""), MROUND(SWITCH(BG68,"sq",BK$7,"bn",BL$7,"dl",BM$7,"")*IF(BL68&gt;10, BL68/100, VLOOKUP(BL68, _rpe,SUBSTITUTE(BK68,"+","")+1,0)), IF( SWITCH(BG68,"sq",BK$7,"bn",BL$7,"dl", BM$7,"")&lt; IF(_uom="lbs", 175, 80), 1.25, IF(_uom="lbs",5,2.5))))), "")</f>
        <v/>
      </c>
      <c r="BN68" s="148"/>
      <c r="BO68" s="33"/>
      <c r="BP68" s="171"/>
      <c r="BQ68" s="124" t="str">
        <f>IFERROR(__xludf.DUMMYFUNCTION("IF(BM68=MAX(FILTER(BM$10:BM$199,LOOKUP(ROW(BG$10:BG$199),FILTER(ROW(BG$10:BG$199),BG$10:BG$199&lt;&gt;BG$9:BG$198))=LOOKUP(ROW(BG68),FILTER(ROW(BG$10:BG$199),BG$10:BG$199&lt;&gt;BG$9:BG$198)))),BN68,)"),"")</f>
        <v/>
      </c>
      <c r="BR68" s="122"/>
      <c r="BS68" s="33"/>
      <c r="BT68" s="143" t="str">
        <f t="shared" si="19"/>
        <v/>
      </c>
      <c r="BU68" s="38" t="str">
        <f>IFERROR(__xludf.DUMMYFUNCTION("""COMPUTED_VALUE"""),"")</f>
        <v/>
      </c>
      <c r="BV68" s="144">
        <v>46146.0</v>
      </c>
      <c r="BW68" s="167" t="str">
        <f t="shared" si="20"/>
        <v/>
      </c>
      <c r="BX68" s="168" t="str">
        <f t="shared" ref="BX68:BX75" si="271">IF(ISBLANK(BJ68),"",BJ68)</f>
        <v/>
      </c>
      <c r="BY68" s="169" t="str">
        <f t="shared" ref="BY68:BY75" si="272">IF( OR(ISBLANK(BK68),BK68=""),"", BK68)</f>
        <v/>
      </c>
      <c r="BZ68" s="172" t="str">
        <f t="shared" ref="BZ68:BZ75" si="273">IF(ISBLANK(BL68),"",BL68)</f>
        <v/>
      </c>
      <c r="CA68" s="171" t="str">
        <f t="array" ref="CA68">IFERROR(IF(BU68="ac"+ISNUMBER(SEARCH("'",BZ68))+BY68="","", IF(ISNUMBER(SEARCH("lw",BZ68)), BM68 + SUBSTITUTE(BZ68,"lw+",""), MROUND(SWITCH(BU68,"sq",BY$7,"bn",BZ$7,"dl",CA$7,"")*IF(BZ68&gt;10, BZ68/100, VLOOKUP(BZ68, _rpe,SUBSTITUTE(BY68,"+","")+1,0)), IF( SWITCH(BU68,"sq",BY$7,"bn",BZ$7,"dl", CA$7,"")&lt; IF(_uom="lbs", 175, 80), 1.25, IF(_uom="lbs",5,2.5))))), "")</f>
        <v/>
      </c>
      <c r="CB68" s="148"/>
      <c r="CC68" s="33"/>
      <c r="CD68" s="171"/>
      <c r="CE68" s="124" t="str">
        <f>IFERROR(__xludf.DUMMYFUNCTION("IF(CA68=MAX(FILTER(CA$10:CA$199,LOOKUP(ROW(BU$10:BU$199),FILTER(ROW(BU$10:BU$199),BU$10:BU$199&lt;&gt;BU$9:BU$198))=LOOKUP(ROW(BU68),FILTER(ROW(BU$10:BU$199),BU$10:BU$199&lt;&gt;BU$9:BU$198)))),CB68,)"),"")</f>
        <v/>
      </c>
      <c r="CF68" s="122"/>
      <c r="CG68" s="33"/>
      <c r="CH68" s="143" t="str">
        <f t="shared" si="21"/>
        <v/>
      </c>
      <c r="CI68" s="38" t="str">
        <f>IFERROR(__xludf.DUMMYFUNCTION("""COMPUTED_VALUE"""),"")</f>
        <v/>
      </c>
      <c r="CJ68" s="144">
        <v>46153.0</v>
      </c>
      <c r="CK68" s="167" t="str">
        <f t="shared" si="27"/>
        <v/>
      </c>
      <c r="CL68" s="168" t="str">
        <f t="shared" ref="CL68:CL75" si="274">IF(ISBLANK(BX68),"",BX68)</f>
        <v/>
      </c>
      <c r="CM68" s="169" t="str">
        <f t="shared" ref="CM68:CM75" si="275">IF( OR(ISBLANK(BY68),BY68=""),"", BY68)</f>
        <v/>
      </c>
      <c r="CN68" s="172" t="str">
        <f t="shared" ref="CN68:CN75" si="276">IF(ISBLANK(BZ68),"",BZ68)</f>
        <v/>
      </c>
      <c r="CO68" s="171" t="str">
        <f t="array" ref="CO68">IFERROR(IF(CI68="ac"+ISNUMBER(SEARCH("'",CN68))+CM68="","", IF(ISNUMBER(SEARCH("lw",CN68)), CA68 + SUBSTITUTE(CN68,"lw+",""), MROUND(SWITCH(CI68,"sq",CM$7,"bn",CN$7,"dl",CO$7,"")*IF(CN68&gt;10, CN68/100, VLOOKUP(CN68, _rpe,SUBSTITUTE(CM68,"+","")+1,0)), IF( SWITCH(CI68,"sq",CM$7,"bn",CN$7,"dl", CO$7,"")&lt; IF(_uom="lbs", 175, 80), 1.25, IF(_uom="lbs",5,2.5))))), "")</f>
        <v/>
      </c>
      <c r="CP68" s="148"/>
      <c r="CQ68" s="33"/>
      <c r="CR68" s="171"/>
      <c r="CS68" s="124" t="str">
        <f>IFERROR(__xludf.DUMMYFUNCTION("IF(CO68=MAX(FILTER(CO$10:CO$199,LOOKUP(ROW(CI$10:CI$199),FILTER(ROW(CI$10:CI$199),CI$10:CI$199&lt;&gt;CI$9:CI$198))=LOOKUP(ROW(CI68),FILTER(ROW(CI$10:CI$199),CI$10:CI$199&lt;&gt;CI$9:CI$198)))),CP68,)"),"")</f>
        <v/>
      </c>
      <c r="CT68" s="122"/>
      <c r="CU68" s="33"/>
      <c r="CV68" s="143" t="str">
        <f t="shared" si="22"/>
        <v/>
      </c>
      <c r="CW68" s="38" t="str">
        <f>IFERROR(__xludf.DUMMYFUNCTION("""COMPUTED_VALUE"""),"")</f>
        <v/>
      </c>
      <c r="CX68" s="144">
        <v>46160.0</v>
      </c>
      <c r="CY68" s="167" t="str">
        <f t="shared" si="28"/>
        <v/>
      </c>
      <c r="CZ68" s="168" t="str">
        <f t="shared" si="243"/>
        <v/>
      </c>
      <c r="DA68" s="169" t="str">
        <f t="shared" ref="DA68:DA75" si="277">IF( OR(ISBLANK(CM68),CM68=""),"", CM68)</f>
        <v/>
      </c>
      <c r="DB68" s="172" t="str">
        <f t="shared" si="227"/>
        <v/>
      </c>
      <c r="DC68" s="171" t="str">
        <f t="array" ref="DC68">IFERROR(IF(CW68="ac"+ISNUMBER(SEARCH("'",DB68))+DA68="","", IF(ISNUMBER(SEARCH("lw",DB68)), CO68 + SUBSTITUTE(DB68,"lw+",""), MROUND(SWITCH(CW68,"sq",DA$7,"bn",DB$7,"dl",DC$7,"")*IF(DB68&gt;10, DB68/100, VLOOKUP(DB68, _rpe,SUBSTITUTE(DA68,"+","")+1,0)), IF( SWITCH(CW68,"sq",DA$7,"bn",DB$7,"dl", DC$7,"")&lt; IF(_uom="lbs", 175, 80), 1.25, IF(_uom="lbs",5,2.5))))), "")</f>
        <v/>
      </c>
      <c r="DD68" s="148"/>
      <c r="DE68" s="33"/>
      <c r="DF68" s="171"/>
      <c r="DG68" s="124" t="str">
        <f>IFERROR(__xludf.DUMMYFUNCTION("IF(DC68=MAX(FILTER(DC$10:DC$199,LOOKUP(ROW(CW$10:CW$199),FILTER(ROW(CW$10:CW$199),CW$10:CW$199&lt;&gt;CW$9:CW$198))=LOOKUP(ROW(CW68),FILTER(ROW(CW$10:CW$199),CW$10:CW$199&lt;&gt;CW$9:CW$198)))),DD68,)"),"")</f>
        <v/>
      </c>
      <c r="DH68" s="122"/>
      <c r="DI68" s="33"/>
      <c r="DJ68" s="143" t="str">
        <f t="shared" si="23"/>
        <v/>
      </c>
      <c r="DK68" s="38" t="str">
        <f>IFERROR(__xludf.DUMMYFUNCTION("""COMPUTED_VALUE"""),"")</f>
        <v/>
      </c>
      <c r="DL68" s="144">
        <v>46167.0</v>
      </c>
      <c r="DM68" s="167" t="str">
        <f t="shared" ref="DM68:DN68" si="260">IF(ISBLANK(CY68),"",CY68)</f>
        <v/>
      </c>
      <c r="DN68" s="168" t="str">
        <f t="shared" si="260"/>
        <v/>
      </c>
      <c r="DO68" s="169" t="str">
        <f t="shared" ref="DO68:DO74" si="279">IF( OR(ISBLANK(DA68),DA68=""),"", DA68)</f>
        <v/>
      </c>
      <c r="DP68" s="172" t="str">
        <f t="shared" ref="DP68:DP75" si="280">IF(ISBLANK(DB68),"",DB68)</f>
        <v/>
      </c>
      <c r="DQ68" s="171" t="str">
        <f t="array" ref="DQ68">IFERROR(IF(DK68="ac"+ISNUMBER(SEARCH("'",DP68))+DO68="","", IF(ISNUMBER(SEARCH("lw",DP68)), DC68 + SUBSTITUTE(DP68,"lw+",""), MROUND(SWITCH(DK68,"sq",DO$7,"bn",DP$7,"dl",DQ$7,"")*IF(DP68&gt;10, DP68/100, VLOOKUP(DP68, _rpe,SUBSTITUTE(DO68,"+","")+1,0)), IF( SWITCH(DK68,"sq",DO$7,"bn",DP$7,"dl", DQ$7,"")&lt; IF(_uom="lbs", 175, 80), 1.25, IF(_uom="lbs",5,2.5))))), "")</f>
        <v/>
      </c>
      <c r="DR68" s="148"/>
      <c r="DS68" s="33"/>
      <c r="DT68" s="171"/>
      <c r="DU68" s="124" t="str">
        <f>IFERROR(__xludf.DUMMYFUNCTION("IF(DQ68=MAX(FILTER(DQ$10:DQ$199,LOOKUP(ROW(DK$10:DK$199),FILTER(ROW(DK$10:DK$199),DK$10:DK$199&lt;&gt;DK$9:DK$198))=LOOKUP(ROW(DK68),FILTER(ROW(DK$10:DK$199),DK$10:DK$199&lt;&gt;DK$9:DK$198)))),DR68,)"),"")</f>
        <v/>
      </c>
      <c r="DV68" s="122"/>
      <c r="DW68" s="33"/>
      <c r="DX68" s="143"/>
      <c r="DY68" s="38"/>
      <c r="DZ68" s="144"/>
      <c r="EA68" s="150"/>
      <c r="EB68" s="174"/>
      <c r="EC68" s="175"/>
      <c r="ED68" s="176"/>
      <c r="EE68" s="155"/>
      <c r="EF68" s="148"/>
      <c r="EG68" s="33"/>
      <c r="EH68" s="155"/>
      <c r="EI68" s="148"/>
      <c r="EJ68" s="33"/>
      <c r="EK68" s="33"/>
      <c r="EL68" s="143"/>
      <c r="EM68" s="38"/>
      <c r="EN68" s="144"/>
      <c r="EO68" s="150"/>
      <c r="EP68" s="174"/>
      <c r="EQ68" s="175"/>
      <c r="ER68" s="176"/>
      <c r="ES68" s="155"/>
      <c r="ET68" s="148"/>
      <c r="EU68" s="33"/>
      <c r="EV68" s="155"/>
      <c r="EW68" s="148"/>
      <c r="EX68" s="33"/>
      <c r="EY68" s="33"/>
      <c r="EZ68" s="143"/>
      <c r="FA68" s="38"/>
      <c r="FB68" s="144"/>
      <c r="FC68" s="150"/>
      <c r="FD68" s="174"/>
      <c r="FE68" s="175"/>
      <c r="FF68" s="176"/>
      <c r="FG68" s="155"/>
      <c r="FH68" s="148"/>
      <c r="FI68" s="33"/>
      <c r="FJ68" s="155"/>
      <c r="FK68" s="148"/>
      <c r="FL68" s="33"/>
      <c r="FM68" s="33"/>
      <c r="FN68" s="143"/>
      <c r="FO68" s="38"/>
      <c r="FP68" s="144"/>
      <c r="FQ68" s="150"/>
      <c r="FR68" s="174"/>
      <c r="FS68" s="175"/>
      <c r="FT68" s="176"/>
      <c r="FU68" s="155"/>
      <c r="FV68" s="148"/>
      <c r="FW68" s="33"/>
      <c r="FX68" s="155"/>
      <c r="FY68" s="148"/>
      <c r="FZ68" s="33"/>
      <c r="GA68" s="33"/>
      <c r="GB68" s="143"/>
      <c r="GC68" s="38"/>
      <c r="GD68" s="144"/>
      <c r="GE68" s="150"/>
      <c r="GF68" s="174"/>
      <c r="GG68" s="175"/>
      <c r="GH68" s="176"/>
      <c r="GI68" s="155"/>
      <c r="GJ68" s="148"/>
      <c r="GK68" s="33"/>
      <c r="GL68" s="155"/>
      <c r="GM68" s="148"/>
      <c r="GN68" s="33"/>
      <c r="GO68" s="33"/>
      <c r="GP68" s="143"/>
      <c r="GQ68" s="38"/>
      <c r="GR68" s="144"/>
      <c r="GS68" s="150"/>
      <c r="GT68" s="174"/>
      <c r="GU68" s="175"/>
      <c r="GV68" s="176"/>
      <c r="GW68" s="155"/>
      <c r="GX68" s="148"/>
      <c r="GY68" s="33"/>
      <c r="GZ68" s="155"/>
      <c r="HA68" s="148"/>
      <c r="HB68" s="33"/>
      <c r="HC68" s="33"/>
      <c r="HD68" s="143"/>
      <c r="HE68" s="38"/>
      <c r="HF68" s="144"/>
      <c r="HG68" s="150"/>
      <c r="HH68" s="174"/>
      <c r="HI68" s="175"/>
      <c r="HJ68" s="176"/>
      <c r="HK68" s="155"/>
      <c r="HL68" s="148"/>
      <c r="HM68" s="33"/>
      <c r="HN68" s="155"/>
      <c r="HO68" s="148"/>
      <c r="HP68" s="33"/>
      <c r="HQ68" s="33"/>
      <c r="HR68" s="143"/>
      <c r="HS68" s="38"/>
      <c r="HT68" s="144"/>
      <c r="HU68" s="150"/>
      <c r="HV68" s="174"/>
      <c r="HW68" s="175"/>
      <c r="HX68" s="176"/>
      <c r="HY68" s="155"/>
      <c r="HZ68" s="148"/>
      <c r="IA68" s="33"/>
      <c r="IB68" s="155"/>
      <c r="IC68" s="148"/>
      <c r="ID68" s="33"/>
      <c r="IE68" s="33"/>
      <c r="IF68" s="143"/>
      <c r="IG68" s="38"/>
      <c r="IH68" s="144"/>
      <c r="II68" s="150"/>
      <c r="IJ68" s="174"/>
      <c r="IK68" s="175"/>
      <c r="IL68" s="176"/>
      <c r="IM68" s="155"/>
      <c r="IN68" s="148"/>
      <c r="IO68" s="33"/>
      <c r="IP68" s="155"/>
      <c r="IQ68" s="148"/>
      <c r="IR68" s="33"/>
      <c r="IS68" s="33"/>
      <c r="IT68" s="143"/>
      <c r="IU68" s="38"/>
      <c r="IV68" s="144"/>
      <c r="IW68" s="143" t="str">
        <f t="shared" si="24"/>
        <v>#REF!</v>
      </c>
      <c r="IX68" s="38"/>
      <c r="IY68" s="144" t="e">
        <v>#REF!</v>
      </c>
    </row>
    <row r="69" hidden="1">
      <c r="A69" s="33"/>
      <c r="B69" s="181"/>
      <c r="C69" s="38" t="str">
        <f>IFERROR(__xludf.DUMMYFUNCTION("""COMPUTED_VALUE"""),"")</f>
        <v/>
      </c>
      <c r="D69" s="144">
        <v>46111.0</v>
      </c>
      <c r="E69" s="167"/>
      <c r="F69" s="168"/>
      <c r="G69" s="169"/>
      <c r="H69" s="170"/>
      <c r="I69" s="171" t="str">
        <f t="array" ref="I69">IFERROR(IF(C69="ac"+ISNUMBER(SEARCH("'",H69))+G69="","", MROUND(SWITCH(C69,"sq",'Personal Info'!$O$15,"bn",'Personal Info'!$S$15,"dl",'Personal Info'!$W$15,"")*IF(H69&gt;10, H69/100, VLOOKUP(H69, _rpe,SUBSTITUTE(G69,"+","")+1,0)), IF( SWITCH(C69:C210,"sq",'Personal Info'!$O$15,"bn",'Personal Info'!$S$15,"dl", 'Personal Info'!$W$15,"")&lt; IF(_uom="lbs", 175, 80), 1.25, IF(_uom="lbs",5,2.5)))),"")</f>
        <v/>
      </c>
      <c r="J69" s="148"/>
      <c r="K69" s="33"/>
      <c r="L69" s="171"/>
      <c r="M69" s="124" t="str">
        <f>IFERROR(__xludf.DUMMYFUNCTION("IF(I69=MAX(FILTER(I$10:I$199,LOOKUP(ROW(C$10:C$199),FILTER(ROW(C$10:C$199),C$10:C$199&lt;&gt;C$9:C$198))=LOOKUP(ROW(C69),FILTER(ROW(C$10:C$199),C$10:C$199&lt;&gt;C$9:C$198)))),J69,)"),"")</f>
        <v/>
      </c>
      <c r="N69" s="122"/>
      <c r="O69" s="33"/>
      <c r="P69" s="143" t="str">
        <f t="shared" si="12"/>
        <v/>
      </c>
      <c r="Q69" s="38" t="str">
        <f>IFERROR(__xludf.DUMMYFUNCTION("""COMPUTED_VALUE"""),"")</f>
        <v/>
      </c>
      <c r="R69" s="144">
        <v>46118.0</v>
      </c>
      <c r="S69" s="167" t="str">
        <f t="shared" si="13"/>
        <v/>
      </c>
      <c r="T69" s="168" t="str">
        <f t="shared" si="261"/>
        <v/>
      </c>
      <c r="U69" s="169" t="str">
        <f t="shared" si="262"/>
        <v/>
      </c>
      <c r="V69" s="172" t="str">
        <f t="shared" si="263"/>
        <v/>
      </c>
      <c r="W69" s="171" t="str">
        <f t="array" ref="W69">IFERROR(IF(Q69="ac"+ISNUMBER(SEARCH("'",V69))+U69="","", IF(ISNUMBER(SEARCH("lw",V69)), I69 + SUBSTITUTE(V69,"lw+",""), MROUND(SWITCH(Q69,"sq",U$7,"bn",V$7,"dl",W$7,"")*IF(V69&gt;10, V69/100, VLOOKUP(V69, _rpe,SUBSTITUTE(U69,"+","")+1,0)), IF( SWITCH(Q69,"sq",U$7,"bn",V$7,"dl", W$7,"")&lt; IF(_uom="lbs", 175, 80), 1.25, IF(_uom="lbs",5,2.5))))), "")</f>
        <v/>
      </c>
      <c r="X69" s="148"/>
      <c r="Y69" s="33"/>
      <c r="Z69" s="171"/>
      <c r="AA69" s="124" t="str">
        <f>IFERROR(__xludf.DUMMYFUNCTION("IF(W69=MAX(FILTER(W$10:W$199,LOOKUP(ROW(Q$10:Q$199),FILTER(ROW(Q$10:Q$199),Q$10:Q$199&lt;&gt;Q$9:Q$198))=LOOKUP(ROW(Q69),FILTER(ROW(Q$10:Q$199),Q$10:Q$199&lt;&gt;Q$9:Q$198)))),X69,)"),"")</f>
        <v/>
      </c>
      <c r="AB69" s="122"/>
      <c r="AC69" s="33"/>
      <c r="AD69" s="143" t="str">
        <f t="shared" si="14"/>
        <v/>
      </c>
      <c r="AE69" s="38" t="str">
        <f>IFERROR(__xludf.DUMMYFUNCTION("""COMPUTED_VALUE"""),"")</f>
        <v/>
      </c>
      <c r="AF69" s="144">
        <v>46125.0</v>
      </c>
      <c r="AG69" s="167" t="str">
        <f t="shared" si="54"/>
        <v/>
      </c>
      <c r="AH69" s="168" t="str">
        <f t="shared" si="264"/>
        <v/>
      </c>
      <c r="AI69" s="169" t="str">
        <f t="shared" si="265"/>
        <v/>
      </c>
      <c r="AJ69" s="172" t="str">
        <f t="shared" si="266"/>
        <v/>
      </c>
      <c r="AK69" s="171" t="str">
        <f t="array" ref="AK69">IFERROR(IF(AE69="ac"+ISNUMBER(SEARCH("'",AJ69))+AI69="","", IF(ISNUMBER(SEARCH("lw",AJ69)), W69 + SUBSTITUTE(AJ69,"lw+",""), MROUND(SWITCH(AE69,"sq",AI$7,"bn",AJ$7,"dl",AK$7,"")*IF(AJ69&gt;10, AJ69/100, VLOOKUP(AJ69, _rpe,SUBSTITUTE(AI69,"+","")+1,0)), IF( SWITCH(AE69,"sq",AI$7,"bn",AJ$7,"dl", AK$7,"")&lt; IF(_uom="lbs", 175, 80), 1.25, IF(_uom="lbs",5,2.5))))), "")</f>
        <v/>
      </c>
      <c r="AL69" s="148"/>
      <c r="AM69" s="33"/>
      <c r="AN69" s="171"/>
      <c r="AO69" s="124" t="str">
        <f>IFERROR(__xludf.DUMMYFUNCTION("IF(AK69=MAX(FILTER(AK$10:AK$199,LOOKUP(ROW(AE$10:AE$199),FILTER(ROW(AE$10:AE$199),AE$10:AE$199&lt;&gt;AE$9:AE$198))=LOOKUP(ROW(AE69),FILTER(ROW(AE$10:AE$199),AE$10:AE$199&lt;&gt;AE$9:AE$198)))),AL69,)"),"")</f>
        <v/>
      </c>
      <c r="AP69" s="122"/>
      <c r="AQ69" s="33"/>
      <c r="AR69" s="143" t="str">
        <f t="shared" si="16"/>
        <v/>
      </c>
      <c r="AS69" s="38" t="str">
        <f>IFERROR(__xludf.DUMMYFUNCTION("""COMPUTED_VALUE"""),"")</f>
        <v/>
      </c>
      <c r="AT69" s="144">
        <v>46132.0</v>
      </c>
      <c r="AU69" s="167" t="str">
        <f t="shared" si="26"/>
        <v/>
      </c>
      <c r="AV69" s="168" t="str">
        <f t="shared" si="152"/>
        <v/>
      </c>
      <c r="AW69" s="169" t="str">
        <f t="shared" si="267"/>
        <v/>
      </c>
      <c r="AX69" s="172" t="str">
        <f t="shared" si="216"/>
        <v/>
      </c>
      <c r="AY69" s="171" t="str">
        <f t="array" ref="AY69">IFERROR(IF(AS69="ac"+ISNUMBER(SEARCH("'",AX69))+AW69="","", IF(ISNUMBER(SEARCH("lw",AX69)), AK69 + SUBSTITUTE(AX69,"lw+",""), MROUND(SWITCH(AS69,"sq",AW$7,"bn",AX$7,"dl",AY$7,"")*IF(AX69&gt;10, AX69/100, VLOOKUP(AX69, _rpe,SUBSTITUTE(AW69,"+","")+1,0)), IF( SWITCH(AS69,"sq",AW$7,"bn",AX$7,"dl", AY$7,"")&lt; IF(_uom="lbs", 175, 80), 1.25, IF(_uom="lbs",5,2.5))))), "")</f>
        <v/>
      </c>
      <c r="AZ69" s="148"/>
      <c r="BA69" s="33"/>
      <c r="BB69" s="171"/>
      <c r="BC69" s="124" t="str">
        <f>IFERROR(__xludf.DUMMYFUNCTION("IF(AY69=MAX(FILTER(AY$10:AY$199,LOOKUP(ROW(AS$10:AS$199),FILTER(ROW(AS$10:AS$199),AS$10:AS$199&lt;&gt;AS$9:AS$198))=LOOKUP(ROW(AS69),FILTER(ROW(AS$10:AS$199),AS$10:AS$199&lt;&gt;AS$9:AS$198)))),AZ69,)"),"")</f>
        <v/>
      </c>
      <c r="BD69" s="122"/>
      <c r="BE69" s="33"/>
      <c r="BF69" s="143" t="str">
        <f t="shared" si="17"/>
        <v/>
      </c>
      <c r="BG69" s="38" t="str">
        <f>IFERROR(__xludf.DUMMYFUNCTION("""COMPUTED_VALUE"""),"")</f>
        <v/>
      </c>
      <c r="BH69" s="144">
        <v>46139.0</v>
      </c>
      <c r="BI69" s="167" t="str">
        <f t="shared" si="18"/>
        <v/>
      </c>
      <c r="BJ69" s="168" t="str">
        <f t="shared" si="268"/>
        <v/>
      </c>
      <c r="BK69" s="169" t="str">
        <f t="shared" si="269"/>
        <v/>
      </c>
      <c r="BL69" s="172" t="str">
        <f t="shared" si="270"/>
        <v/>
      </c>
      <c r="BM69" s="171" t="str">
        <f t="array" ref="BM69">IFERROR(IF(BG69="ac"+ISNUMBER(SEARCH("'",BL69))+BK69="","", IF(ISNUMBER(SEARCH("lw",BL69)), AY69 + SUBSTITUTE(BL69,"lw+",""), MROUND(SWITCH(BG69,"sq",BK$7,"bn",BL$7,"dl",BM$7,"")*IF(BL69&gt;10, BL69/100, VLOOKUP(BL69, _rpe,SUBSTITUTE(BK69,"+","")+1,0)), IF( SWITCH(BG69,"sq",BK$7,"bn",BL$7,"dl", BM$7,"")&lt; IF(_uom="lbs", 175, 80), 1.25, IF(_uom="lbs",5,2.5))))), "")</f>
        <v/>
      </c>
      <c r="BN69" s="148"/>
      <c r="BO69" s="33"/>
      <c r="BP69" s="171"/>
      <c r="BQ69" s="124" t="str">
        <f>IFERROR(__xludf.DUMMYFUNCTION("IF(BM69=MAX(FILTER(BM$10:BM$199,LOOKUP(ROW(BG$10:BG$199),FILTER(ROW(BG$10:BG$199),BG$10:BG$199&lt;&gt;BG$9:BG$198))=LOOKUP(ROW(BG69),FILTER(ROW(BG$10:BG$199),BG$10:BG$199&lt;&gt;BG$9:BG$198)))),BN69,)"),"")</f>
        <v/>
      </c>
      <c r="BR69" s="122"/>
      <c r="BS69" s="33"/>
      <c r="BT69" s="143" t="str">
        <f t="shared" si="19"/>
        <v/>
      </c>
      <c r="BU69" s="38" t="str">
        <f>IFERROR(__xludf.DUMMYFUNCTION("""COMPUTED_VALUE"""),"")</f>
        <v/>
      </c>
      <c r="BV69" s="144">
        <v>46146.0</v>
      </c>
      <c r="BW69" s="167" t="str">
        <f t="shared" si="20"/>
        <v/>
      </c>
      <c r="BX69" s="168" t="str">
        <f t="shared" si="271"/>
        <v/>
      </c>
      <c r="BY69" s="169" t="str">
        <f t="shared" si="272"/>
        <v/>
      </c>
      <c r="BZ69" s="172" t="str">
        <f t="shared" si="273"/>
        <v/>
      </c>
      <c r="CA69" s="171" t="str">
        <f t="array" ref="CA69">IFERROR(IF(BU69="ac"+ISNUMBER(SEARCH("'",BZ69))+BY69="","", IF(ISNUMBER(SEARCH("lw",BZ69)), BM69 + SUBSTITUTE(BZ69,"lw+",""), MROUND(SWITCH(BU69,"sq",BY$7,"bn",BZ$7,"dl",CA$7,"")*IF(BZ69&gt;10, BZ69/100, VLOOKUP(BZ69, _rpe,SUBSTITUTE(BY69,"+","")+1,0)), IF( SWITCH(BU69,"sq",BY$7,"bn",BZ$7,"dl", CA$7,"")&lt; IF(_uom="lbs", 175, 80), 1.25, IF(_uom="lbs",5,2.5))))), "")</f>
        <v/>
      </c>
      <c r="CB69" s="148"/>
      <c r="CC69" s="33"/>
      <c r="CD69" s="171"/>
      <c r="CE69" s="124" t="str">
        <f>IFERROR(__xludf.DUMMYFUNCTION("IF(CA69=MAX(FILTER(CA$10:CA$199,LOOKUP(ROW(BU$10:BU$199),FILTER(ROW(BU$10:BU$199),BU$10:BU$199&lt;&gt;BU$9:BU$198))=LOOKUP(ROW(BU69),FILTER(ROW(BU$10:BU$199),BU$10:BU$199&lt;&gt;BU$9:BU$198)))),CB69,)"),"")</f>
        <v/>
      </c>
      <c r="CF69" s="122"/>
      <c r="CG69" s="33"/>
      <c r="CH69" s="143" t="str">
        <f t="shared" si="21"/>
        <v/>
      </c>
      <c r="CI69" s="38" t="str">
        <f>IFERROR(__xludf.DUMMYFUNCTION("""COMPUTED_VALUE"""),"")</f>
        <v/>
      </c>
      <c r="CJ69" s="144">
        <v>46153.0</v>
      </c>
      <c r="CK69" s="167" t="str">
        <f t="shared" si="27"/>
        <v/>
      </c>
      <c r="CL69" s="168" t="str">
        <f t="shared" si="274"/>
        <v/>
      </c>
      <c r="CM69" s="169" t="str">
        <f t="shared" si="275"/>
        <v/>
      </c>
      <c r="CN69" s="172" t="str">
        <f t="shared" si="276"/>
        <v/>
      </c>
      <c r="CO69" s="171" t="str">
        <f t="array" ref="CO69">IFERROR(IF(CI69="ac"+ISNUMBER(SEARCH("'",CN69))+CM69="","", IF(ISNUMBER(SEARCH("lw",CN69)), CA69 + SUBSTITUTE(CN69,"lw+",""), MROUND(SWITCH(CI69,"sq",CM$7,"bn",CN$7,"dl",CO$7,"")*IF(CN69&gt;10, CN69/100, VLOOKUP(CN69, _rpe,SUBSTITUTE(CM69,"+","")+1,0)), IF( SWITCH(CI69,"sq",CM$7,"bn",CN$7,"dl", CO$7,"")&lt; IF(_uom="lbs", 175, 80), 1.25, IF(_uom="lbs",5,2.5))))), "")</f>
        <v/>
      </c>
      <c r="CP69" s="148"/>
      <c r="CQ69" s="33"/>
      <c r="CR69" s="171"/>
      <c r="CS69" s="124" t="str">
        <f>IFERROR(__xludf.DUMMYFUNCTION("IF(CO69=MAX(FILTER(CO$10:CO$199,LOOKUP(ROW(CI$10:CI$199),FILTER(ROW(CI$10:CI$199),CI$10:CI$199&lt;&gt;CI$9:CI$198))=LOOKUP(ROW(CI69),FILTER(ROW(CI$10:CI$199),CI$10:CI$199&lt;&gt;CI$9:CI$198)))),CP69,)"),"")</f>
        <v/>
      </c>
      <c r="CT69" s="122"/>
      <c r="CU69" s="33"/>
      <c r="CV69" s="143" t="str">
        <f t="shared" si="22"/>
        <v/>
      </c>
      <c r="CW69" s="38" t="str">
        <f>IFERROR(__xludf.DUMMYFUNCTION("""COMPUTED_VALUE"""),"")</f>
        <v/>
      </c>
      <c r="CX69" s="144">
        <v>46160.0</v>
      </c>
      <c r="CY69" s="167" t="str">
        <f t="shared" si="28"/>
        <v/>
      </c>
      <c r="CZ69" s="168" t="str">
        <f t="shared" si="243"/>
        <v/>
      </c>
      <c r="DA69" s="169" t="str">
        <f t="shared" si="277"/>
        <v/>
      </c>
      <c r="DB69" s="172" t="str">
        <f t="shared" si="227"/>
        <v/>
      </c>
      <c r="DC69" s="171" t="str">
        <f t="array" ref="DC69">IFERROR(IF(CW69="ac"+ISNUMBER(SEARCH("'",DB69))+DA69="","", IF(ISNUMBER(SEARCH("lw",DB69)), CO69 + SUBSTITUTE(DB69,"lw+",""), MROUND(SWITCH(CW69,"sq",DA$7,"bn",DB$7,"dl",DC$7,"")*IF(DB69&gt;10, DB69/100, VLOOKUP(DB69, _rpe,SUBSTITUTE(DA69,"+","")+1,0)), IF( SWITCH(CW69,"sq",DA$7,"bn",DB$7,"dl", DC$7,"")&lt; IF(_uom="lbs", 175, 80), 1.25, IF(_uom="lbs",5,2.5))))), "")</f>
        <v/>
      </c>
      <c r="DD69" s="148"/>
      <c r="DE69" s="33"/>
      <c r="DF69" s="171"/>
      <c r="DG69" s="124" t="str">
        <f>IFERROR(__xludf.DUMMYFUNCTION("IF(DC69=MAX(FILTER(DC$10:DC$199,LOOKUP(ROW(CW$10:CW$199),FILTER(ROW(CW$10:CW$199),CW$10:CW$199&lt;&gt;CW$9:CW$198))=LOOKUP(ROW(CW69),FILTER(ROW(CW$10:CW$199),CW$10:CW$199&lt;&gt;CW$9:CW$198)))),DD69,)"),"")</f>
        <v/>
      </c>
      <c r="DH69" s="122"/>
      <c r="DI69" s="33"/>
      <c r="DJ69" s="143" t="str">
        <f t="shared" si="23"/>
        <v/>
      </c>
      <c r="DK69" s="38" t="str">
        <f>IFERROR(__xludf.DUMMYFUNCTION("""COMPUTED_VALUE"""),"")</f>
        <v/>
      </c>
      <c r="DL69" s="144">
        <v>46167.0</v>
      </c>
      <c r="DM69" s="167" t="str">
        <f t="shared" ref="DM69:DN69" si="278">IF(ISBLANK(CY69),"",CY69)</f>
        <v/>
      </c>
      <c r="DN69" s="168" t="str">
        <f t="shared" si="278"/>
        <v/>
      </c>
      <c r="DO69" s="169" t="str">
        <f t="shared" si="279"/>
        <v/>
      </c>
      <c r="DP69" s="172" t="str">
        <f t="shared" si="280"/>
        <v/>
      </c>
      <c r="DQ69" s="171" t="str">
        <f t="array" ref="DQ69">IFERROR(IF(DK69="ac"+ISNUMBER(SEARCH("'",DP69))+DO69="","", IF(ISNUMBER(SEARCH("lw",DP69)), DC69 + SUBSTITUTE(DP69,"lw+",""), MROUND(SWITCH(DK69,"sq",DO$7,"bn",DP$7,"dl",DQ$7,"")*IF(DP69&gt;10, DP69/100, VLOOKUP(DP69, _rpe,SUBSTITUTE(DO69,"+","")+1,0)), IF( SWITCH(DK69,"sq",DO$7,"bn",DP$7,"dl", DQ$7,"")&lt; IF(_uom="lbs", 175, 80), 1.25, IF(_uom="lbs",5,2.5))))), "")</f>
        <v/>
      </c>
      <c r="DR69" s="148"/>
      <c r="DS69" s="33"/>
      <c r="DT69" s="171"/>
      <c r="DU69" s="124" t="str">
        <f>IFERROR(__xludf.DUMMYFUNCTION("IF(DQ69=MAX(FILTER(DQ$10:DQ$199,LOOKUP(ROW(DK$10:DK$199),FILTER(ROW(DK$10:DK$199),DK$10:DK$199&lt;&gt;DK$9:DK$198))=LOOKUP(ROW(DK69),FILTER(ROW(DK$10:DK$199),DK$10:DK$199&lt;&gt;DK$9:DK$198)))),DR69,)"),"")</f>
        <v/>
      </c>
      <c r="DV69" s="122"/>
      <c r="DW69" s="33"/>
      <c r="DX69" s="143"/>
      <c r="DY69" s="38"/>
      <c r="DZ69" s="144"/>
      <c r="EA69" s="150"/>
      <c r="EB69" s="174"/>
      <c r="EC69" s="175"/>
      <c r="ED69" s="176"/>
      <c r="EE69" s="155"/>
      <c r="EF69" s="148"/>
      <c r="EG69" s="33"/>
      <c r="EH69" s="155"/>
      <c r="EI69" s="148"/>
      <c r="EJ69" s="33"/>
      <c r="EK69" s="33"/>
      <c r="EL69" s="143"/>
      <c r="EM69" s="38"/>
      <c r="EN69" s="144"/>
      <c r="EO69" s="150"/>
      <c r="EP69" s="174"/>
      <c r="EQ69" s="175"/>
      <c r="ER69" s="176"/>
      <c r="ES69" s="155"/>
      <c r="ET69" s="148"/>
      <c r="EU69" s="33"/>
      <c r="EV69" s="155"/>
      <c r="EW69" s="148"/>
      <c r="EX69" s="33"/>
      <c r="EY69" s="33"/>
      <c r="EZ69" s="143"/>
      <c r="FA69" s="38"/>
      <c r="FB69" s="144"/>
      <c r="FC69" s="150"/>
      <c r="FD69" s="174"/>
      <c r="FE69" s="175"/>
      <c r="FF69" s="176"/>
      <c r="FG69" s="155"/>
      <c r="FH69" s="148"/>
      <c r="FI69" s="33"/>
      <c r="FJ69" s="155"/>
      <c r="FK69" s="148"/>
      <c r="FL69" s="33"/>
      <c r="FM69" s="33"/>
      <c r="FN69" s="143"/>
      <c r="FO69" s="38"/>
      <c r="FP69" s="144"/>
      <c r="FQ69" s="150"/>
      <c r="FR69" s="174"/>
      <c r="FS69" s="175"/>
      <c r="FT69" s="176"/>
      <c r="FU69" s="155"/>
      <c r="FV69" s="148"/>
      <c r="FW69" s="33"/>
      <c r="FX69" s="155"/>
      <c r="FY69" s="148"/>
      <c r="FZ69" s="33"/>
      <c r="GA69" s="33"/>
      <c r="GB69" s="143"/>
      <c r="GC69" s="38"/>
      <c r="GD69" s="144"/>
      <c r="GE69" s="150"/>
      <c r="GF69" s="174"/>
      <c r="GG69" s="175"/>
      <c r="GH69" s="176"/>
      <c r="GI69" s="155"/>
      <c r="GJ69" s="148"/>
      <c r="GK69" s="33"/>
      <c r="GL69" s="155"/>
      <c r="GM69" s="148"/>
      <c r="GN69" s="33"/>
      <c r="GO69" s="33"/>
      <c r="GP69" s="143"/>
      <c r="GQ69" s="38"/>
      <c r="GR69" s="144"/>
      <c r="GS69" s="150"/>
      <c r="GT69" s="174"/>
      <c r="GU69" s="175"/>
      <c r="GV69" s="176"/>
      <c r="GW69" s="155"/>
      <c r="GX69" s="148"/>
      <c r="GY69" s="33"/>
      <c r="GZ69" s="155"/>
      <c r="HA69" s="148"/>
      <c r="HB69" s="33"/>
      <c r="HC69" s="33"/>
      <c r="HD69" s="143"/>
      <c r="HE69" s="38"/>
      <c r="HF69" s="144"/>
      <c r="HG69" s="150"/>
      <c r="HH69" s="174"/>
      <c r="HI69" s="175"/>
      <c r="HJ69" s="176"/>
      <c r="HK69" s="155"/>
      <c r="HL69" s="148"/>
      <c r="HM69" s="33"/>
      <c r="HN69" s="155"/>
      <c r="HO69" s="148"/>
      <c r="HP69" s="33"/>
      <c r="HQ69" s="33"/>
      <c r="HR69" s="143"/>
      <c r="HS69" s="38"/>
      <c r="HT69" s="144"/>
      <c r="HU69" s="150"/>
      <c r="HV69" s="174"/>
      <c r="HW69" s="175"/>
      <c r="HX69" s="176"/>
      <c r="HY69" s="155"/>
      <c r="HZ69" s="148"/>
      <c r="IA69" s="33"/>
      <c r="IB69" s="155"/>
      <c r="IC69" s="148"/>
      <c r="ID69" s="33"/>
      <c r="IE69" s="33"/>
      <c r="IF69" s="143"/>
      <c r="IG69" s="38"/>
      <c r="IH69" s="144"/>
      <c r="II69" s="150"/>
      <c r="IJ69" s="174"/>
      <c r="IK69" s="175"/>
      <c r="IL69" s="176"/>
      <c r="IM69" s="155"/>
      <c r="IN69" s="148"/>
      <c r="IO69" s="33"/>
      <c r="IP69" s="155"/>
      <c r="IQ69" s="148"/>
      <c r="IR69" s="33"/>
      <c r="IS69" s="33"/>
      <c r="IT69" s="143"/>
      <c r="IU69" s="38"/>
      <c r="IV69" s="144"/>
      <c r="IW69" s="143" t="str">
        <f t="shared" si="24"/>
        <v>#REF!</v>
      </c>
      <c r="IX69" s="38"/>
      <c r="IY69" s="144" t="e">
        <v>#REF!</v>
      </c>
    </row>
    <row r="70" hidden="1">
      <c r="A70" s="33"/>
      <c r="B70" s="181"/>
      <c r="C70" s="38" t="str">
        <f>IFERROR(__xludf.DUMMYFUNCTION("""COMPUTED_VALUE"""),"")</f>
        <v/>
      </c>
      <c r="D70" s="144">
        <v>46111.0</v>
      </c>
      <c r="E70" s="167"/>
      <c r="F70" s="168"/>
      <c r="G70" s="169"/>
      <c r="H70" s="170"/>
      <c r="I70" s="171" t="str">
        <f t="array" ref="I70">IFERROR(IF(C70="ac"+ISNUMBER(SEARCH("'",H70))+G70="","", MROUND(SWITCH(C70,"sq",'Personal Info'!$O$15,"bn",'Personal Info'!$S$15,"dl",'Personal Info'!$W$15,"")*IF(H70&gt;10, H70/100, VLOOKUP(H70, _rpe,SUBSTITUTE(G70,"+","")+1,0)), IF( SWITCH(C70:C210,"sq",'Personal Info'!$O$15,"bn",'Personal Info'!$S$15,"dl", 'Personal Info'!$W$15,"")&lt; IF(_uom="lbs", 175, 80), 1.25, IF(_uom="lbs",5,2.5)))),"")</f>
        <v/>
      </c>
      <c r="J70" s="148"/>
      <c r="K70" s="33"/>
      <c r="L70" s="171"/>
      <c r="M70" s="124" t="str">
        <f>IFERROR(__xludf.DUMMYFUNCTION("IF(I70=MAX(FILTER(I$10:I$199,LOOKUP(ROW(C$10:C$199),FILTER(ROW(C$10:C$199),C$10:C$199&lt;&gt;C$9:C$198))=LOOKUP(ROW(C70),FILTER(ROW(C$10:C$199),C$10:C$199&lt;&gt;C$9:C$198)))),J70,)"),"")</f>
        <v/>
      </c>
      <c r="N70" s="122"/>
      <c r="O70" s="33"/>
      <c r="P70" s="143" t="str">
        <f t="shared" si="12"/>
        <v/>
      </c>
      <c r="Q70" s="38" t="str">
        <f>IFERROR(__xludf.DUMMYFUNCTION("""COMPUTED_VALUE"""),"")</f>
        <v/>
      </c>
      <c r="R70" s="144">
        <v>46118.0</v>
      </c>
      <c r="S70" s="167" t="str">
        <f t="shared" si="13"/>
        <v/>
      </c>
      <c r="T70" s="168" t="str">
        <f t="shared" si="261"/>
        <v/>
      </c>
      <c r="U70" s="169" t="str">
        <f t="shared" si="262"/>
        <v/>
      </c>
      <c r="V70" s="172" t="str">
        <f t="shared" si="263"/>
        <v/>
      </c>
      <c r="W70" s="171" t="str">
        <f t="array" ref="W70">IFERROR(IF(Q70="ac"+ISNUMBER(SEARCH("'",V70))+U70="","", IF(ISNUMBER(SEARCH("lw",V70)), I70 + SUBSTITUTE(V70,"lw+",""), MROUND(SWITCH(Q70,"sq",U$7,"bn",V$7,"dl",W$7,"")*IF(V70&gt;10, V70/100, VLOOKUP(V70, _rpe,SUBSTITUTE(U70,"+","")+1,0)), IF( SWITCH(Q70,"sq",U$7,"bn",V$7,"dl", W$7,"")&lt; IF(_uom="lbs", 175, 80), 1.25, IF(_uom="lbs",5,2.5))))), "")</f>
        <v/>
      </c>
      <c r="X70" s="148"/>
      <c r="Y70" s="33"/>
      <c r="Z70" s="171"/>
      <c r="AA70" s="124" t="str">
        <f>IFERROR(__xludf.DUMMYFUNCTION("IF(W70=MAX(FILTER(W$10:W$199,LOOKUP(ROW(Q$10:Q$199),FILTER(ROW(Q$10:Q$199),Q$10:Q$199&lt;&gt;Q$9:Q$198))=LOOKUP(ROW(Q70),FILTER(ROW(Q$10:Q$199),Q$10:Q$199&lt;&gt;Q$9:Q$198)))),X70,)"),"")</f>
        <v/>
      </c>
      <c r="AB70" s="122"/>
      <c r="AC70" s="33"/>
      <c r="AD70" s="143" t="str">
        <f t="shared" si="14"/>
        <v/>
      </c>
      <c r="AE70" s="38" t="str">
        <f>IFERROR(__xludf.DUMMYFUNCTION("""COMPUTED_VALUE"""),"")</f>
        <v/>
      </c>
      <c r="AF70" s="144">
        <v>46125.0</v>
      </c>
      <c r="AG70" s="167" t="str">
        <f t="shared" si="54"/>
        <v/>
      </c>
      <c r="AH70" s="168" t="str">
        <f t="shared" si="264"/>
        <v/>
      </c>
      <c r="AI70" s="169" t="str">
        <f t="shared" si="265"/>
        <v/>
      </c>
      <c r="AJ70" s="172" t="str">
        <f t="shared" si="266"/>
        <v/>
      </c>
      <c r="AK70" s="171" t="str">
        <f t="array" ref="AK70">IFERROR(IF(AE70="ac"+ISNUMBER(SEARCH("'",AJ70))+AI70="","", IF(ISNUMBER(SEARCH("lw",AJ70)), W70 + SUBSTITUTE(AJ70,"lw+",""), MROUND(SWITCH(AE70,"sq",AI$7,"bn",AJ$7,"dl",AK$7,"")*IF(AJ70&gt;10, AJ70/100, VLOOKUP(AJ70, _rpe,SUBSTITUTE(AI70,"+","")+1,0)), IF( SWITCH(AE70,"sq",AI$7,"bn",AJ$7,"dl", AK$7,"")&lt; IF(_uom="lbs", 175, 80), 1.25, IF(_uom="lbs",5,2.5))))), "")</f>
        <v/>
      </c>
      <c r="AL70" s="148"/>
      <c r="AM70" s="33"/>
      <c r="AN70" s="171"/>
      <c r="AO70" s="124" t="str">
        <f>IFERROR(__xludf.DUMMYFUNCTION("IF(AK70=MAX(FILTER(AK$10:AK$199,LOOKUP(ROW(AE$10:AE$199),FILTER(ROW(AE$10:AE$199),AE$10:AE$199&lt;&gt;AE$9:AE$198))=LOOKUP(ROW(AE70),FILTER(ROW(AE$10:AE$199),AE$10:AE$199&lt;&gt;AE$9:AE$198)))),AL70,)"),"")</f>
        <v/>
      </c>
      <c r="AP70" s="122"/>
      <c r="AQ70" s="33"/>
      <c r="AR70" s="143" t="str">
        <f t="shared" si="16"/>
        <v/>
      </c>
      <c r="AS70" s="38" t="str">
        <f>IFERROR(__xludf.DUMMYFUNCTION("""COMPUTED_VALUE"""),"")</f>
        <v/>
      </c>
      <c r="AT70" s="144">
        <v>46132.0</v>
      </c>
      <c r="AU70" s="167" t="str">
        <f t="shared" si="26"/>
        <v/>
      </c>
      <c r="AV70" s="168" t="str">
        <f t="shared" si="152"/>
        <v/>
      </c>
      <c r="AW70" s="169" t="str">
        <f t="shared" si="267"/>
        <v/>
      </c>
      <c r="AX70" s="172" t="str">
        <f t="shared" si="216"/>
        <v/>
      </c>
      <c r="AY70" s="171" t="str">
        <f t="array" ref="AY70">IFERROR(IF(AS70="ac"+ISNUMBER(SEARCH("'",AX70))+AW70="","", IF(ISNUMBER(SEARCH("lw",AX70)), AK70 + SUBSTITUTE(AX70,"lw+",""), MROUND(SWITCH(AS70,"sq",AW$7,"bn",AX$7,"dl",AY$7,"")*IF(AX70&gt;10, AX70/100, VLOOKUP(AX70, _rpe,SUBSTITUTE(AW70,"+","")+1,0)), IF( SWITCH(AS70,"sq",AW$7,"bn",AX$7,"dl", AY$7,"")&lt; IF(_uom="lbs", 175, 80), 1.25, IF(_uom="lbs",5,2.5))))), "")</f>
        <v/>
      </c>
      <c r="AZ70" s="148"/>
      <c r="BA70" s="33"/>
      <c r="BB70" s="171"/>
      <c r="BC70" s="124" t="str">
        <f>IFERROR(__xludf.DUMMYFUNCTION("IF(AY70=MAX(FILTER(AY$10:AY$199,LOOKUP(ROW(AS$10:AS$199),FILTER(ROW(AS$10:AS$199),AS$10:AS$199&lt;&gt;AS$9:AS$198))=LOOKUP(ROW(AS70),FILTER(ROW(AS$10:AS$199),AS$10:AS$199&lt;&gt;AS$9:AS$198)))),AZ70,)"),"")</f>
        <v/>
      </c>
      <c r="BD70" s="122"/>
      <c r="BE70" s="33"/>
      <c r="BF70" s="143" t="str">
        <f t="shared" si="17"/>
        <v/>
      </c>
      <c r="BG70" s="38" t="str">
        <f>IFERROR(__xludf.DUMMYFUNCTION("""COMPUTED_VALUE"""),"")</f>
        <v/>
      </c>
      <c r="BH70" s="144">
        <v>46139.0</v>
      </c>
      <c r="BI70" s="167" t="str">
        <f t="shared" si="18"/>
        <v/>
      </c>
      <c r="BJ70" s="168" t="str">
        <f t="shared" si="268"/>
        <v/>
      </c>
      <c r="BK70" s="169" t="str">
        <f t="shared" si="269"/>
        <v/>
      </c>
      <c r="BL70" s="172" t="str">
        <f t="shared" si="270"/>
        <v/>
      </c>
      <c r="BM70" s="171" t="str">
        <f t="array" ref="BM70">IFERROR(IF(BG70="ac"+ISNUMBER(SEARCH("'",BL70))+BK70="","", IF(ISNUMBER(SEARCH("lw",BL70)), AY70 + SUBSTITUTE(BL70,"lw+",""), MROUND(SWITCH(BG70,"sq",BK$7,"bn",BL$7,"dl",BM$7,"")*IF(BL70&gt;10, BL70/100, VLOOKUP(BL70, _rpe,SUBSTITUTE(BK70,"+","")+1,0)), IF( SWITCH(BG70,"sq",BK$7,"bn",BL$7,"dl", BM$7,"")&lt; IF(_uom="lbs", 175, 80), 1.25, IF(_uom="lbs",5,2.5))))), "")</f>
        <v/>
      </c>
      <c r="BN70" s="148"/>
      <c r="BO70" s="33"/>
      <c r="BP70" s="171"/>
      <c r="BQ70" s="124" t="str">
        <f>IFERROR(__xludf.DUMMYFUNCTION("IF(BM70=MAX(FILTER(BM$10:BM$199,LOOKUP(ROW(BG$10:BG$199),FILTER(ROW(BG$10:BG$199),BG$10:BG$199&lt;&gt;BG$9:BG$198))=LOOKUP(ROW(BG70),FILTER(ROW(BG$10:BG$199),BG$10:BG$199&lt;&gt;BG$9:BG$198)))),BN70,)"),"")</f>
        <v/>
      </c>
      <c r="BR70" s="122"/>
      <c r="BS70" s="33"/>
      <c r="BT70" s="143" t="str">
        <f t="shared" si="19"/>
        <v/>
      </c>
      <c r="BU70" s="38" t="str">
        <f>IFERROR(__xludf.DUMMYFUNCTION("""COMPUTED_VALUE"""),"")</f>
        <v/>
      </c>
      <c r="BV70" s="144">
        <v>46146.0</v>
      </c>
      <c r="BW70" s="167" t="str">
        <f t="shared" si="20"/>
        <v/>
      </c>
      <c r="BX70" s="168" t="str">
        <f t="shared" si="271"/>
        <v/>
      </c>
      <c r="BY70" s="169" t="str">
        <f t="shared" si="272"/>
        <v/>
      </c>
      <c r="BZ70" s="172" t="str">
        <f t="shared" si="273"/>
        <v/>
      </c>
      <c r="CA70" s="171" t="str">
        <f t="array" ref="CA70">IFERROR(IF(BU70="ac"+ISNUMBER(SEARCH("'",BZ70))+BY70="","", IF(ISNUMBER(SEARCH("lw",BZ70)), BM70 + SUBSTITUTE(BZ70,"lw+",""), MROUND(SWITCH(BU70,"sq",BY$7,"bn",BZ$7,"dl",CA$7,"")*IF(BZ70&gt;10, BZ70/100, VLOOKUP(BZ70, _rpe,SUBSTITUTE(BY70,"+","")+1,0)), IF( SWITCH(BU70,"sq",BY$7,"bn",BZ$7,"dl", CA$7,"")&lt; IF(_uom="lbs", 175, 80), 1.25, IF(_uom="lbs",5,2.5))))), "")</f>
        <v/>
      </c>
      <c r="CB70" s="148"/>
      <c r="CC70" s="33"/>
      <c r="CD70" s="171"/>
      <c r="CE70" s="124" t="str">
        <f>IFERROR(__xludf.DUMMYFUNCTION("IF(CA70=MAX(FILTER(CA$10:CA$199,LOOKUP(ROW(BU$10:BU$199),FILTER(ROW(BU$10:BU$199),BU$10:BU$199&lt;&gt;BU$9:BU$198))=LOOKUP(ROW(BU70),FILTER(ROW(BU$10:BU$199),BU$10:BU$199&lt;&gt;BU$9:BU$198)))),CB70,)"),"")</f>
        <v/>
      </c>
      <c r="CF70" s="122"/>
      <c r="CG70" s="33"/>
      <c r="CH70" s="143" t="str">
        <f t="shared" si="21"/>
        <v/>
      </c>
      <c r="CI70" s="38" t="str">
        <f>IFERROR(__xludf.DUMMYFUNCTION("""COMPUTED_VALUE"""),"")</f>
        <v/>
      </c>
      <c r="CJ70" s="144">
        <v>46153.0</v>
      </c>
      <c r="CK70" s="167" t="str">
        <f t="shared" si="27"/>
        <v/>
      </c>
      <c r="CL70" s="168" t="str">
        <f t="shared" si="274"/>
        <v/>
      </c>
      <c r="CM70" s="169" t="str">
        <f t="shared" si="275"/>
        <v/>
      </c>
      <c r="CN70" s="172" t="str">
        <f t="shared" si="276"/>
        <v/>
      </c>
      <c r="CO70" s="171" t="str">
        <f t="array" ref="CO70">IFERROR(IF(CI70="ac"+ISNUMBER(SEARCH("'",CN70))+CM70="","", IF(ISNUMBER(SEARCH("lw",CN70)), CA70 + SUBSTITUTE(CN70,"lw+",""), MROUND(SWITCH(CI70,"sq",CM$7,"bn",CN$7,"dl",CO$7,"")*IF(CN70&gt;10, CN70/100, VLOOKUP(CN70, _rpe,SUBSTITUTE(CM70,"+","")+1,0)), IF( SWITCH(CI70,"sq",CM$7,"bn",CN$7,"dl", CO$7,"")&lt; IF(_uom="lbs", 175, 80), 1.25, IF(_uom="lbs",5,2.5))))), "")</f>
        <v/>
      </c>
      <c r="CP70" s="148"/>
      <c r="CQ70" s="33"/>
      <c r="CR70" s="171"/>
      <c r="CS70" s="124" t="str">
        <f>IFERROR(__xludf.DUMMYFUNCTION("IF(CO70=MAX(FILTER(CO$10:CO$199,LOOKUP(ROW(CI$10:CI$199),FILTER(ROW(CI$10:CI$199),CI$10:CI$199&lt;&gt;CI$9:CI$198))=LOOKUP(ROW(CI70),FILTER(ROW(CI$10:CI$199),CI$10:CI$199&lt;&gt;CI$9:CI$198)))),CP70,)"),"")</f>
        <v/>
      </c>
      <c r="CT70" s="122"/>
      <c r="CU70" s="33"/>
      <c r="CV70" s="143" t="str">
        <f t="shared" si="22"/>
        <v/>
      </c>
      <c r="CW70" s="38" t="str">
        <f>IFERROR(__xludf.DUMMYFUNCTION("""COMPUTED_VALUE"""),"")</f>
        <v/>
      </c>
      <c r="CX70" s="144">
        <v>46160.0</v>
      </c>
      <c r="CY70" s="167" t="str">
        <f t="shared" si="28"/>
        <v/>
      </c>
      <c r="CZ70" s="168" t="str">
        <f t="shared" si="243"/>
        <v/>
      </c>
      <c r="DA70" s="169" t="str">
        <f t="shared" si="277"/>
        <v/>
      </c>
      <c r="DB70" s="172" t="str">
        <f t="shared" si="227"/>
        <v/>
      </c>
      <c r="DC70" s="171" t="str">
        <f t="array" ref="DC70">IFERROR(IF(CW70="ac"+ISNUMBER(SEARCH("'",DB70))+DA70="","", IF(ISNUMBER(SEARCH("lw",DB70)), CO70 + SUBSTITUTE(DB70,"lw+",""), MROUND(SWITCH(CW70,"sq",DA$7,"bn",DB$7,"dl",DC$7,"")*IF(DB70&gt;10, DB70/100, VLOOKUP(DB70, _rpe,SUBSTITUTE(DA70,"+","")+1,0)), IF( SWITCH(CW70,"sq",DA$7,"bn",DB$7,"dl", DC$7,"")&lt; IF(_uom="lbs", 175, 80), 1.25, IF(_uom="lbs",5,2.5))))), "")</f>
        <v/>
      </c>
      <c r="DD70" s="148"/>
      <c r="DE70" s="33"/>
      <c r="DF70" s="171"/>
      <c r="DG70" s="124" t="str">
        <f>IFERROR(__xludf.DUMMYFUNCTION("IF(DC70=MAX(FILTER(DC$10:DC$199,LOOKUP(ROW(CW$10:CW$199),FILTER(ROW(CW$10:CW$199),CW$10:CW$199&lt;&gt;CW$9:CW$198))=LOOKUP(ROW(CW70),FILTER(ROW(CW$10:CW$199),CW$10:CW$199&lt;&gt;CW$9:CW$198)))),DD70,)"),"")</f>
        <v/>
      </c>
      <c r="DH70" s="122"/>
      <c r="DI70" s="33"/>
      <c r="DJ70" s="143" t="str">
        <f t="shared" si="23"/>
        <v/>
      </c>
      <c r="DK70" s="38" t="str">
        <f>IFERROR(__xludf.DUMMYFUNCTION("""COMPUTED_VALUE"""),"")</f>
        <v/>
      </c>
      <c r="DL70" s="144">
        <v>46167.0</v>
      </c>
      <c r="DM70" s="167" t="str">
        <f t="shared" ref="DM70:DN70" si="281">IF(ISBLANK(CY70),"",CY70)</f>
        <v/>
      </c>
      <c r="DN70" s="168" t="str">
        <f t="shared" si="281"/>
        <v/>
      </c>
      <c r="DO70" s="169" t="str">
        <f t="shared" si="279"/>
        <v/>
      </c>
      <c r="DP70" s="172" t="str">
        <f t="shared" si="280"/>
        <v/>
      </c>
      <c r="DQ70" s="171" t="str">
        <f t="array" ref="DQ70">IFERROR(IF(DK70="ac"+ISNUMBER(SEARCH("'",DP70))+DO70="","", IF(ISNUMBER(SEARCH("lw",DP70)), DC70 + SUBSTITUTE(DP70,"lw+",""), MROUND(SWITCH(DK70,"sq",DO$7,"bn",DP$7,"dl",DQ$7,"")*IF(DP70&gt;10, DP70/100, VLOOKUP(DP70, _rpe,SUBSTITUTE(DO70,"+","")+1,0)), IF( SWITCH(DK70,"sq",DO$7,"bn",DP$7,"dl", DQ$7,"")&lt; IF(_uom="lbs", 175, 80), 1.25, IF(_uom="lbs",5,2.5))))), "")</f>
        <v/>
      </c>
      <c r="DR70" s="148"/>
      <c r="DS70" s="33"/>
      <c r="DT70" s="171"/>
      <c r="DU70" s="124" t="str">
        <f>IFERROR(__xludf.DUMMYFUNCTION("IF(DQ70=MAX(FILTER(DQ$10:DQ$199,LOOKUP(ROW(DK$10:DK$199),FILTER(ROW(DK$10:DK$199),DK$10:DK$199&lt;&gt;DK$9:DK$198))=LOOKUP(ROW(DK70),FILTER(ROW(DK$10:DK$199),DK$10:DK$199&lt;&gt;DK$9:DK$198)))),DR70,)"),"")</f>
        <v/>
      </c>
      <c r="DV70" s="122"/>
      <c r="DW70" s="33"/>
      <c r="DX70" s="143"/>
      <c r="DY70" s="38"/>
      <c r="DZ70" s="144"/>
      <c r="EA70" s="150"/>
      <c r="EB70" s="174"/>
      <c r="EC70" s="175"/>
      <c r="ED70" s="176"/>
      <c r="EE70" s="155"/>
      <c r="EF70" s="148"/>
      <c r="EG70" s="33"/>
      <c r="EH70" s="155"/>
      <c r="EI70" s="148"/>
      <c r="EJ70" s="33"/>
      <c r="EK70" s="33"/>
      <c r="EL70" s="143"/>
      <c r="EM70" s="38"/>
      <c r="EN70" s="144"/>
      <c r="EO70" s="150"/>
      <c r="EP70" s="174"/>
      <c r="EQ70" s="175"/>
      <c r="ER70" s="176"/>
      <c r="ES70" s="155"/>
      <c r="ET70" s="148"/>
      <c r="EU70" s="33"/>
      <c r="EV70" s="155"/>
      <c r="EW70" s="148"/>
      <c r="EX70" s="33"/>
      <c r="EY70" s="33"/>
      <c r="EZ70" s="143"/>
      <c r="FA70" s="38"/>
      <c r="FB70" s="144"/>
      <c r="FC70" s="150"/>
      <c r="FD70" s="174"/>
      <c r="FE70" s="175"/>
      <c r="FF70" s="176"/>
      <c r="FG70" s="155"/>
      <c r="FH70" s="148"/>
      <c r="FI70" s="33"/>
      <c r="FJ70" s="155"/>
      <c r="FK70" s="148"/>
      <c r="FL70" s="33"/>
      <c r="FM70" s="33"/>
      <c r="FN70" s="143"/>
      <c r="FO70" s="38"/>
      <c r="FP70" s="144"/>
      <c r="FQ70" s="150"/>
      <c r="FR70" s="174"/>
      <c r="FS70" s="175"/>
      <c r="FT70" s="176"/>
      <c r="FU70" s="155"/>
      <c r="FV70" s="148"/>
      <c r="FW70" s="33"/>
      <c r="FX70" s="155"/>
      <c r="FY70" s="148"/>
      <c r="FZ70" s="33"/>
      <c r="GA70" s="33"/>
      <c r="GB70" s="143"/>
      <c r="GC70" s="38"/>
      <c r="GD70" s="144"/>
      <c r="GE70" s="150"/>
      <c r="GF70" s="174"/>
      <c r="GG70" s="175"/>
      <c r="GH70" s="176"/>
      <c r="GI70" s="155"/>
      <c r="GJ70" s="148"/>
      <c r="GK70" s="33"/>
      <c r="GL70" s="155"/>
      <c r="GM70" s="148"/>
      <c r="GN70" s="33"/>
      <c r="GO70" s="33"/>
      <c r="GP70" s="143"/>
      <c r="GQ70" s="38"/>
      <c r="GR70" s="144"/>
      <c r="GS70" s="150"/>
      <c r="GT70" s="174"/>
      <c r="GU70" s="175"/>
      <c r="GV70" s="176"/>
      <c r="GW70" s="155"/>
      <c r="GX70" s="148"/>
      <c r="GY70" s="33"/>
      <c r="GZ70" s="155"/>
      <c r="HA70" s="148"/>
      <c r="HB70" s="33"/>
      <c r="HC70" s="33"/>
      <c r="HD70" s="143"/>
      <c r="HE70" s="38"/>
      <c r="HF70" s="144"/>
      <c r="HG70" s="150"/>
      <c r="HH70" s="174"/>
      <c r="HI70" s="175"/>
      <c r="HJ70" s="176"/>
      <c r="HK70" s="155"/>
      <c r="HL70" s="148"/>
      <c r="HM70" s="33"/>
      <c r="HN70" s="155"/>
      <c r="HO70" s="148"/>
      <c r="HP70" s="33"/>
      <c r="HQ70" s="33"/>
      <c r="HR70" s="143"/>
      <c r="HS70" s="38"/>
      <c r="HT70" s="144"/>
      <c r="HU70" s="150"/>
      <c r="HV70" s="174"/>
      <c r="HW70" s="175"/>
      <c r="HX70" s="176"/>
      <c r="HY70" s="155"/>
      <c r="HZ70" s="148"/>
      <c r="IA70" s="33"/>
      <c r="IB70" s="155"/>
      <c r="IC70" s="148"/>
      <c r="ID70" s="33"/>
      <c r="IE70" s="33"/>
      <c r="IF70" s="143"/>
      <c r="IG70" s="38"/>
      <c r="IH70" s="144"/>
      <c r="II70" s="150"/>
      <c r="IJ70" s="174"/>
      <c r="IK70" s="175"/>
      <c r="IL70" s="176"/>
      <c r="IM70" s="155"/>
      <c r="IN70" s="148"/>
      <c r="IO70" s="33"/>
      <c r="IP70" s="155"/>
      <c r="IQ70" s="148"/>
      <c r="IR70" s="33"/>
      <c r="IS70" s="33"/>
      <c r="IT70" s="143"/>
      <c r="IU70" s="38"/>
      <c r="IV70" s="144"/>
      <c r="IW70" s="143" t="str">
        <f t="shared" si="24"/>
        <v>#REF!</v>
      </c>
      <c r="IX70" s="38"/>
      <c r="IY70" s="144" t="e">
        <v>#REF!</v>
      </c>
    </row>
    <row r="71" hidden="1">
      <c r="A71" s="33"/>
      <c r="B71" s="181"/>
      <c r="C71" s="38" t="str">
        <f>IFERROR(__xludf.DUMMYFUNCTION("""COMPUTED_VALUE"""),"")</f>
        <v/>
      </c>
      <c r="D71" s="144">
        <v>46111.0</v>
      </c>
      <c r="E71" s="167"/>
      <c r="F71" s="168"/>
      <c r="G71" s="169"/>
      <c r="H71" s="170"/>
      <c r="I71" s="171" t="str">
        <f t="array" ref="I71">IFERROR(IF(C71="ac"+ISNUMBER(SEARCH("'",H71))+G71="","", MROUND(SWITCH(C71,"sq",'Personal Info'!$O$15,"bn",'Personal Info'!$S$15,"dl",'Personal Info'!$W$15,"")*IF(H71&gt;10, H71/100, VLOOKUP(H71, _rpe,SUBSTITUTE(G71,"+","")+1,0)), IF( SWITCH(C71:C210,"sq",'Personal Info'!$O$15,"bn",'Personal Info'!$S$15,"dl", 'Personal Info'!$W$15,"")&lt; IF(_uom="lbs", 175, 80), 1.25, IF(_uom="lbs",5,2.5)))),"")</f>
        <v/>
      </c>
      <c r="J71" s="148"/>
      <c r="K71" s="33"/>
      <c r="L71" s="171"/>
      <c r="M71" s="124" t="str">
        <f>IFERROR(__xludf.DUMMYFUNCTION("IF(I71=MAX(FILTER(I$10:I$199,LOOKUP(ROW(C$10:C$199),FILTER(ROW(C$10:C$199),C$10:C$199&lt;&gt;C$9:C$198))=LOOKUP(ROW(C71),FILTER(ROW(C$10:C$199),C$10:C$199&lt;&gt;C$9:C$198)))),J71,)"),"")</f>
        <v/>
      </c>
      <c r="N71" s="122"/>
      <c r="O71" s="33"/>
      <c r="P71" s="143" t="str">
        <f t="shared" si="12"/>
        <v/>
      </c>
      <c r="Q71" s="38" t="str">
        <f>IFERROR(__xludf.DUMMYFUNCTION("""COMPUTED_VALUE"""),"")</f>
        <v/>
      </c>
      <c r="R71" s="144">
        <v>46118.0</v>
      </c>
      <c r="S71" s="167" t="str">
        <f t="shared" si="13"/>
        <v/>
      </c>
      <c r="T71" s="168" t="str">
        <f t="shared" si="261"/>
        <v/>
      </c>
      <c r="U71" s="169" t="str">
        <f t="shared" si="262"/>
        <v/>
      </c>
      <c r="V71" s="172" t="str">
        <f t="shared" si="263"/>
        <v/>
      </c>
      <c r="W71" s="171" t="str">
        <f t="array" ref="W71">IFERROR(IF(Q71="ac"+ISNUMBER(SEARCH("'",V71))+U71="","", IF(ISNUMBER(SEARCH("lw",V71)), I71 + SUBSTITUTE(V71,"lw+",""), MROUND(SWITCH(Q71,"sq",U$7,"bn",V$7,"dl",W$7,"")*IF(V71&gt;10, V71/100, VLOOKUP(V71, _rpe,SUBSTITUTE(U71,"+","")+1,0)), IF( SWITCH(Q71,"sq",U$7,"bn",V$7,"dl", W$7,"")&lt; IF(_uom="lbs", 175, 80), 1.25, IF(_uom="lbs",5,2.5))))), "")</f>
        <v/>
      </c>
      <c r="X71" s="148"/>
      <c r="Y71" s="33"/>
      <c r="Z71" s="171"/>
      <c r="AA71" s="124" t="str">
        <f>IFERROR(__xludf.DUMMYFUNCTION("IF(W71=MAX(FILTER(W$10:W$199,LOOKUP(ROW(Q$10:Q$199),FILTER(ROW(Q$10:Q$199),Q$10:Q$199&lt;&gt;Q$9:Q$198))=LOOKUP(ROW(Q71),FILTER(ROW(Q$10:Q$199),Q$10:Q$199&lt;&gt;Q$9:Q$198)))),X71,)"),"")</f>
        <v/>
      </c>
      <c r="AB71" s="122"/>
      <c r="AC71" s="33"/>
      <c r="AD71" s="143" t="str">
        <f t="shared" si="14"/>
        <v/>
      </c>
      <c r="AE71" s="38" t="str">
        <f>IFERROR(__xludf.DUMMYFUNCTION("""COMPUTED_VALUE"""),"")</f>
        <v/>
      </c>
      <c r="AF71" s="144">
        <v>46125.0</v>
      </c>
      <c r="AG71" s="167" t="str">
        <f t="shared" si="54"/>
        <v/>
      </c>
      <c r="AH71" s="168" t="str">
        <f t="shared" si="264"/>
        <v/>
      </c>
      <c r="AI71" s="169" t="str">
        <f t="shared" si="265"/>
        <v/>
      </c>
      <c r="AJ71" s="172" t="str">
        <f t="shared" si="266"/>
        <v/>
      </c>
      <c r="AK71" s="171" t="str">
        <f t="array" ref="AK71">IFERROR(IF(AE71="ac"+ISNUMBER(SEARCH("'",AJ71))+AI71="","", IF(ISNUMBER(SEARCH("lw",AJ71)), W71 + SUBSTITUTE(AJ71,"lw+",""), MROUND(SWITCH(AE71,"sq",AI$7,"bn",AJ$7,"dl",AK$7,"")*IF(AJ71&gt;10, AJ71/100, VLOOKUP(AJ71, _rpe,SUBSTITUTE(AI71,"+","")+1,0)), IF( SWITCH(AE71,"sq",AI$7,"bn",AJ$7,"dl", AK$7,"")&lt; IF(_uom="lbs", 175, 80), 1.25, IF(_uom="lbs",5,2.5))))), "")</f>
        <v/>
      </c>
      <c r="AL71" s="148"/>
      <c r="AM71" s="33"/>
      <c r="AN71" s="171"/>
      <c r="AO71" s="124" t="str">
        <f>IFERROR(__xludf.DUMMYFUNCTION("IF(AK71=MAX(FILTER(AK$10:AK$199,LOOKUP(ROW(AE$10:AE$199),FILTER(ROW(AE$10:AE$199),AE$10:AE$199&lt;&gt;AE$9:AE$198))=LOOKUP(ROW(AE71),FILTER(ROW(AE$10:AE$199),AE$10:AE$199&lt;&gt;AE$9:AE$198)))),AL71,)"),"")</f>
        <v/>
      </c>
      <c r="AP71" s="122"/>
      <c r="AQ71" s="33"/>
      <c r="AR71" s="143" t="str">
        <f t="shared" si="16"/>
        <v/>
      </c>
      <c r="AS71" s="38" t="str">
        <f>IFERROR(__xludf.DUMMYFUNCTION("""COMPUTED_VALUE"""),"")</f>
        <v/>
      </c>
      <c r="AT71" s="144">
        <v>46132.0</v>
      </c>
      <c r="AU71" s="167" t="str">
        <f t="shared" si="26"/>
        <v/>
      </c>
      <c r="AV71" s="168" t="str">
        <f t="shared" si="152"/>
        <v/>
      </c>
      <c r="AW71" s="169" t="str">
        <f t="shared" si="267"/>
        <v/>
      </c>
      <c r="AX71" s="172" t="str">
        <f t="shared" si="216"/>
        <v/>
      </c>
      <c r="AY71" s="171" t="str">
        <f t="array" ref="AY71">IFERROR(IF(AS71="ac"+ISNUMBER(SEARCH("'",AX71))+AW71="","", IF(ISNUMBER(SEARCH("lw",AX71)), AK71 + SUBSTITUTE(AX71,"lw+",""), MROUND(SWITCH(AS71,"sq",AW$7,"bn",AX$7,"dl",AY$7,"")*IF(AX71&gt;10, AX71/100, VLOOKUP(AX71, _rpe,SUBSTITUTE(AW71,"+","")+1,0)), IF( SWITCH(AS71,"sq",AW$7,"bn",AX$7,"dl", AY$7,"")&lt; IF(_uom="lbs", 175, 80), 1.25, IF(_uom="lbs",5,2.5))))), "")</f>
        <v/>
      </c>
      <c r="AZ71" s="148"/>
      <c r="BA71" s="33"/>
      <c r="BB71" s="171"/>
      <c r="BC71" s="124" t="str">
        <f>IFERROR(__xludf.DUMMYFUNCTION("IF(AY71=MAX(FILTER(AY$10:AY$199,LOOKUP(ROW(AS$10:AS$199),FILTER(ROW(AS$10:AS$199),AS$10:AS$199&lt;&gt;AS$9:AS$198))=LOOKUP(ROW(AS71),FILTER(ROW(AS$10:AS$199),AS$10:AS$199&lt;&gt;AS$9:AS$198)))),AZ71,)"),"")</f>
        <v/>
      </c>
      <c r="BD71" s="122"/>
      <c r="BE71" s="33"/>
      <c r="BF71" s="143" t="str">
        <f t="shared" si="17"/>
        <v/>
      </c>
      <c r="BG71" s="38" t="str">
        <f>IFERROR(__xludf.DUMMYFUNCTION("""COMPUTED_VALUE"""),"")</f>
        <v/>
      </c>
      <c r="BH71" s="144">
        <v>46139.0</v>
      </c>
      <c r="BI71" s="167" t="str">
        <f t="shared" si="18"/>
        <v/>
      </c>
      <c r="BJ71" s="168" t="str">
        <f t="shared" si="268"/>
        <v/>
      </c>
      <c r="BK71" s="169" t="str">
        <f t="shared" si="269"/>
        <v/>
      </c>
      <c r="BL71" s="172" t="str">
        <f t="shared" si="270"/>
        <v/>
      </c>
      <c r="BM71" s="171" t="str">
        <f t="array" ref="BM71">IFERROR(IF(BG71="ac"+ISNUMBER(SEARCH("'",BL71))+BK71="","", IF(ISNUMBER(SEARCH("lw",BL71)), AY71 + SUBSTITUTE(BL71,"lw+",""), MROUND(SWITCH(BG71,"sq",BK$7,"bn",BL$7,"dl",BM$7,"")*IF(BL71&gt;10, BL71/100, VLOOKUP(BL71, _rpe,SUBSTITUTE(BK71,"+","")+1,0)), IF( SWITCH(BG71,"sq",BK$7,"bn",BL$7,"dl", BM$7,"")&lt; IF(_uom="lbs", 175, 80), 1.25, IF(_uom="lbs",5,2.5))))), "")</f>
        <v/>
      </c>
      <c r="BN71" s="148"/>
      <c r="BO71" s="33"/>
      <c r="BP71" s="171"/>
      <c r="BQ71" s="124" t="str">
        <f>IFERROR(__xludf.DUMMYFUNCTION("IF(BM71=MAX(FILTER(BM$10:BM$199,LOOKUP(ROW(BG$10:BG$199),FILTER(ROW(BG$10:BG$199),BG$10:BG$199&lt;&gt;BG$9:BG$198))=LOOKUP(ROW(BG71),FILTER(ROW(BG$10:BG$199),BG$10:BG$199&lt;&gt;BG$9:BG$198)))),BN71,)"),"")</f>
        <v/>
      </c>
      <c r="BR71" s="122"/>
      <c r="BS71" s="33"/>
      <c r="BT71" s="143" t="str">
        <f t="shared" si="19"/>
        <v/>
      </c>
      <c r="BU71" s="38" t="str">
        <f>IFERROR(__xludf.DUMMYFUNCTION("""COMPUTED_VALUE"""),"")</f>
        <v/>
      </c>
      <c r="BV71" s="144">
        <v>46146.0</v>
      </c>
      <c r="BW71" s="167" t="str">
        <f t="shared" si="20"/>
        <v/>
      </c>
      <c r="BX71" s="168" t="str">
        <f t="shared" si="271"/>
        <v/>
      </c>
      <c r="BY71" s="169" t="str">
        <f t="shared" si="272"/>
        <v/>
      </c>
      <c r="BZ71" s="172" t="str">
        <f t="shared" si="273"/>
        <v/>
      </c>
      <c r="CA71" s="171" t="str">
        <f t="array" ref="CA71">IFERROR(IF(BU71="ac"+ISNUMBER(SEARCH("'",BZ71))+BY71="","", IF(ISNUMBER(SEARCH("lw",BZ71)), BM71 + SUBSTITUTE(BZ71,"lw+",""), MROUND(SWITCH(BU71,"sq",BY$7,"bn",BZ$7,"dl",CA$7,"")*IF(BZ71&gt;10, BZ71/100, VLOOKUP(BZ71, _rpe,SUBSTITUTE(BY71,"+","")+1,0)), IF( SWITCH(BU71,"sq",BY$7,"bn",BZ$7,"dl", CA$7,"")&lt; IF(_uom="lbs", 175, 80), 1.25, IF(_uom="lbs",5,2.5))))), "")</f>
        <v/>
      </c>
      <c r="CB71" s="148"/>
      <c r="CC71" s="33"/>
      <c r="CD71" s="171"/>
      <c r="CE71" s="124" t="str">
        <f>IFERROR(__xludf.DUMMYFUNCTION("IF(CA71=MAX(FILTER(CA$10:CA$199,LOOKUP(ROW(BU$10:BU$199),FILTER(ROW(BU$10:BU$199),BU$10:BU$199&lt;&gt;BU$9:BU$198))=LOOKUP(ROW(BU71),FILTER(ROW(BU$10:BU$199),BU$10:BU$199&lt;&gt;BU$9:BU$198)))),CB71,)"),"")</f>
        <v/>
      </c>
      <c r="CF71" s="122"/>
      <c r="CG71" s="33"/>
      <c r="CH71" s="143" t="str">
        <f t="shared" si="21"/>
        <v/>
      </c>
      <c r="CI71" s="38" t="str">
        <f>IFERROR(__xludf.DUMMYFUNCTION("""COMPUTED_VALUE"""),"")</f>
        <v/>
      </c>
      <c r="CJ71" s="144">
        <v>46153.0</v>
      </c>
      <c r="CK71" s="167" t="str">
        <f t="shared" si="27"/>
        <v/>
      </c>
      <c r="CL71" s="168" t="str">
        <f t="shared" si="274"/>
        <v/>
      </c>
      <c r="CM71" s="169" t="str">
        <f t="shared" si="275"/>
        <v/>
      </c>
      <c r="CN71" s="172" t="str">
        <f t="shared" si="276"/>
        <v/>
      </c>
      <c r="CO71" s="171" t="str">
        <f t="array" ref="CO71">IFERROR(IF(CI71="ac"+ISNUMBER(SEARCH("'",CN71))+CM71="","", IF(ISNUMBER(SEARCH("lw",CN71)), CA71 + SUBSTITUTE(CN71,"lw+",""), MROUND(SWITCH(CI71,"sq",CM$7,"bn",CN$7,"dl",CO$7,"")*IF(CN71&gt;10, CN71/100, VLOOKUP(CN71, _rpe,SUBSTITUTE(CM71,"+","")+1,0)), IF( SWITCH(CI71,"sq",CM$7,"bn",CN$7,"dl", CO$7,"")&lt; IF(_uom="lbs", 175, 80), 1.25, IF(_uom="lbs",5,2.5))))), "")</f>
        <v/>
      </c>
      <c r="CP71" s="148"/>
      <c r="CQ71" s="33"/>
      <c r="CR71" s="171"/>
      <c r="CS71" s="124" t="str">
        <f>IFERROR(__xludf.DUMMYFUNCTION("IF(CO71=MAX(FILTER(CO$10:CO$199,LOOKUP(ROW(CI$10:CI$199),FILTER(ROW(CI$10:CI$199),CI$10:CI$199&lt;&gt;CI$9:CI$198))=LOOKUP(ROW(CI71),FILTER(ROW(CI$10:CI$199),CI$10:CI$199&lt;&gt;CI$9:CI$198)))),CP71,)"),"")</f>
        <v/>
      </c>
      <c r="CT71" s="122"/>
      <c r="CU71" s="33"/>
      <c r="CV71" s="143" t="str">
        <f t="shared" si="22"/>
        <v/>
      </c>
      <c r="CW71" s="38" t="str">
        <f>IFERROR(__xludf.DUMMYFUNCTION("""COMPUTED_VALUE"""),"")</f>
        <v/>
      </c>
      <c r="CX71" s="144">
        <v>46160.0</v>
      </c>
      <c r="CY71" s="167" t="str">
        <f t="shared" si="28"/>
        <v/>
      </c>
      <c r="CZ71" s="168" t="str">
        <f t="shared" si="243"/>
        <v/>
      </c>
      <c r="DA71" s="169" t="str">
        <f t="shared" si="277"/>
        <v/>
      </c>
      <c r="DB71" s="172" t="str">
        <f t="shared" si="227"/>
        <v/>
      </c>
      <c r="DC71" s="171" t="str">
        <f t="array" ref="DC71">IFERROR(IF(CW71="ac"+ISNUMBER(SEARCH("'",DB71))+DA71="","", IF(ISNUMBER(SEARCH("lw",DB71)), CO71 + SUBSTITUTE(DB71,"lw+",""), MROUND(SWITCH(CW71,"sq",DA$7,"bn",DB$7,"dl",DC$7,"")*IF(DB71&gt;10, DB71/100, VLOOKUP(DB71, _rpe,SUBSTITUTE(DA71,"+","")+1,0)), IF( SWITCH(CW71,"sq",DA$7,"bn",DB$7,"dl", DC$7,"")&lt; IF(_uom="lbs", 175, 80), 1.25, IF(_uom="lbs",5,2.5))))), "")</f>
        <v/>
      </c>
      <c r="DD71" s="148"/>
      <c r="DE71" s="33"/>
      <c r="DF71" s="171"/>
      <c r="DG71" s="124" t="str">
        <f>IFERROR(__xludf.DUMMYFUNCTION("IF(DC71=MAX(FILTER(DC$10:DC$199,LOOKUP(ROW(CW$10:CW$199),FILTER(ROW(CW$10:CW$199),CW$10:CW$199&lt;&gt;CW$9:CW$198))=LOOKUP(ROW(CW71),FILTER(ROW(CW$10:CW$199),CW$10:CW$199&lt;&gt;CW$9:CW$198)))),DD71,)"),"")</f>
        <v/>
      </c>
      <c r="DH71" s="122"/>
      <c r="DI71" s="33"/>
      <c r="DJ71" s="143" t="str">
        <f t="shared" si="23"/>
        <v/>
      </c>
      <c r="DK71" s="38" t="str">
        <f>IFERROR(__xludf.DUMMYFUNCTION("""COMPUTED_VALUE"""),"")</f>
        <v/>
      </c>
      <c r="DL71" s="144">
        <v>46167.0</v>
      </c>
      <c r="DM71" s="167" t="str">
        <f t="shared" ref="DM71:DN71" si="282">IF(ISBLANK(CY71),"",CY71)</f>
        <v/>
      </c>
      <c r="DN71" s="168" t="str">
        <f t="shared" si="282"/>
        <v/>
      </c>
      <c r="DO71" s="169" t="str">
        <f t="shared" si="279"/>
        <v/>
      </c>
      <c r="DP71" s="172" t="str">
        <f t="shared" si="280"/>
        <v/>
      </c>
      <c r="DQ71" s="171" t="str">
        <f t="array" ref="DQ71">IFERROR(IF(DK71="ac"+ISNUMBER(SEARCH("'",DP71))+DO71="","", IF(ISNUMBER(SEARCH("lw",DP71)), DC71 + SUBSTITUTE(DP71,"lw+",""), MROUND(SWITCH(DK71,"sq",DO$7,"bn",DP$7,"dl",DQ$7,"")*IF(DP71&gt;10, DP71/100, VLOOKUP(DP71, _rpe,SUBSTITUTE(DO71,"+","")+1,0)), IF( SWITCH(DK71,"sq",DO$7,"bn",DP$7,"dl", DQ$7,"")&lt; IF(_uom="lbs", 175, 80), 1.25, IF(_uom="lbs",5,2.5))))), "")</f>
        <v/>
      </c>
      <c r="DR71" s="148"/>
      <c r="DS71" s="33"/>
      <c r="DT71" s="171"/>
      <c r="DU71" s="124" t="str">
        <f>IFERROR(__xludf.DUMMYFUNCTION("IF(DQ71=MAX(FILTER(DQ$10:DQ$199,LOOKUP(ROW(DK$10:DK$199),FILTER(ROW(DK$10:DK$199),DK$10:DK$199&lt;&gt;DK$9:DK$198))=LOOKUP(ROW(DK71),FILTER(ROW(DK$10:DK$199),DK$10:DK$199&lt;&gt;DK$9:DK$198)))),DR71,)"),"")</f>
        <v/>
      </c>
      <c r="DV71" s="122"/>
      <c r="DW71" s="33"/>
      <c r="DX71" s="143"/>
      <c r="DY71" s="38"/>
      <c r="DZ71" s="144"/>
      <c r="EA71" s="150"/>
      <c r="EB71" s="174"/>
      <c r="EC71" s="175"/>
      <c r="ED71" s="176"/>
      <c r="EE71" s="155"/>
      <c r="EF71" s="148"/>
      <c r="EG71" s="33"/>
      <c r="EH71" s="155"/>
      <c r="EI71" s="148"/>
      <c r="EJ71" s="33"/>
      <c r="EK71" s="33"/>
      <c r="EL71" s="143"/>
      <c r="EM71" s="38"/>
      <c r="EN71" s="144"/>
      <c r="EO71" s="150"/>
      <c r="EP71" s="174"/>
      <c r="EQ71" s="175"/>
      <c r="ER71" s="176"/>
      <c r="ES71" s="155"/>
      <c r="ET71" s="148"/>
      <c r="EU71" s="33"/>
      <c r="EV71" s="155"/>
      <c r="EW71" s="148"/>
      <c r="EX71" s="33"/>
      <c r="EY71" s="33"/>
      <c r="EZ71" s="143"/>
      <c r="FA71" s="38"/>
      <c r="FB71" s="144"/>
      <c r="FC71" s="150"/>
      <c r="FD71" s="174"/>
      <c r="FE71" s="175"/>
      <c r="FF71" s="176"/>
      <c r="FG71" s="155"/>
      <c r="FH71" s="148"/>
      <c r="FI71" s="33"/>
      <c r="FJ71" s="155"/>
      <c r="FK71" s="148"/>
      <c r="FL71" s="33"/>
      <c r="FM71" s="33"/>
      <c r="FN71" s="143"/>
      <c r="FO71" s="38"/>
      <c r="FP71" s="144"/>
      <c r="FQ71" s="150"/>
      <c r="FR71" s="174"/>
      <c r="FS71" s="175"/>
      <c r="FT71" s="176"/>
      <c r="FU71" s="155"/>
      <c r="FV71" s="148"/>
      <c r="FW71" s="33"/>
      <c r="FX71" s="155"/>
      <c r="FY71" s="148"/>
      <c r="FZ71" s="33"/>
      <c r="GA71" s="33"/>
      <c r="GB71" s="143"/>
      <c r="GC71" s="38"/>
      <c r="GD71" s="144"/>
      <c r="GE71" s="150"/>
      <c r="GF71" s="174"/>
      <c r="GG71" s="175"/>
      <c r="GH71" s="176"/>
      <c r="GI71" s="155"/>
      <c r="GJ71" s="148"/>
      <c r="GK71" s="33"/>
      <c r="GL71" s="155"/>
      <c r="GM71" s="148"/>
      <c r="GN71" s="33"/>
      <c r="GO71" s="33"/>
      <c r="GP71" s="143"/>
      <c r="GQ71" s="38"/>
      <c r="GR71" s="144"/>
      <c r="GS71" s="150"/>
      <c r="GT71" s="174"/>
      <c r="GU71" s="175"/>
      <c r="GV71" s="176"/>
      <c r="GW71" s="155"/>
      <c r="GX71" s="148"/>
      <c r="GY71" s="33"/>
      <c r="GZ71" s="155"/>
      <c r="HA71" s="148"/>
      <c r="HB71" s="33"/>
      <c r="HC71" s="33"/>
      <c r="HD71" s="143"/>
      <c r="HE71" s="38"/>
      <c r="HF71" s="144"/>
      <c r="HG71" s="150"/>
      <c r="HH71" s="174"/>
      <c r="HI71" s="175"/>
      <c r="HJ71" s="176"/>
      <c r="HK71" s="155"/>
      <c r="HL71" s="148"/>
      <c r="HM71" s="33"/>
      <c r="HN71" s="155"/>
      <c r="HO71" s="148"/>
      <c r="HP71" s="33"/>
      <c r="HQ71" s="33"/>
      <c r="HR71" s="143"/>
      <c r="HS71" s="38"/>
      <c r="HT71" s="144"/>
      <c r="HU71" s="150"/>
      <c r="HV71" s="174"/>
      <c r="HW71" s="175"/>
      <c r="HX71" s="176"/>
      <c r="HY71" s="155"/>
      <c r="HZ71" s="148"/>
      <c r="IA71" s="33"/>
      <c r="IB71" s="155"/>
      <c r="IC71" s="148"/>
      <c r="ID71" s="33"/>
      <c r="IE71" s="33"/>
      <c r="IF71" s="143"/>
      <c r="IG71" s="38"/>
      <c r="IH71" s="144"/>
      <c r="II71" s="150"/>
      <c r="IJ71" s="174"/>
      <c r="IK71" s="175"/>
      <c r="IL71" s="176"/>
      <c r="IM71" s="155"/>
      <c r="IN71" s="148"/>
      <c r="IO71" s="33"/>
      <c r="IP71" s="155"/>
      <c r="IQ71" s="148"/>
      <c r="IR71" s="33"/>
      <c r="IS71" s="33"/>
      <c r="IT71" s="143"/>
      <c r="IU71" s="38"/>
      <c r="IV71" s="144"/>
      <c r="IW71" s="143" t="str">
        <f t="shared" si="24"/>
        <v>#REF!</v>
      </c>
      <c r="IX71" s="38"/>
      <c r="IY71" s="144" t="e">
        <v>#REF!</v>
      </c>
    </row>
    <row r="72" hidden="1">
      <c r="A72" s="33"/>
      <c r="B72" s="181"/>
      <c r="C72" s="38" t="str">
        <f>IFERROR(__xludf.DUMMYFUNCTION("""COMPUTED_VALUE"""),"")</f>
        <v/>
      </c>
      <c r="D72" s="144">
        <v>46111.0</v>
      </c>
      <c r="E72" s="167"/>
      <c r="F72" s="168"/>
      <c r="G72" s="169"/>
      <c r="H72" s="170"/>
      <c r="I72" s="171" t="str">
        <f t="array" ref="I72">IFERROR(IF(C72="ac"+ISNUMBER(SEARCH("'",H72))+G72="","", MROUND(SWITCH(C72,"sq",'Personal Info'!$O$15,"bn",'Personal Info'!$S$15,"dl",'Personal Info'!$W$15,"")*IF(H72&gt;10, H72/100, VLOOKUP(H72, _rpe,SUBSTITUTE(G72,"+","")+1,0)), IF( SWITCH(C72:C210,"sq",'Personal Info'!$O$15,"bn",'Personal Info'!$S$15,"dl", 'Personal Info'!$W$15,"")&lt; IF(_uom="lbs", 175, 80), 1.25, IF(_uom="lbs",5,2.5)))),"")</f>
        <v/>
      </c>
      <c r="J72" s="148"/>
      <c r="K72" s="33"/>
      <c r="L72" s="171"/>
      <c r="M72" s="124" t="str">
        <f>IFERROR(__xludf.DUMMYFUNCTION("IF(I72=MAX(FILTER(I$10:I$199,LOOKUP(ROW(C$10:C$199),FILTER(ROW(C$10:C$199),C$10:C$199&lt;&gt;C$9:C$198))=LOOKUP(ROW(C72),FILTER(ROW(C$10:C$199),C$10:C$199&lt;&gt;C$9:C$198)))),J72,)"),"")</f>
        <v/>
      </c>
      <c r="N72" s="122"/>
      <c r="O72" s="33"/>
      <c r="P72" s="143" t="str">
        <f t="shared" si="12"/>
        <v/>
      </c>
      <c r="Q72" s="38" t="str">
        <f>IFERROR(__xludf.DUMMYFUNCTION("""COMPUTED_VALUE"""),"")</f>
        <v/>
      </c>
      <c r="R72" s="144">
        <v>46118.0</v>
      </c>
      <c r="S72" s="167" t="str">
        <f t="shared" si="13"/>
        <v/>
      </c>
      <c r="T72" s="168" t="str">
        <f t="shared" si="261"/>
        <v/>
      </c>
      <c r="U72" s="169" t="str">
        <f t="shared" si="262"/>
        <v/>
      </c>
      <c r="V72" s="172" t="str">
        <f t="shared" si="263"/>
        <v/>
      </c>
      <c r="W72" s="171" t="str">
        <f t="array" ref="W72">IFERROR(IF(Q72="ac"+ISNUMBER(SEARCH("'",V72))+U72="","", IF(ISNUMBER(SEARCH("lw",V72)), I72 + SUBSTITUTE(V72,"lw+",""), MROUND(SWITCH(Q72,"sq",U$7,"bn",V$7,"dl",W$7,"")*IF(V72&gt;10, V72/100, VLOOKUP(V72, _rpe,SUBSTITUTE(U72,"+","")+1,0)), IF( SWITCH(Q72,"sq",U$7,"bn",V$7,"dl", W$7,"")&lt; IF(_uom="lbs", 175, 80), 1.25, IF(_uom="lbs",5,2.5))))), "")</f>
        <v/>
      </c>
      <c r="X72" s="148"/>
      <c r="Y72" s="33"/>
      <c r="Z72" s="171"/>
      <c r="AA72" s="124" t="str">
        <f>IFERROR(__xludf.DUMMYFUNCTION("IF(W72=MAX(FILTER(W$10:W$199,LOOKUP(ROW(Q$10:Q$199),FILTER(ROW(Q$10:Q$199),Q$10:Q$199&lt;&gt;Q$9:Q$198))=LOOKUP(ROW(Q72),FILTER(ROW(Q$10:Q$199),Q$10:Q$199&lt;&gt;Q$9:Q$198)))),X72,)"),"")</f>
        <v/>
      </c>
      <c r="AB72" s="122"/>
      <c r="AC72" s="33"/>
      <c r="AD72" s="143" t="str">
        <f t="shared" si="14"/>
        <v/>
      </c>
      <c r="AE72" s="38" t="str">
        <f>IFERROR(__xludf.DUMMYFUNCTION("""COMPUTED_VALUE"""),"")</f>
        <v/>
      </c>
      <c r="AF72" s="144">
        <v>46125.0</v>
      </c>
      <c r="AG72" s="167" t="str">
        <f t="shared" si="54"/>
        <v/>
      </c>
      <c r="AH72" s="168" t="str">
        <f t="shared" si="264"/>
        <v/>
      </c>
      <c r="AI72" s="169" t="str">
        <f t="shared" si="265"/>
        <v/>
      </c>
      <c r="AJ72" s="172" t="str">
        <f t="shared" si="266"/>
        <v/>
      </c>
      <c r="AK72" s="171" t="str">
        <f t="array" ref="AK72">IFERROR(IF(AE72="ac"+ISNUMBER(SEARCH("'",AJ72))+AI72="","", IF(ISNUMBER(SEARCH("lw",AJ72)), W72 + SUBSTITUTE(AJ72,"lw+",""), MROUND(SWITCH(AE72,"sq",AI$7,"bn",AJ$7,"dl",AK$7,"")*IF(AJ72&gt;10, AJ72/100, VLOOKUP(AJ72, _rpe,SUBSTITUTE(AI72,"+","")+1,0)), IF( SWITCH(AE72,"sq",AI$7,"bn",AJ$7,"dl", AK$7,"")&lt; IF(_uom="lbs", 175, 80), 1.25, IF(_uom="lbs",5,2.5))))), "")</f>
        <v/>
      </c>
      <c r="AL72" s="148"/>
      <c r="AM72" s="33"/>
      <c r="AN72" s="171"/>
      <c r="AO72" s="124" t="str">
        <f>IFERROR(__xludf.DUMMYFUNCTION("IF(AK72=MAX(FILTER(AK$10:AK$199,LOOKUP(ROW(AE$10:AE$199),FILTER(ROW(AE$10:AE$199),AE$10:AE$199&lt;&gt;AE$9:AE$198))=LOOKUP(ROW(AE72),FILTER(ROW(AE$10:AE$199),AE$10:AE$199&lt;&gt;AE$9:AE$198)))),AL72,)"),"")</f>
        <v/>
      </c>
      <c r="AP72" s="122"/>
      <c r="AQ72" s="33"/>
      <c r="AR72" s="143" t="str">
        <f t="shared" si="16"/>
        <v/>
      </c>
      <c r="AS72" s="38" t="str">
        <f>IFERROR(__xludf.DUMMYFUNCTION("""COMPUTED_VALUE"""),"")</f>
        <v/>
      </c>
      <c r="AT72" s="144">
        <v>46132.0</v>
      </c>
      <c r="AU72" s="167" t="str">
        <f t="shared" si="26"/>
        <v/>
      </c>
      <c r="AV72" s="168" t="str">
        <f t="shared" si="152"/>
        <v/>
      </c>
      <c r="AW72" s="169" t="str">
        <f t="shared" si="267"/>
        <v/>
      </c>
      <c r="AX72" s="172" t="str">
        <f t="shared" si="216"/>
        <v/>
      </c>
      <c r="AY72" s="171" t="str">
        <f t="array" ref="AY72">IFERROR(IF(AS72="ac"+ISNUMBER(SEARCH("'",AX72))+AW72="","", IF(ISNUMBER(SEARCH("lw",AX72)), AK72 + SUBSTITUTE(AX72,"lw+",""), MROUND(SWITCH(AS72,"sq",AW$7,"bn",AX$7,"dl",AY$7,"")*IF(AX72&gt;10, AX72/100, VLOOKUP(AX72, _rpe,SUBSTITUTE(AW72,"+","")+1,0)), IF( SWITCH(AS72,"sq",AW$7,"bn",AX$7,"dl", AY$7,"")&lt; IF(_uom="lbs", 175, 80), 1.25, IF(_uom="lbs",5,2.5))))), "")</f>
        <v/>
      </c>
      <c r="AZ72" s="148"/>
      <c r="BA72" s="33"/>
      <c r="BB72" s="171"/>
      <c r="BC72" s="124" t="str">
        <f>IFERROR(__xludf.DUMMYFUNCTION("IF(AY72=MAX(FILTER(AY$10:AY$199,LOOKUP(ROW(AS$10:AS$199),FILTER(ROW(AS$10:AS$199),AS$10:AS$199&lt;&gt;AS$9:AS$198))=LOOKUP(ROW(AS72),FILTER(ROW(AS$10:AS$199),AS$10:AS$199&lt;&gt;AS$9:AS$198)))),AZ72,)"),"")</f>
        <v/>
      </c>
      <c r="BD72" s="122"/>
      <c r="BE72" s="33"/>
      <c r="BF72" s="143" t="str">
        <f t="shared" si="17"/>
        <v/>
      </c>
      <c r="BG72" s="38" t="str">
        <f>IFERROR(__xludf.DUMMYFUNCTION("""COMPUTED_VALUE"""),"")</f>
        <v/>
      </c>
      <c r="BH72" s="144">
        <v>46139.0</v>
      </c>
      <c r="BI72" s="167" t="str">
        <f t="shared" si="18"/>
        <v/>
      </c>
      <c r="BJ72" s="168" t="str">
        <f t="shared" si="268"/>
        <v/>
      </c>
      <c r="BK72" s="169" t="str">
        <f t="shared" si="269"/>
        <v/>
      </c>
      <c r="BL72" s="172" t="str">
        <f t="shared" si="270"/>
        <v/>
      </c>
      <c r="BM72" s="171" t="str">
        <f t="array" ref="BM72">IFERROR(IF(BG72="ac"+ISNUMBER(SEARCH("'",BL72))+BK72="","", IF(ISNUMBER(SEARCH("lw",BL72)), AY72 + SUBSTITUTE(BL72,"lw+",""), MROUND(SWITCH(BG72,"sq",BK$7,"bn",BL$7,"dl",BM$7,"")*IF(BL72&gt;10, BL72/100, VLOOKUP(BL72, _rpe,SUBSTITUTE(BK72,"+","")+1,0)), IF( SWITCH(BG72,"sq",BK$7,"bn",BL$7,"dl", BM$7,"")&lt; IF(_uom="lbs", 175, 80), 1.25, IF(_uom="lbs",5,2.5))))), "")</f>
        <v/>
      </c>
      <c r="BN72" s="148"/>
      <c r="BO72" s="33"/>
      <c r="BP72" s="171"/>
      <c r="BQ72" s="124" t="str">
        <f>IFERROR(__xludf.DUMMYFUNCTION("IF(BM72=MAX(FILTER(BM$10:BM$199,LOOKUP(ROW(BG$10:BG$199),FILTER(ROW(BG$10:BG$199),BG$10:BG$199&lt;&gt;BG$9:BG$198))=LOOKUP(ROW(BG72),FILTER(ROW(BG$10:BG$199),BG$10:BG$199&lt;&gt;BG$9:BG$198)))),BN72,)"),"")</f>
        <v/>
      </c>
      <c r="BR72" s="122"/>
      <c r="BS72" s="33"/>
      <c r="BT72" s="143" t="str">
        <f t="shared" si="19"/>
        <v/>
      </c>
      <c r="BU72" s="38" t="str">
        <f>IFERROR(__xludf.DUMMYFUNCTION("""COMPUTED_VALUE"""),"")</f>
        <v/>
      </c>
      <c r="BV72" s="144">
        <v>46146.0</v>
      </c>
      <c r="BW72" s="167" t="str">
        <f t="shared" si="20"/>
        <v/>
      </c>
      <c r="BX72" s="168" t="str">
        <f t="shared" si="271"/>
        <v/>
      </c>
      <c r="BY72" s="169" t="str">
        <f t="shared" si="272"/>
        <v/>
      </c>
      <c r="BZ72" s="172" t="str">
        <f t="shared" si="273"/>
        <v/>
      </c>
      <c r="CA72" s="171" t="str">
        <f t="array" ref="CA72">IFERROR(IF(BU72="ac"+ISNUMBER(SEARCH("'",BZ72))+BY72="","", IF(ISNUMBER(SEARCH("lw",BZ72)), BM72 + SUBSTITUTE(BZ72,"lw+",""), MROUND(SWITCH(BU72,"sq",BY$7,"bn",BZ$7,"dl",CA$7,"")*IF(BZ72&gt;10, BZ72/100, VLOOKUP(BZ72, _rpe,SUBSTITUTE(BY72,"+","")+1,0)), IF( SWITCH(BU72,"sq",BY$7,"bn",BZ$7,"dl", CA$7,"")&lt; IF(_uom="lbs", 175, 80), 1.25, IF(_uom="lbs",5,2.5))))), "")</f>
        <v/>
      </c>
      <c r="CB72" s="148"/>
      <c r="CC72" s="33"/>
      <c r="CD72" s="171"/>
      <c r="CE72" s="124" t="str">
        <f>IFERROR(__xludf.DUMMYFUNCTION("IF(CA72=MAX(FILTER(CA$10:CA$199,LOOKUP(ROW(BU$10:BU$199),FILTER(ROW(BU$10:BU$199),BU$10:BU$199&lt;&gt;BU$9:BU$198))=LOOKUP(ROW(BU72),FILTER(ROW(BU$10:BU$199),BU$10:BU$199&lt;&gt;BU$9:BU$198)))),CB72,)"),"")</f>
        <v/>
      </c>
      <c r="CF72" s="122"/>
      <c r="CG72" s="33"/>
      <c r="CH72" s="143" t="str">
        <f t="shared" si="21"/>
        <v/>
      </c>
      <c r="CI72" s="38" t="str">
        <f>IFERROR(__xludf.DUMMYFUNCTION("""COMPUTED_VALUE"""),"")</f>
        <v/>
      </c>
      <c r="CJ72" s="144">
        <v>46153.0</v>
      </c>
      <c r="CK72" s="167" t="str">
        <f t="shared" si="27"/>
        <v/>
      </c>
      <c r="CL72" s="168" t="str">
        <f t="shared" si="274"/>
        <v/>
      </c>
      <c r="CM72" s="169" t="str">
        <f t="shared" si="275"/>
        <v/>
      </c>
      <c r="CN72" s="172" t="str">
        <f t="shared" si="276"/>
        <v/>
      </c>
      <c r="CO72" s="171" t="str">
        <f t="array" ref="CO72">IFERROR(IF(CI72="ac"+ISNUMBER(SEARCH("'",CN72))+CM72="","", IF(ISNUMBER(SEARCH("lw",CN72)), CA72 + SUBSTITUTE(CN72,"lw+",""), MROUND(SWITCH(CI72,"sq",CM$7,"bn",CN$7,"dl",CO$7,"")*IF(CN72&gt;10, CN72/100, VLOOKUP(CN72, _rpe,SUBSTITUTE(CM72,"+","")+1,0)), IF( SWITCH(CI72,"sq",CM$7,"bn",CN$7,"dl", CO$7,"")&lt; IF(_uom="lbs", 175, 80), 1.25, IF(_uom="lbs",5,2.5))))), "")</f>
        <v/>
      </c>
      <c r="CP72" s="148"/>
      <c r="CQ72" s="33"/>
      <c r="CR72" s="171"/>
      <c r="CS72" s="124" t="str">
        <f>IFERROR(__xludf.DUMMYFUNCTION("IF(CO72=MAX(FILTER(CO$10:CO$199,LOOKUP(ROW(CI$10:CI$199),FILTER(ROW(CI$10:CI$199),CI$10:CI$199&lt;&gt;CI$9:CI$198))=LOOKUP(ROW(CI72),FILTER(ROW(CI$10:CI$199),CI$10:CI$199&lt;&gt;CI$9:CI$198)))),CP72,)"),"")</f>
        <v/>
      </c>
      <c r="CT72" s="122"/>
      <c r="CU72" s="33"/>
      <c r="CV72" s="143" t="str">
        <f t="shared" si="22"/>
        <v/>
      </c>
      <c r="CW72" s="38" t="str">
        <f>IFERROR(__xludf.DUMMYFUNCTION("""COMPUTED_VALUE"""),"")</f>
        <v/>
      </c>
      <c r="CX72" s="144">
        <v>46160.0</v>
      </c>
      <c r="CY72" s="167" t="str">
        <f t="shared" si="28"/>
        <v/>
      </c>
      <c r="CZ72" s="168" t="str">
        <f t="shared" si="243"/>
        <v/>
      </c>
      <c r="DA72" s="169" t="str">
        <f t="shared" si="277"/>
        <v/>
      </c>
      <c r="DB72" s="172" t="str">
        <f t="shared" si="227"/>
        <v/>
      </c>
      <c r="DC72" s="171" t="str">
        <f t="array" ref="DC72">IFERROR(IF(CW72="ac"+ISNUMBER(SEARCH("'",DB72))+DA72="","", IF(ISNUMBER(SEARCH("lw",DB72)), CO72 + SUBSTITUTE(DB72,"lw+",""), MROUND(SWITCH(CW72,"sq",DA$7,"bn",DB$7,"dl",DC$7,"")*IF(DB72&gt;10, DB72/100, VLOOKUP(DB72, _rpe,SUBSTITUTE(DA72,"+","")+1,0)), IF( SWITCH(CW72,"sq",DA$7,"bn",DB$7,"dl", DC$7,"")&lt; IF(_uom="lbs", 175, 80), 1.25, IF(_uom="lbs",5,2.5))))), "")</f>
        <v/>
      </c>
      <c r="DD72" s="148"/>
      <c r="DE72" s="33"/>
      <c r="DF72" s="171"/>
      <c r="DG72" s="124" t="str">
        <f>IFERROR(__xludf.DUMMYFUNCTION("IF(DC72=MAX(FILTER(DC$10:DC$199,LOOKUP(ROW(CW$10:CW$199),FILTER(ROW(CW$10:CW$199),CW$10:CW$199&lt;&gt;CW$9:CW$198))=LOOKUP(ROW(CW72),FILTER(ROW(CW$10:CW$199),CW$10:CW$199&lt;&gt;CW$9:CW$198)))),DD72,)"),"")</f>
        <v/>
      </c>
      <c r="DH72" s="122"/>
      <c r="DI72" s="33"/>
      <c r="DJ72" s="143" t="str">
        <f t="shared" si="23"/>
        <v/>
      </c>
      <c r="DK72" s="38" t="str">
        <f>IFERROR(__xludf.DUMMYFUNCTION("""COMPUTED_VALUE"""),"")</f>
        <v/>
      </c>
      <c r="DL72" s="144">
        <v>46167.0</v>
      </c>
      <c r="DM72" s="167" t="str">
        <f t="shared" ref="DM72:DN72" si="283">IF(ISBLANK(CY72),"",CY72)</f>
        <v/>
      </c>
      <c r="DN72" s="168" t="str">
        <f t="shared" si="283"/>
        <v/>
      </c>
      <c r="DO72" s="169" t="str">
        <f t="shared" si="279"/>
        <v/>
      </c>
      <c r="DP72" s="172" t="str">
        <f t="shared" si="280"/>
        <v/>
      </c>
      <c r="DQ72" s="171" t="str">
        <f t="array" ref="DQ72">IFERROR(IF(DK72="ac"+ISNUMBER(SEARCH("'",DP72))+DO72="","", IF(ISNUMBER(SEARCH("lw",DP72)), DC72 + SUBSTITUTE(DP72,"lw+",""), MROUND(SWITCH(DK72,"sq",DO$7,"bn",DP$7,"dl",DQ$7,"")*IF(DP72&gt;10, DP72/100, VLOOKUP(DP72, _rpe,SUBSTITUTE(DO72,"+","")+1,0)), IF( SWITCH(DK72,"sq",DO$7,"bn",DP$7,"dl", DQ$7,"")&lt; IF(_uom="lbs", 175, 80), 1.25, IF(_uom="lbs",5,2.5))))), "")</f>
        <v/>
      </c>
      <c r="DR72" s="148"/>
      <c r="DS72" s="33"/>
      <c r="DT72" s="171"/>
      <c r="DU72" s="124" t="str">
        <f>IFERROR(__xludf.DUMMYFUNCTION("IF(DQ72=MAX(FILTER(DQ$10:DQ$199,LOOKUP(ROW(DK$10:DK$199),FILTER(ROW(DK$10:DK$199),DK$10:DK$199&lt;&gt;DK$9:DK$198))=LOOKUP(ROW(DK72),FILTER(ROW(DK$10:DK$199),DK$10:DK$199&lt;&gt;DK$9:DK$198)))),DR72,)"),"")</f>
        <v/>
      </c>
      <c r="DV72" s="122"/>
      <c r="DW72" s="33"/>
      <c r="DX72" s="143"/>
      <c r="DY72" s="38"/>
      <c r="DZ72" s="144"/>
      <c r="EA72" s="150"/>
      <c r="EB72" s="174"/>
      <c r="EC72" s="175"/>
      <c r="ED72" s="176"/>
      <c r="EE72" s="155"/>
      <c r="EF72" s="148"/>
      <c r="EG72" s="33"/>
      <c r="EH72" s="155"/>
      <c r="EI72" s="148"/>
      <c r="EJ72" s="33"/>
      <c r="EK72" s="33"/>
      <c r="EL72" s="143"/>
      <c r="EM72" s="38"/>
      <c r="EN72" s="144"/>
      <c r="EO72" s="150"/>
      <c r="EP72" s="174"/>
      <c r="EQ72" s="175"/>
      <c r="ER72" s="176"/>
      <c r="ES72" s="155"/>
      <c r="ET72" s="148"/>
      <c r="EU72" s="33"/>
      <c r="EV72" s="155"/>
      <c r="EW72" s="148"/>
      <c r="EX72" s="33"/>
      <c r="EY72" s="33"/>
      <c r="EZ72" s="143"/>
      <c r="FA72" s="38"/>
      <c r="FB72" s="144"/>
      <c r="FC72" s="150"/>
      <c r="FD72" s="174"/>
      <c r="FE72" s="175"/>
      <c r="FF72" s="176"/>
      <c r="FG72" s="155"/>
      <c r="FH72" s="148"/>
      <c r="FI72" s="33"/>
      <c r="FJ72" s="155"/>
      <c r="FK72" s="148"/>
      <c r="FL72" s="33"/>
      <c r="FM72" s="33"/>
      <c r="FN72" s="143"/>
      <c r="FO72" s="38"/>
      <c r="FP72" s="144"/>
      <c r="FQ72" s="150"/>
      <c r="FR72" s="174"/>
      <c r="FS72" s="175"/>
      <c r="FT72" s="176"/>
      <c r="FU72" s="155"/>
      <c r="FV72" s="148"/>
      <c r="FW72" s="33"/>
      <c r="FX72" s="155"/>
      <c r="FY72" s="148"/>
      <c r="FZ72" s="33"/>
      <c r="GA72" s="33"/>
      <c r="GB72" s="143"/>
      <c r="GC72" s="38"/>
      <c r="GD72" s="144"/>
      <c r="GE72" s="150"/>
      <c r="GF72" s="174"/>
      <c r="GG72" s="175"/>
      <c r="GH72" s="176"/>
      <c r="GI72" s="155"/>
      <c r="GJ72" s="148"/>
      <c r="GK72" s="33"/>
      <c r="GL72" s="155"/>
      <c r="GM72" s="148"/>
      <c r="GN72" s="33"/>
      <c r="GO72" s="33"/>
      <c r="GP72" s="143"/>
      <c r="GQ72" s="38"/>
      <c r="GR72" s="144"/>
      <c r="GS72" s="150"/>
      <c r="GT72" s="174"/>
      <c r="GU72" s="175"/>
      <c r="GV72" s="176"/>
      <c r="GW72" s="155"/>
      <c r="GX72" s="148"/>
      <c r="GY72" s="33"/>
      <c r="GZ72" s="155"/>
      <c r="HA72" s="148"/>
      <c r="HB72" s="33"/>
      <c r="HC72" s="33"/>
      <c r="HD72" s="143"/>
      <c r="HE72" s="38"/>
      <c r="HF72" s="144"/>
      <c r="HG72" s="150"/>
      <c r="HH72" s="174"/>
      <c r="HI72" s="175"/>
      <c r="HJ72" s="176"/>
      <c r="HK72" s="155"/>
      <c r="HL72" s="148"/>
      <c r="HM72" s="33"/>
      <c r="HN72" s="155"/>
      <c r="HO72" s="148"/>
      <c r="HP72" s="33"/>
      <c r="HQ72" s="33"/>
      <c r="HR72" s="143"/>
      <c r="HS72" s="38"/>
      <c r="HT72" s="144"/>
      <c r="HU72" s="150"/>
      <c r="HV72" s="174"/>
      <c r="HW72" s="175"/>
      <c r="HX72" s="176"/>
      <c r="HY72" s="155"/>
      <c r="HZ72" s="148"/>
      <c r="IA72" s="33"/>
      <c r="IB72" s="155"/>
      <c r="IC72" s="148"/>
      <c r="ID72" s="33"/>
      <c r="IE72" s="33"/>
      <c r="IF72" s="143"/>
      <c r="IG72" s="38"/>
      <c r="IH72" s="144"/>
      <c r="II72" s="150"/>
      <c r="IJ72" s="174"/>
      <c r="IK72" s="175"/>
      <c r="IL72" s="176"/>
      <c r="IM72" s="155"/>
      <c r="IN72" s="148"/>
      <c r="IO72" s="33"/>
      <c r="IP72" s="155"/>
      <c r="IQ72" s="148"/>
      <c r="IR72" s="33"/>
      <c r="IS72" s="33"/>
      <c r="IT72" s="143"/>
      <c r="IU72" s="38"/>
      <c r="IV72" s="144"/>
      <c r="IW72" s="143" t="str">
        <f t="shared" si="24"/>
        <v>#REF!</v>
      </c>
      <c r="IX72" s="38"/>
      <c r="IY72" s="144" t="e">
        <v>#REF!</v>
      </c>
    </row>
    <row r="73" hidden="1">
      <c r="A73" s="33"/>
      <c r="B73" s="181"/>
      <c r="C73" s="38" t="str">
        <f>IFERROR(__xludf.DUMMYFUNCTION("""COMPUTED_VALUE"""),"")</f>
        <v/>
      </c>
      <c r="D73" s="144">
        <v>46111.0</v>
      </c>
      <c r="E73" s="167"/>
      <c r="F73" s="168"/>
      <c r="G73" s="169"/>
      <c r="H73" s="170"/>
      <c r="I73" s="171" t="str">
        <f t="array" ref="I73">IFERROR(IF(C73="ac"+ISNUMBER(SEARCH("'",H73))+G73="","", MROUND(SWITCH(C73,"sq",'Personal Info'!$O$15,"bn",'Personal Info'!$S$15,"dl",'Personal Info'!$W$15,"")*IF(H73&gt;10, H73/100, VLOOKUP(H73, _rpe,SUBSTITUTE(G73,"+","")+1,0)), IF( SWITCH(C73:C210,"sq",'Personal Info'!$O$15,"bn",'Personal Info'!$S$15,"dl", 'Personal Info'!$W$15,"")&lt; IF(_uom="lbs", 175, 80), 1.25, IF(_uom="lbs",5,2.5)))),"")</f>
        <v/>
      </c>
      <c r="J73" s="148"/>
      <c r="K73" s="33"/>
      <c r="L73" s="171"/>
      <c r="M73" s="124" t="str">
        <f>IFERROR(__xludf.DUMMYFUNCTION("IF(I73=MAX(FILTER(I$10:I$199,LOOKUP(ROW(C$10:C$199),FILTER(ROW(C$10:C$199),C$10:C$199&lt;&gt;C$9:C$198))=LOOKUP(ROW(C73),FILTER(ROW(C$10:C$199),C$10:C$199&lt;&gt;C$9:C$198)))),J73,)"),"")</f>
        <v/>
      </c>
      <c r="N73" s="122"/>
      <c r="O73" s="33"/>
      <c r="P73" s="143" t="str">
        <f t="shared" si="12"/>
        <v/>
      </c>
      <c r="Q73" s="38" t="str">
        <f>IFERROR(__xludf.DUMMYFUNCTION("""COMPUTED_VALUE"""),"")</f>
        <v/>
      </c>
      <c r="R73" s="144">
        <v>46118.0</v>
      </c>
      <c r="S73" s="167" t="str">
        <f t="shared" si="13"/>
        <v/>
      </c>
      <c r="T73" s="168" t="str">
        <f t="shared" si="261"/>
        <v/>
      </c>
      <c r="U73" s="169" t="str">
        <f t="shared" si="262"/>
        <v/>
      </c>
      <c r="V73" s="172" t="str">
        <f t="shared" si="263"/>
        <v/>
      </c>
      <c r="W73" s="171" t="str">
        <f t="array" ref="W73">IFERROR(IF(Q73="ac"+ISNUMBER(SEARCH("'",V73))+U73="","", IF(ISNUMBER(SEARCH("lw",V73)), I73 + SUBSTITUTE(V73,"lw+",""), MROUND(SWITCH(Q73,"sq",U$7,"bn",V$7,"dl",W$7,"")*IF(V73&gt;10, V73/100, VLOOKUP(V73, _rpe,SUBSTITUTE(U73,"+","")+1,0)), IF( SWITCH(Q73,"sq",U$7,"bn",V$7,"dl", W$7,"")&lt; IF(_uom="lbs", 175, 80), 1.25, IF(_uom="lbs",5,2.5))))), "")</f>
        <v/>
      </c>
      <c r="X73" s="148"/>
      <c r="Y73" s="33"/>
      <c r="Z73" s="171"/>
      <c r="AA73" s="124" t="str">
        <f>IFERROR(__xludf.DUMMYFUNCTION("IF(W73=MAX(FILTER(W$10:W$199,LOOKUP(ROW(Q$10:Q$199),FILTER(ROW(Q$10:Q$199),Q$10:Q$199&lt;&gt;Q$9:Q$198))=LOOKUP(ROW(Q73),FILTER(ROW(Q$10:Q$199),Q$10:Q$199&lt;&gt;Q$9:Q$198)))),X73,)"),"")</f>
        <v/>
      </c>
      <c r="AB73" s="122"/>
      <c r="AC73" s="33"/>
      <c r="AD73" s="143" t="str">
        <f t="shared" si="14"/>
        <v/>
      </c>
      <c r="AE73" s="38" t="str">
        <f>IFERROR(__xludf.DUMMYFUNCTION("""COMPUTED_VALUE"""),"")</f>
        <v/>
      </c>
      <c r="AF73" s="144">
        <v>46125.0</v>
      </c>
      <c r="AG73" s="167" t="str">
        <f t="shared" si="54"/>
        <v/>
      </c>
      <c r="AH73" s="168" t="str">
        <f t="shared" si="264"/>
        <v/>
      </c>
      <c r="AI73" s="169" t="str">
        <f t="shared" si="265"/>
        <v/>
      </c>
      <c r="AJ73" s="172" t="str">
        <f t="shared" si="266"/>
        <v/>
      </c>
      <c r="AK73" s="171" t="str">
        <f t="array" ref="AK73">IFERROR(IF(AE73="ac"+ISNUMBER(SEARCH("'",AJ73))+AI73="","", IF(ISNUMBER(SEARCH("lw",AJ73)), W73 + SUBSTITUTE(AJ73,"lw+",""), MROUND(SWITCH(AE73,"sq",AI$7,"bn",AJ$7,"dl",AK$7,"")*IF(AJ73&gt;10, AJ73/100, VLOOKUP(AJ73, _rpe,SUBSTITUTE(AI73,"+","")+1,0)), IF( SWITCH(AE73,"sq",AI$7,"bn",AJ$7,"dl", AK$7,"")&lt; IF(_uom="lbs", 175, 80), 1.25, IF(_uom="lbs",5,2.5))))), "")</f>
        <v/>
      </c>
      <c r="AL73" s="148"/>
      <c r="AM73" s="33"/>
      <c r="AN73" s="171"/>
      <c r="AO73" s="124" t="str">
        <f>IFERROR(__xludf.DUMMYFUNCTION("IF(AK73=MAX(FILTER(AK$10:AK$199,LOOKUP(ROW(AE$10:AE$199),FILTER(ROW(AE$10:AE$199),AE$10:AE$199&lt;&gt;AE$9:AE$198))=LOOKUP(ROW(AE73),FILTER(ROW(AE$10:AE$199),AE$10:AE$199&lt;&gt;AE$9:AE$198)))),AL73,)"),"")</f>
        <v/>
      </c>
      <c r="AP73" s="122"/>
      <c r="AQ73" s="33"/>
      <c r="AR73" s="143" t="str">
        <f t="shared" si="16"/>
        <v/>
      </c>
      <c r="AS73" s="38" t="str">
        <f>IFERROR(__xludf.DUMMYFUNCTION("""COMPUTED_VALUE"""),"")</f>
        <v/>
      </c>
      <c r="AT73" s="144">
        <v>46132.0</v>
      </c>
      <c r="AU73" s="167" t="str">
        <f t="shared" si="26"/>
        <v/>
      </c>
      <c r="AV73" s="168" t="str">
        <f t="shared" si="152"/>
        <v/>
      </c>
      <c r="AW73" s="169" t="str">
        <f t="shared" si="267"/>
        <v/>
      </c>
      <c r="AX73" s="172" t="str">
        <f t="shared" si="216"/>
        <v/>
      </c>
      <c r="AY73" s="171" t="str">
        <f t="array" ref="AY73">IFERROR(IF(AS73="ac"+ISNUMBER(SEARCH("'",AX73))+AW73="","", IF(ISNUMBER(SEARCH("lw",AX73)), AK73 + SUBSTITUTE(AX73,"lw+",""), MROUND(SWITCH(AS73,"sq",AW$7,"bn",AX$7,"dl",AY$7,"")*IF(AX73&gt;10, AX73/100, VLOOKUP(AX73, _rpe,SUBSTITUTE(AW73,"+","")+1,0)), IF( SWITCH(AS73,"sq",AW$7,"bn",AX$7,"dl", AY$7,"")&lt; IF(_uom="lbs", 175, 80), 1.25, IF(_uom="lbs",5,2.5))))), "")</f>
        <v/>
      </c>
      <c r="AZ73" s="148"/>
      <c r="BA73" s="33"/>
      <c r="BB73" s="171"/>
      <c r="BC73" s="124" t="str">
        <f>IFERROR(__xludf.DUMMYFUNCTION("IF(AY73=MAX(FILTER(AY$10:AY$199,LOOKUP(ROW(AS$10:AS$199),FILTER(ROW(AS$10:AS$199),AS$10:AS$199&lt;&gt;AS$9:AS$198))=LOOKUP(ROW(AS73),FILTER(ROW(AS$10:AS$199),AS$10:AS$199&lt;&gt;AS$9:AS$198)))),AZ73,)"),"")</f>
        <v/>
      </c>
      <c r="BD73" s="122"/>
      <c r="BE73" s="33"/>
      <c r="BF73" s="143" t="str">
        <f t="shared" si="17"/>
        <v/>
      </c>
      <c r="BG73" s="38" t="str">
        <f>IFERROR(__xludf.DUMMYFUNCTION("""COMPUTED_VALUE"""),"")</f>
        <v/>
      </c>
      <c r="BH73" s="144">
        <v>46139.0</v>
      </c>
      <c r="BI73" s="167" t="str">
        <f t="shared" si="18"/>
        <v/>
      </c>
      <c r="BJ73" s="168" t="str">
        <f t="shared" si="268"/>
        <v/>
      </c>
      <c r="BK73" s="169" t="str">
        <f t="shared" si="269"/>
        <v/>
      </c>
      <c r="BL73" s="172" t="str">
        <f t="shared" si="270"/>
        <v/>
      </c>
      <c r="BM73" s="171" t="str">
        <f t="array" ref="BM73">IFERROR(IF(BG73="ac"+ISNUMBER(SEARCH("'",BL73))+BK73="","", IF(ISNUMBER(SEARCH("lw",BL73)), AY73 + SUBSTITUTE(BL73,"lw+",""), MROUND(SWITCH(BG73,"sq",BK$7,"bn",BL$7,"dl",BM$7,"")*IF(BL73&gt;10, BL73/100, VLOOKUP(BL73, _rpe,SUBSTITUTE(BK73,"+","")+1,0)), IF( SWITCH(BG73,"sq",BK$7,"bn",BL$7,"dl", BM$7,"")&lt; IF(_uom="lbs", 175, 80), 1.25, IF(_uom="lbs",5,2.5))))), "")</f>
        <v/>
      </c>
      <c r="BN73" s="148"/>
      <c r="BO73" s="33"/>
      <c r="BP73" s="171"/>
      <c r="BQ73" s="124" t="str">
        <f>IFERROR(__xludf.DUMMYFUNCTION("IF(BM73=MAX(FILTER(BM$10:BM$199,LOOKUP(ROW(BG$10:BG$199),FILTER(ROW(BG$10:BG$199),BG$10:BG$199&lt;&gt;BG$9:BG$198))=LOOKUP(ROW(BG73),FILTER(ROW(BG$10:BG$199),BG$10:BG$199&lt;&gt;BG$9:BG$198)))),BN73,)"),"")</f>
        <v/>
      </c>
      <c r="BR73" s="122"/>
      <c r="BS73" s="33"/>
      <c r="BT73" s="143" t="str">
        <f t="shared" si="19"/>
        <v/>
      </c>
      <c r="BU73" s="38" t="str">
        <f>IFERROR(__xludf.DUMMYFUNCTION("""COMPUTED_VALUE"""),"")</f>
        <v/>
      </c>
      <c r="BV73" s="144">
        <v>46146.0</v>
      </c>
      <c r="BW73" s="167" t="str">
        <f t="shared" si="20"/>
        <v/>
      </c>
      <c r="BX73" s="168" t="str">
        <f t="shared" si="271"/>
        <v/>
      </c>
      <c r="BY73" s="169" t="str">
        <f t="shared" si="272"/>
        <v/>
      </c>
      <c r="BZ73" s="172" t="str">
        <f t="shared" si="273"/>
        <v/>
      </c>
      <c r="CA73" s="171" t="str">
        <f t="array" ref="CA73">IFERROR(IF(BU73="ac"+ISNUMBER(SEARCH("'",BZ73))+BY73="","", IF(ISNUMBER(SEARCH("lw",BZ73)), BM73 + SUBSTITUTE(BZ73,"lw+",""), MROUND(SWITCH(BU73,"sq",BY$7,"bn",BZ$7,"dl",CA$7,"")*IF(BZ73&gt;10, BZ73/100, VLOOKUP(BZ73, _rpe,SUBSTITUTE(BY73,"+","")+1,0)), IF( SWITCH(BU73,"sq",BY$7,"bn",BZ$7,"dl", CA$7,"")&lt; IF(_uom="lbs", 175, 80), 1.25, IF(_uom="lbs",5,2.5))))), "")</f>
        <v/>
      </c>
      <c r="CB73" s="148"/>
      <c r="CC73" s="33"/>
      <c r="CD73" s="171"/>
      <c r="CE73" s="124" t="str">
        <f>IFERROR(__xludf.DUMMYFUNCTION("IF(CA73=MAX(FILTER(CA$10:CA$199,LOOKUP(ROW(BU$10:BU$199),FILTER(ROW(BU$10:BU$199),BU$10:BU$199&lt;&gt;BU$9:BU$198))=LOOKUP(ROW(BU73),FILTER(ROW(BU$10:BU$199),BU$10:BU$199&lt;&gt;BU$9:BU$198)))),CB73,)"),"")</f>
        <v/>
      </c>
      <c r="CF73" s="122"/>
      <c r="CG73" s="33"/>
      <c r="CH73" s="143" t="str">
        <f t="shared" si="21"/>
        <v/>
      </c>
      <c r="CI73" s="38" t="str">
        <f>IFERROR(__xludf.DUMMYFUNCTION("""COMPUTED_VALUE"""),"")</f>
        <v/>
      </c>
      <c r="CJ73" s="144">
        <v>46153.0</v>
      </c>
      <c r="CK73" s="167" t="str">
        <f t="shared" si="27"/>
        <v/>
      </c>
      <c r="CL73" s="168" t="str">
        <f t="shared" si="274"/>
        <v/>
      </c>
      <c r="CM73" s="169" t="str">
        <f t="shared" si="275"/>
        <v/>
      </c>
      <c r="CN73" s="172" t="str">
        <f t="shared" si="276"/>
        <v/>
      </c>
      <c r="CO73" s="171" t="str">
        <f t="array" ref="CO73">IFERROR(IF(CI73="ac"+ISNUMBER(SEARCH("'",CN73))+CM73="","", IF(ISNUMBER(SEARCH("lw",CN73)), CA73 + SUBSTITUTE(CN73,"lw+",""), MROUND(SWITCH(CI73,"sq",CM$7,"bn",CN$7,"dl",CO$7,"")*IF(CN73&gt;10, CN73/100, VLOOKUP(CN73, _rpe,SUBSTITUTE(CM73,"+","")+1,0)), IF( SWITCH(CI73,"sq",CM$7,"bn",CN$7,"dl", CO$7,"")&lt; IF(_uom="lbs", 175, 80), 1.25, IF(_uom="lbs",5,2.5))))), "")</f>
        <v/>
      </c>
      <c r="CP73" s="148"/>
      <c r="CQ73" s="33"/>
      <c r="CR73" s="171"/>
      <c r="CS73" s="124" t="str">
        <f>IFERROR(__xludf.DUMMYFUNCTION("IF(CO73=MAX(FILTER(CO$10:CO$199,LOOKUP(ROW(CI$10:CI$199),FILTER(ROW(CI$10:CI$199),CI$10:CI$199&lt;&gt;CI$9:CI$198))=LOOKUP(ROW(CI73),FILTER(ROW(CI$10:CI$199),CI$10:CI$199&lt;&gt;CI$9:CI$198)))),CP73,)"),"")</f>
        <v/>
      </c>
      <c r="CT73" s="122"/>
      <c r="CU73" s="33"/>
      <c r="CV73" s="143" t="str">
        <f t="shared" si="22"/>
        <v/>
      </c>
      <c r="CW73" s="38" t="str">
        <f>IFERROR(__xludf.DUMMYFUNCTION("""COMPUTED_VALUE"""),"")</f>
        <v/>
      </c>
      <c r="CX73" s="144">
        <v>46160.0</v>
      </c>
      <c r="CY73" s="167" t="str">
        <f t="shared" si="28"/>
        <v/>
      </c>
      <c r="CZ73" s="168" t="str">
        <f t="shared" si="243"/>
        <v/>
      </c>
      <c r="DA73" s="169" t="str">
        <f t="shared" si="277"/>
        <v/>
      </c>
      <c r="DB73" s="172" t="str">
        <f t="shared" si="227"/>
        <v/>
      </c>
      <c r="DC73" s="171" t="str">
        <f t="array" ref="DC73">IFERROR(IF(CW73="ac"+ISNUMBER(SEARCH("'",DB73))+DA73="","", IF(ISNUMBER(SEARCH("lw",DB73)), CO73 + SUBSTITUTE(DB73,"lw+",""), MROUND(SWITCH(CW73,"sq",DA$7,"bn",DB$7,"dl",DC$7,"")*IF(DB73&gt;10, DB73/100, VLOOKUP(DB73, _rpe,SUBSTITUTE(DA73,"+","")+1,0)), IF( SWITCH(CW73,"sq",DA$7,"bn",DB$7,"dl", DC$7,"")&lt; IF(_uom="lbs", 175, 80), 1.25, IF(_uom="lbs",5,2.5))))), "")</f>
        <v/>
      </c>
      <c r="DD73" s="148"/>
      <c r="DE73" s="33"/>
      <c r="DF73" s="171"/>
      <c r="DG73" s="124" t="str">
        <f>IFERROR(__xludf.DUMMYFUNCTION("IF(DC73=MAX(FILTER(DC$10:DC$199,LOOKUP(ROW(CW$10:CW$199),FILTER(ROW(CW$10:CW$199),CW$10:CW$199&lt;&gt;CW$9:CW$198))=LOOKUP(ROW(CW73),FILTER(ROW(CW$10:CW$199),CW$10:CW$199&lt;&gt;CW$9:CW$198)))),DD73,)"),"")</f>
        <v/>
      </c>
      <c r="DH73" s="122"/>
      <c r="DI73" s="33"/>
      <c r="DJ73" s="143" t="str">
        <f t="shared" si="23"/>
        <v/>
      </c>
      <c r="DK73" s="38" t="str">
        <f>IFERROR(__xludf.DUMMYFUNCTION("""COMPUTED_VALUE"""),"")</f>
        <v/>
      </c>
      <c r="DL73" s="144">
        <v>46167.0</v>
      </c>
      <c r="DM73" s="167" t="str">
        <f t="shared" ref="DM73:DN73" si="284">IF(ISBLANK(CY73),"",CY73)</f>
        <v/>
      </c>
      <c r="DN73" s="168" t="str">
        <f t="shared" si="284"/>
        <v/>
      </c>
      <c r="DO73" s="169" t="str">
        <f t="shared" si="279"/>
        <v/>
      </c>
      <c r="DP73" s="172" t="str">
        <f t="shared" si="280"/>
        <v/>
      </c>
      <c r="DQ73" s="171" t="str">
        <f t="array" ref="DQ73">IFERROR(IF(DK73="ac"+ISNUMBER(SEARCH("'",DP73))+DO73="","", IF(ISNUMBER(SEARCH("lw",DP73)), DC73 + SUBSTITUTE(DP73,"lw+",""), MROUND(SWITCH(DK73,"sq",DO$7,"bn",DP$7,"dl",DQ$7,"")*IF(DP73&gt;10, DP73/100, VLOOKUP(DP73, _rpe,SUBSTITUTE(DO73,"+","")+1,0)), IF( SWITCH(DK73,"sq",DO$7,"bn",DP$7,"dl", DQ$7,"")&lt; IF(_uom="lbs", 175, 80), 1.25, IF(_uom="lbs",5,2.5))))), "")</f>
        <v/>
      </c>
      <c r="DR73" s="148"/>
      <c r="DS73" s="33"/>
      <c r="DT73" s="171"/>
      <c r="DU73" s="124" t="str">
        <f>IFERROR(__xludf.DUMMYFUNCTION("IF(DQ73=MAX(FILTER(DQ$10:DQ$199,LOOKUP(ROW(DK$10:DK$199),FILTER(ROW(DK$10:DK$199),DK$10:DK$199&lt;&gt;DK$9:DK$198))=LOOKUP(ROW(DK73),FILTER(ROW(DK$10:DK$199),DK$10:DK$199&lt;&gt;DK$9:DK$198)))),DR73,)"),"")</f>
        <v/>
      </c>
      <c r="DV73" s="122"/>
      <c r="DW73" s="33"/>
      <c r="DX73" s="143"/>
      <c r="DY73" s="38"/>
      <c r="DZ73" s="144"/>
      <c r="EA73" s="150"/>
      <c r="EB73" s="174"/>
      <c r="EC73" s="175"/>
      <c r="ED73" s="176"/>
      <c r="EE73" s="155"/>
      <c r="EF73" s="148"/>
      <c r="EG73" s="33"/>
      <c r="EH73" s="155"/>
      <c r="EI73" s="148"/>
      <c r="EJ73" s="33"/>
      <c r="EK73" s="33"/>
      <c r="EL73" s="143"/>
      <c r="EM73" s="38"/>
      <c r="EN73" s="144"/>
      <c r="EO73" s="150"/>
      <c r="EP73" s="174"/>
      <c r="EQ73" s="175"/>
      <c r="ER73" s="176"/>
      <c r="ES73" s="155"/>
      <c r="ET73" s="148"/>
      <c r="EU73" s="33"/>
      <c r="EV73" s="155"/>
      <c r="EW73" s="148"/>
      <c r="EX73" s="33"/>
      <c r="EY73" s="33"/>
      <c r="EZ73" s="143"/>
      <c r="FA73" s="38"/>
      <c r="FB73" s="144"/>
      <c r="FC73" s="150"/>
      <c r="FD73" s="174"/>
      <c r="FE73" s="175"/>
      <c r="FF73" s="176"/>
      <c r="FG73" s="155"/>
      <c r="FH73" s="148"/>
      <c r="FI73" s="33"/>
      <c r="FJ73" s="155"/>
      <c r="FK73" s="148"/>
      <c r="FL73" s="33"/>
      <c r="FM73" s="33"/>
      <c r="FN73" s="143"/>
      <c r="FO73" s="38"/>
      <c r="FP73" s="144"/>
      <c r="FQ73" s="150"/>
      <c r="FR73" s="174"/>
      <c r="FS73" s="175"/>
      <c r="FT73" s="176"/>
      <c r="FU73" s="155"/>
      <c r="FV73" s="148"/>
      <c r="FW73" s="33"/>
      <c r="FX73" s="155"/>
      <c r="FY73" s="148"/>
      <c r="FZ73" s="33"/>
      <c r="GA73" s="33"/>
      <c r="GB73" s="143"/>
      <c r="GC73" s="38"/>
      <c r="GD73" s="144"/>
      <c r="GE73" s="150"/>
      <c r="GF73" s="174"/>
      <c r="GG73" s="175"/>
      <c r="GH73" s="176"/>
      <c r="GI73" s="155"/>
      <c r="GJ73" s="148"/>
      <c r="GK73" s="33"/>
      <c r="GL73" s="155"/>
      <c r="GM73" s="148"/>
      <c r="GN73" s="33"/>
      <c r="GO73" s="33"/>
      <c r="GP73" s="143"/>
      <c r="GQ73" s="38"/>
      <c r="GR73" s="144"/>
      <c r="GS73" s="150"/>
      <c r="GT73" s="174"/>
      <c r="GU73" s="175"/>
      <c r="GV73" s="176"/>
      <c r="GW73" s="155"/>
      <c r="GX73" s="148"/>
      <c r="GY73" s="33"/>
      <c r="GZ73" s="155"/>
      <c r="HA73" s="148"/>
      <c r="HB73" s="33"/>
      <c r="HC73" s="33"/>
      <c r="HD73" s="143"/>
      <c r="HE73" s="38"/>
      <c r="HF73" s="144"/>
      <c r="HG73" s="150"/>
      <c r="HH73" s="174"/>
      <c r="HI73" s="175"/>
      <c r="HJ73" s="176"/>
      <c r="HK73" s="155"/>
      <c r="HL73" s="148"/>
      <c r="HM73" s="33"/>
      <c r="HN73" s="155"/>
      <c r="HO73" s="148"/>
      <c r="HP73" s="33"/>
      <c r="HQ73" s="33"/>
      <c r="HR73" s="143"/>
      <c r="HS73" s="38"/>
      <c r="HT73" s="144"/>
      <c r="HU73" s="150"/>
      <c r="HV73" s="174"/>
      <c r="HW73" s="175"/>
      <c r="HX73" s="176"/>
      <c r="HY73" s="155"/>
      <c r="HZ73" s="148"/>
      <c r="IA73" s="33"/>
      <c r="IB73" s="155"/>
      <c r="IC73" s="148"/>
      <c r="ID73" s="33"/>
      <c r="IE73" s="33"/>
      <c r="IF73" s="143"/>
      <c r="IG73" s="38"/>
      <c r="IH73" s="144"/>
      <c r="II73" s="150"/>
      <c r="IJ73" s="174"/>
      <c r="IK73" s="175"/>
      <c r="IL73" s="176"/>
      <c r="IM73" s="155"/>
      <c r="IN73" s="148"/>
      <c r="IO73" s="33"/>
      <c r="IP73" s="155"/>
      <c r="IQ73" s="148"/>
      <c r="IR73" s="33"/>
      <c r="IS73" s="33"/>
      <c r="IT73" s="143"/>
      <c r="IU73" s="38"/>
      <c r="IV73" s="144"/>
      <c r="IW73" s="143" t="str">
        <f t="shared" si="24"/>
        <v>#REF!</v>
      </c>
      <c r="IX73" s="38"/>
      <c r="IY73" s="144" t="e">
        <v>#REF!</v>
      </c>
    </row>
    <row r="74">
      <c r="A74" s="33"/>
      <c r="B74" s="181"/>
      <c r="C74" s="38" t="str">
        <f>IFERROR(__xludf.DUMMYFUNCTION("""COMPUTED_VALUE"""),"")</f>
        <v/>
      </c>
      <c r="D74" s="144">
        <v>46111.0</v>
      </c>
      <c r="E74" s="182"/>
      <c r="F74" s="168"/>
      <c r="G74" s="169"/>
      <c r="H74" s="170"/>
      <c r="I74" s="171" t="str">
        <f t="array" ref="I74">IFERROR(IF(C74="ac"+ISNUMBER(SEARCH("'",H74))+G74="","", MROUND(SWITCH(C74,"sq",'Personal Info'!$O$15,"bn",'Personal Info'!$S$15,"dl",'Personal Info'!$W$15,"")*IF(H74&gt;10, H74/100, VLOOKUP(H74, _rpe,SUBSTITUTE(G74,"+","")+1,0)), IF( SWITCH(C74:C210,"sq",'Personal Info'!$O$15,"bn",'Personal Info'!$S$15,"dl", 'Personal Info'!$W$15,"")&lt; IF(_uom="lbs", 175, 80), 1.25, IF(_uom="lbs",5,2.5)))),"")</f>
        <v/>
      </c>
      <c r="J74" s="148"/>
      <c r="K74" s="33"/>
      <c r="L74" s="171"/>
      <c r="M74" s="124" t="str">
        <f>IFERROR(__xludf.DUMMYFUNCTION("IF(I74=MAX(FILTER(I$10:I$199,LOOKUP(ROW(C$10:C$199),FILTER(ROW(C$10:C$199),C$10:C$199&lt;&gt;C$9:C$198))=LOOKUP(ROW(C74),FILTER(ROW(C$10:C$199),C$10:C$199&lt;&gt;C$9:C$198)))),J74,)"),"")</f>
        <v/>
      </c>
      <c r="N74" s="122"/>
      <c r="O74" s="33"/>
      <c r="P74" s="143" t="str">
        <f t="shared" si="12"/>
        <v/>
      </c>
      <c r="Q74" s="38" t="str">
        <f>IFERROR(__xludf.DUMMYFUNCTION("""COMPUTED_VALUE"""),"")</f>
        <v/>
      </c>
      <c r="R74" s="144">
        <v>46118.0</v>
      </c>
      <c r="S74" s="167" t="str">
        <f t="shared" si="13"/>
        <v/>
      </c>
      <c r="T74" s="168" t="str">
        <f t="shared" si="261"/>
        <v/>
      </c>
      <c r="U74" s="169" t="str">
        <f t="shared" si="262"/>
        <v/>
      </c>
      <c r="V74" s="172" t="str">
        <f t="shared" si="263"/>
        <v/>
      </c>
      <c r="W74" s="171" t="str">
        <f t="array" ref="W74">IFERROR(IF(Q74="ac"+ISNUMBER(SEARCH("'",V74))+U74="","", IF(ISNUMBER(SEARCH("lw",V74)), I74 + SUBSTITUTE(V74,"lw+",""), MROUND(SWITCH(Q74,"sq",U$7,"bn",V$7,"dl",W$7,"")*IF(V74&gt;10, V74/100, VLOOKUP(V74, _rpe,SUBSTITUTE(U74,"+","")+1,0)), IF( SWITCH(Q74,"sq",U$7,"bn",V$7,"dl", W$7,"")&lt; IF(_uom="lbs", 175, 80), 1.25, IF(_uom="lbs",5,2.5))))), "")</f>
        <v/>
      </c>
      <c r="X74" s="148"/>
      <c r="Y74" s="33"/>
      <c r="Z74" s="171"/>
      <c r="AA74" s="124" t="str">
        <f>IFERROR(__xludf.DUMMYFUNCTION("IF(W74=MAX(FILTER(W$10:W$199,LOOKUP(ROW(Q$10:Q$199),FILTER(ROW(Q$10:Q$199),Q$10:Q$199&lt;&gt;Q$9:Q$198))=LOOKUP(ROW(Q74),FILTER(ROW(Q$10:Q$199),Q$10:Q$199&lt;&gt;Q$9:Q$198)))),X74,)"),"")</f>
        <v/>
      </c>
      <c r="AB74" s="122"/>
      <c r="AC74" s="33"/>
      <c r="AD74" s="143" t="str">
        <f t="shared" si="14"/>
        <v/>
      </c>
      <c r="AE74" s="38" t="str">
        <f>IFERROR(__xludf.DUMMYFUNCTION("""COMPUTED_VALUE"""),"")</f>
        <v/>
      </c>
      <c r="AF74" s="144">
        <v>46125.0</v>
      </c>
      <c r="AG74" s="167" t="str">
        <f t="shared" si="54"/>
        <v/>
      </c>
      <c r="AH74" s="168" t="str">
        <f t="shared" si="264"/>
        <v/>
      </c>
      <c r="AI74" s="169" t="str">
        <f t="shared" si="265"/>
        <v/>
      </c>
      <c r="AJ74" s="172" t="str">
        <f t="shared" si="266"/>
        <v/>
      </c>
      <c r="AK74" s="171" t="str">
        <f t="array" ref="AK74">IFERROR(IF(AE74="ac"+ISNUMBER(SEARCH("'",AJ74))+AI74="","", IF(ISNUMBER(SEARCH("lw",AJ74)), W74 + SUBSTITUTE(AJ74,"lw+",""), MROUND(SWITCH(AE74,"sq",AI$7,"bn",AJ$7,"dl",AK$7,"")*IF(AJ74&gt;10, AJ74/100, VLOOKUP(AJ74, _rpe,SUBSTITUTE(AI74,"+","")+1,0)), IF( SWITCH(AE74,"sq",AI$7,"bn",AJ$7,"dl", AK$7,"")&lt; IF(_uom="lbs", 175, 80), 1.25, IF(_uom="lbs",5,2.5))))), "")</f>
        <v/>
      </c>
      <c r="AL74" s="148"/>
      <c r="AM74" s="33"/>
      <c r="AN74" s="171"/>
      <c r="AO74" s="124" t="str">
        <f>IFERROR(__xludf.DUMMYFUNCTION("IF(AK74=MAX(FILTER(AK$10:AK$199,LOOKUP(ROW(AE$10:AE$199),FILTER(ROW(AE$10:AE$199),AE$10:AE$199&lt;&gt;AE$9:AE$198))=LOOKUP(ROW(AE74),FILTER(ROW(AE$10:AE$199),AE$10:AE$199&lt;&gt;AE$9:AE$198)))),AL74,)"),"")</f>
        <v/>
      </c>
      <c r="AP74" s="122"/>
      <c r="AQ74" s="33"/>
      <c r="AR74" s="143" t="str">
        <f t="shared" si="16"/>
        <v/>
      </c>
      <c r="AS74" s="38" t="str">
        <f>IFERROR(__xludf.DUMMYFUNCTION("""COMPUTED_VALUE"""),"")</f>
        <v/>
      </c>
      <c r="AT74" s="144">
        <v>46132.0</v>
      </c>
      <c r="AU74" s="167" t="str">
        <f t="shared" si="26"/>
        <v/>
      </c>
      <c r="AV74" s="168" t="str">
        <f t="shared" si="152"/>
        <v/>
      </c>
      <c r="AW74" s="169" t="str">
        <f t="shared" si="267"/>
        <v/>
      </c>
      <c r="AX74" s="172" t="str">
        <f t="shared" si="216"/>
        <v/>
      </c>
      <c r="AY74" s="171" t="str">
        <f t="array" ref="AY74">IFERROR(IF(AS74="ac"+ISNUMBER(SEARCH("'",AX74))+AW74="","", IF(ISNUMBER(SEARCH("lw",AX74)), AK74 + SUBSTITUTE(AX74,"lw+",""), MROUND(SWITCH(AS74,"sq",AW$7,"bn",AX$7,"dl",AY$7,"")*IF(AX74&gt;10, AX74/100, VLOOKUP(AX74, _rpe,SUBSTITUTE(AW74,"+","")+1,0)), IF( SWITCH(AS74,"sq",AW$7,"bn",AX$7,"dl", AY$7,"")&lt; IF(_uom="lbs", 175, 80), 1.25, IF(_uom="lbs",5,2.5))))), "")</f>
        <v/>
      </c>
      <c r="AZ74" s="148"/>
      <c r="BA74" s="33"/>
      <c r="BB74" s="171"/>
      <c r="BC74" s="124" t="str">
        <f>IFERROR(__xludf.DUMMYFUNCTION("IF(AY74=MAX(FILTER(AY$10:AY$199,LOOKUP(ROW(AS$10:AS$199),FILTER(ROW(AS$10:AS$199),AS$10:AS$199&lt;&gt;AS$9:AS$198))=LOOKUP(ROW(AS74),FILTER(ROW(AS$10:AS$199),AS$10:AS$199&lt;&gt;AS$9:AS$198)))),AZ74,)"),"")</f>
        <v/>
      </c>
      <c r="BD74" s="122"/>
      <c r="BE74" s="33"/>
      <c r="BF74" s="143" t="str">
        <f t="shared" si="17"/>
        <v/>
      </c>
      <c r="BG74" s="38" t="str">
        <f>IFERROR(__xludf.DUMMYFUNCTION("""COMPUTED_VALUE"""),"")</f>
        <v/>
      </c>
      <c r="BH74" s="144">
        <v>46139.0</v>
      </c>
      <c r="BI74" s="167" t="str">
        <f t="shared" si="18"/>
        <v/>
      </c>
      <c r="BJ74" s="168" t="str">
        <f t="shared" si="268"/>
        <v/>
      </c>
      <c r="BK74" s="169" t="str">
        <f t="shared" si="269"/>
        <v/>
      </c>
      <c r="BL74" s="172" t="str">
        <f t="shared" si="270"/>
        <v/>
      </c>
      <c r="BM74" s="171" t="str">
        <f t="array" ref="BM74">IFERROR(IF(BG74="ac"+ISNUMBER(SEARCH("'",BL74))+BK74="","", IF(ISNUMBER(SEARCH("lw",BL74)), AY74 + SUBSTITUTE(BL74,"lw+",""), MROUND(SWITCH(BG74,"sq",BK$7,"bn",BL$7,"dl",BM$7,"")*IF(BL74&gt;10, BL74/100, VLOOKUP(BL74, _rpe,SUBSTITUTE(BK74,"+","")+1,0)), IF( SWITCH(BG74,"sq",BK$7,"bn",BL$7,"dl", BM$7,"")&lt; IF(_uom="lbs", 175, 80), 1.25, IF(_uom="lbs",5,2.5))))), "")</f>
        <v/>
      </c>
      <c r="BN74" s="148"/>
      <c r="BO74" s="33"/>
      <c r="BP74" s="171"/>
      <c r="BQ74" s="124" t="str">
        <f>IFERROR(__xludf.DUMMYFUNCTION("IF(BM74=MAX(FILTER(BM$10:BM$199,LOOKUP(ROW(BG$10:BG$199),FILTER(ROW(BG$10:BG$199),BG$10:BG$199&lt;&gt;BG$9:BG$198))=LOOKUP(ROW(BG74),FILTER(ROW(BG$10:BG$199),BG$10:BG$199&lt;&gt;BG$9:BG$198)))),BN74,)"),"")</f>
        <v/>
      </c>
      <c r="BR74" s="122"/>
      <c r="BS74" s="33"/>
      <c r="BT74" s="143" t="str">
        <f t="shared" si="19"/>
        <v/>
      </c>
      <c r="BU74" s="38" t="str">
        <f>IFERROR(__xludf.DUMMYFUNCTION("""COMPUTED_VALUE"""),"")</f>
        <v/>
      </c>
      <c r="BV74" s="144">
        <v>46146.0</v>
      </c>
      <c r="BW74" s="167" t="str">
        <f t="shared" si="20"/>
        <v/>
      </c>
      <c r="BX74" s="168" t="str">
        <f t="shared" si="271"/>
        <v/>
      </c>
      <c r="BY74" s="169" t="str">
        <f t="shared" si="272"/>
        <v/>
      </c>
      <c r="BZ74" s="172" t="str">
        <f t="shared" si="273"/>
        <v/>
      </c>
      <c r="CA74" s="171" t="str">
        <f t="array" ref="CA74">IFERROR(IF(BU74="ac"+ISNUMBER(SEARCH("'",BZ74))+BY74="","", IF(ISNUMBER(SEARCH("lw",BZ74)), BM74 + SUBSTITUTE(BZ74,"lw+",""), MROUND(SWITCH(BU74,"sq",BY$7,"bn",BZ$7,"dl",CA$7,"")*IF(BZ74&gt;10, BZ74/100, VLOOKUP(BZ74, _rpe,SUBSTITUTE(BY74,"+","")+1,0)), IF( SWITCH(BU74,"sq",BY$7,"bn",BZ$7,"dl", CA$7,"")&lt; IF(_uom="lbs", 175, 80), 1.25, IF(_uom="lbs",5,2.5))))), "")</f>
        <v/>
      </c>
      <c r="CB74" s="148"/>
      <c r="CC74" s="33"/>
      <c r="CD74" s="171"/>
      <c r="CE74" s="124" t="str">
        <f>IFERROR(__xludf.DUMMYFUNCTION("IF(CA74=MAX(FILTER(CA$10:CA$199,LOOKUP(ROW(BU$10:BU$199),FILTER(ROW(BU$10:BU$199),BU$10:BU$199&lt;&gt;BU$9:BU$198))=LOOKUP(ROW(BU74),FILTER(ROW(BU$10:BU$199),BU$10:BU$199&lt;&gt;BU$9:BU$198)))),CB74,)"),"")</f>
        <v/>
      </c>
      <c r="CF74" s="122"/>
      <c r="CG74" s="33"/>
      <c r="CH74" s="143" t="str">
        <f t="shared" si="21"/>
        <v/>
      </c>
      <c r="CI74" s="38" t="str">
        <f>IFERROR(__xludf.DUMMYFUNCTION("""COMPUTED_VALUE"""),"")</f>
        <v/>
      </c>
      <c r="CJ74" s="144">
        <v>46153.0</v>
      </c>
      <c r="CK74" s="167" t="str">
        <f t="shared" si="27"/>
        <v/>
      </c>
      <c r="CL74" s="168" t="str">
        <f t="shared" si="274"/>
        <v/>
      </c>
      <c r="CM74" s="169" t="str">
        <f t="shared" si="275"/>
        <v/>
      </c>
      <c r="CN74" s="172" t="str">
        <f t="shared" si="276"/>
        <v/>
      </c>
      <c r="CO74" s="171" t="str">
        <f t="array" ref="CO74">IFERROR(IF(CI74="ac"+ISNUMBER(SEARCH("'",CN74))+CM74="","", IF(ISNUMBER(SEARCH("lw",CN74)), CA74 + SUBSTITUTE(CN74,"lw+",""), MROUND(SWITCH(CI74,"sq",CM$7,"bn",CN$7,"dl",CO$7,"")*IF(CN74&gt;10, CN74/100, VLOOKUP(CN74, _rpe,SUBSTITUTE(CM74,"+","")+1,0)), IF( SWITCH(CI74,"sq",CM$7,"bn",CN$7,"dl", CO$7,"")&lt; IF(_uom="lbs", 175, 80), 1.25, IF(_uom="lbs",5,2.5))))), "")</f>
        <v/>
      </c>
      <c r="CP74" s="148"/>
      <c r="CQ74" s="33"/>
      <c r="CR74" s="171"/>
      <c r="CS74" s="124" t="str">
        <f>IFERROR(__xludf.DUMMYFUNCTION("IF(CO74=MAX(FILTER(CO$10:CO$199,LOOKUP(ROW(CI$10:CI$199),FILTER(ROW(CI$10:CI$199),CI$10:CI$199&lt;&gt;CI$9:CI$198))=LOOKUP(ROW(CI74),FILTER(ROW(CI$10:CI$199),CI$10:CI$199&lt;&gt;CI$9:CI$198)))),CP74,)"),"")</f>
        <v/>
      </c>
      <c r="CT74" s="122"/>
      <c r="CU74" s="33"/>
      <c r="CV74" s="143" t="str">
        <f t="shared" si="22"/>
        <v/>
      </c>
      <c r="CW74" s="38" t="str">
        <f>IFERROR(__xludf.DUMMYFUNCTION("""COMPUTED_VALUE"""),"")</f>
        <v/>
      </c>
      <c r="CX74" s="144">
        <v>46160.0</v>
      </c>
      <c r="CY74" s="167" t="str">
        <f t="shared" si="28"/>
        <v/>
      </c>
      <c r="CZ74" s="168" t="str">
        <f t="shared" si="243"/>
        <v/>
      </c>
      <c r="DA74" s="169" t="str">
        <f t="shared" si="277"/>
        <v/>
      </c>
      <c r="DB74" s="172" t="str">
        <f t="shared" si="227"/>
        <v/>
      </c>
      <c r="DC74" s="171" t="str">
        <f t="array" ref="DC74">IFERROR(IF(CW74="ac"+ISNUMBER(SEARCH("'",DB74))+DA74="","", IF(ISNUMBER(SEARCH("lw",DB74)), CO74 + SUBSTITUTE(DB74,"lw+",""), MROUND(SWITCH(CW74,"sq",DA$7,"bn",DB$7,"dl",DC$7,"")*IF(DB74&gt;10, DB74/100, VLOOKUP(DB74, _rpe,SUBSTITUTE(DA74,"+","")+1,0)), IF( SWITCH(CW74,"sq",DA$7,"bn",DB$7,"dl", DC$7,"")&lt; IF(_uom="lbs", 175, 80), 1.25, IF(_uom="lbs",5,2.5))))), "")</f>
        <v/>
      </c>
      <c r="DD74" s="148"/>
      <c r="DE74" s="33"/>
      <c r="DF74" s="171"/>
      <c r="DG74" s="124" t="str">
        <f>IFERROR(__xludf.DUMMYFUNCTION("IF(DC74=MAX(FILTER(DC$10:DC$199,LOOKUP(ROW(CW$10:CW$199),FILTER(ROW(CW$10:CW$199),CW$10:CW$199&lt;&gt;CW$9:CW$198))=LOOKUP(ROW(CW74),FILTER(ROW(CW$10:CW$199),CW$10:CW$199&lt;&gt;CW$9:CW$198)))),DD74,)"),"")</f>
        <v/>
      </c>
      <c r="DH74" s="122"/>
      <c r="DI74" s="33"/>
      <c r="DJ74" s="143" t="str">
        <f t="shared" si="23"/>
        <v/>
      </c>
      <c r="DK74" s="38" t="str">
        <f>IFERROR(__xludf.DUMMYFUNCTION("""COMPUTED_VALUE"""),"")</f>
        <v/>
      </c>
      <c r="DL74" s="144">
        <v>46167.0</v>
      </c>
      <c r="DM74" s="167" t="str">
        <f t="shared" ref="DM74:DN74" si="285">IF(ISBLANK(CY74),"",CY74)</f>
        <v/>
      </c>
      <c r="DN74" s="168" t="str">
        <f t="shared" si="285"/>
        <v/>
      </c>
      <c r="DO74" s="169" t="str">
        <f t="shared" si="279"/>
        <v/>
      </c>
      <c r="DP74" s="172" t="str">
        <f t="shared" si="280"/>
        <v/>
      </c>
      <c r="DQ74" s="171" t="str">
        <f t="array" ref="DQ74">IFERROR(IF(DK74="ac"+ISNUMBER(SEARCH("'",DP74))+DO74="","", IF(ISNUMBER(SEARCH("lw",DP74)), DC74 + SUBSTITUTE(DP74,"lw+",""), MROUND(SWITCH(DK74,"sq",DO$7,"bn",DP$7,"dl",DQ$7,"")*IF(DP74&gt;10, DP74/100, VLOOKUP(DP74, _rpe,SUBSTITUTE(DO74,"+","")+1,0)), IF( SWITCH(DK74,"sq",DO$7,"bn",DP$7,"dl", DQ$7,"")&lt; IF(_uom="lbs", 175, 80), 1.25, IF(_uom="lbs",5,2.5))))), "")</f>
        <v/>
      </c>
      <c r="DR74" s="148"/>
      <c r="DS74" s="33"/>
      <c r="DT74" s="171"/>
      <c r="DU74" s="124" t="str">
        <f>IFERROR(__xludf.DUMMYFUNCTION("IF(DQ74=MAX(FILTER(DQ$10:DQ$199,LOOKUP(ROW(DK$10:DK$199),FILTER(ROW(DK$10:DK$199),DK$10:DK$199&lt;&gt;DK$9:DK$198))=LOOKUP(ROW(DK74),FILTER(ROW(DK$10:DK$199),DK$10:DK$199&lt;&gt;DK$9:DK$198)))),DR74,)"),"")</f>
        <v/>
      </c>
      <c r="DV74" s="122"/>
      <c r="DW74" s="33"/>
      <c r="DX74" s="143"/>
      <c r="DY74" s="38"/>
      <c r="DZ74" s="144"/>
      <c r="EA74" s="150"/>
      <c r="EB74" s="174"/>
      <c r="EC74" s="175"/>
      <c r="ED74" s="176"/>
      <c r="EE74" s="155"/>
      <c r="EF74" s="148"/>
      <c r="EG74" s="33"/>
      <c r="EH74" s="155"/>
      <c r="EI74" s="148"/>
      <c r="EJ74" s="33"/>
      <c r="EK74" s="33"/>
      <c r="EL74" s="143"/>
      <c r="EM74" s="38"/>
      <c r="EN74" s="144"/>
      <c r="EO74" s="150"/>
      <c r="EP74" s="174"/>
      <c r="EQ74" s="175"/>
      <c r="ER74" s="176"/>
      <c r="ES74" s="155"/>
      <c r="ET74" s="148"/>
      <c r="EU74" s="33"/>
      <c r="EV74" s="155"/>
      <c r="EW74" s="148"/>
      <c r="EX74" s="33"/>
      <c r="EY74" s="33"/>
      <c r="EZ74" s="143"/>
      <c r="FA74" s="38"/>
      <c r="FB74" s="144"/>
      <c r="FC74" s="150"/>
      <c r="FD74" s="174"/>
      <c r="FE74" s="175"/>
      <c r="FF74" s="176"/>
      <c r="FG74" s="155"/>
      <c r="FH74" s="148"/>
      <c r="FI74" s="33"/>
      <c r="FJ74" s="155"/>
      <c r="FK74" s="148"/>
      <c r="FL74" s="33"/>
      <c r="FM74" s="33"/>
      <c r="FN74" s="143"/>
      <c r="FO74" s="38"/>
      <c r="FP74" s="144"/>
      <c r="FQ74" s="150"/>
      <c r="FR74" s="174"/>
      <c r="FS74" s="175"/>
      <c r="FT74" s="176"/>
      <c r="FU74" s="155"/>
      <c r="FV74" s="148"/>
      <c r="FW74" s="33"/>
      <c r="FX74" s="155"/>
      <c r="FY74" s="148"/>
      <c r="FZ74" s="33"/>
      <c r="GA74" s="33"/>
      <c r="GB74" s="143"/>
      <c r="GC74" s="38"/>
      <c r="GD74" s="144"/>
      <c r="GE74" s="150"/>
      <c r="GF74" s="174"/>
      <c r="GG74" s="175"/>
      <c r="GH74" s="176"/>
      <c r="GI74" s="155"/>
      <c r="GJ74" s="148"/>
      <c r="GK74" s="33"/>
      <c r="GL74" s="155"/>
      <c r="GM74" s="148"/>
      <c r="GN74" s="33"/>
      <c r="GO74" s="33"/>
      <c r="GP74" s="143"/>
      <c r="GQ74" s="38"/>
      <c r="GR74" s="144"/>
      <c r="GS74" s="150"/>
      <c r="GT74" s="174"/>
      <c r="GU74" s="175"/>
      <c r="GV74" s="176"/>
      <c r="GW74" s="155"/>
      <c r="GX74" s="148"/>
      <c r="GY74" s="33"/>
      <c r="GZ74" s="155"/>
      <c r="HA74" s="148"/>
      <c r="HB74" s="33"/>
      <c r="HC74" s="33"/>
      <c r="HD74" s="143"/>
      <c r="HE74" s="38"/>
      <c r="HF74" s="144"/>
      <c r="HG74" s="150"/>
      <c r="HH74" s="174"/>
      <c r="HI74" s="175"/>
      <c r="HJ74" s="176"/>
      <c r="HK74" s="155"/>
      <c r="HL74" s="148"/>
      <c r="HM74" s="33"/>
      <c r="HN74" s="155"/>
      <c r="HO74" s="148"/>
      <c r="HP74" s="33"/>
      <c r="HQ74" s="33"/>
      <c r="HR74" s="143"/>
      <c r="HS74" s="38"/>
      <c r="HT74" s="144"/>
      <c r="HU74" s="150"/>
      <c r="HV74" s="174"/>
      <c r="HW74" s="175"/>
      <c r="HX74" s="176"/>
      <c r="HY74" s="155"/>
      <c r="HZ74" s="148"/>
      <c r="IA74" s="33"/>
      <c r="IB74" s="155"/>
      <c r="IC74" s="148"/>
      <c r="ID74" s="33"/>
      <c r="IE74" s="33"/>
      <c r="IF74" s="143"/>
      <c r="IG74" s="38"/>
      <c r="IH74" s="144"/>
      <c r="II74" s="150"/>
      <c r="IJ74" s="174"/>
      <c r="IK74" s="175"/>
      <c r="IL74" s="176"/>
      <c r="IM74" s="155"/>
      <c r="IN74" s="148"/>
      <c r="IO74" s="33"/>
      <c r="IP74" s="155"/>
      <c r="IQ74" s="148"/>
      <c r="IR74" s="33"/>
      <c r="IS74" s="33"/>
      <c r="IT74" s="143"/>
      <c r="IU74" s="38"/>
      <c r="IV74" s="144"/>
      <c r="IW74" s="143" t="str">
        <f t="shared" si="24"/>
        <v>#REF!</v>
      </c>
      <c r="IX74" s="38"/>
      <c r="IY74" s="144" t="e">
        <v>#REF!</v>
      </c>
    </row>
    <row r="75">
      <c r="A75" s="33"/>
      <c r="B75" s="181"/>
      <c r="C75" s="38" t="str">
        <f>IFERROR(__xludf.DUMMYFUNCTION("""COMPUTED_VALUE"""),"ac")</f>
        <v>ac</v>
      </c>
      <c r="D75" s="144">
        <v>46111.0</v>
      </c>
      <c r="E75" s="167" t="s">
        <v>342</v>
      </c>
      <c r="F75" s="168"/>
      <c r="G75" s="169"/>
      <c r="H75" s="170"/>
      <c r="I75" s="171" t="str">
        <f t="array" ref="I75">IFERROR(IF(C75="ac"+ISNUMBER(SEARCH("'",H75))+G75="","", MROUND(SWITCH(C75,"sq",'Personal Info'!$O$15,"bn",'Personal Info'!$S$15,"dl",'Personal Info'!$W$15,"")*IF(H75&gt;10, H75/100, VLOOKUP(H75, _rpe,SUBSTITUTE(G75,"+","")+1,0)), IF( SWITCH(C75:C210,"sq",'Personal Info'!$O$15,"bn",'Personal Info'!$S$15,"dl", 'Personal Info'!$W$15,"")&lt; IF(_uom="lbs", 175, 80), 1.25, IF(_uom="lbs",5,2.5)))),"")</f>
        <v/>
      </c>
      <c r="J75" s="148"/>
      <c r="K75" s="33"/>
      <c r="L75" s="171"/>
      <c r="M75" s="124" t="str">
        <f>IFERROR(__xludf.DUMMYFUNCTION("IF(I75=MAX(FILTER(I$10:I$199,LOOKUP(ROW(C$10:C$199),FILTER(ROW(C$10:C$199),C$10:C$199&lt;&gt;C$9:C$198))=LOOKUP(ROW(C75),FILTER(ROW(C$10:C$199),C$10:C$199&lt;&gt;C$9:C$198)))),J75,)"),"")</f>
        <v/>
      </c>
      <c r="N75" s="122"/>
      <c r="O75" s="33"/>
      <c r="P75" s="143" t="str">
        <f t="shared" si="12"/>
        <v/>
      </c>
      <c r="Q75" s="38" t="str">
        <f>IFERROR(__xludf.DUMMYFUNCTION("""COMPUTED_VALUE"""),"ac")</f>
        <v>ac</v>
      </c>
      <c r="R75" s="144">
        <v>46118.0</v>
      </c>
      <c r="S75" s="167" t="str">
        <f t="shared" si="13"/>
        <v>Day 4</v>
      </c>
      <c r="T75" s="168" t="str">
        <f t="shared" si="261"/>
        <v/>
      </c>
      <c r="U75" s="169" t="str">
        <f t="shared" si="262"/>
        <v/>
      </c>
      <c r="V75" s="172" t="str">
        <f t="shared" si="263"/>
        <v/>
      </c>
      <c r="W75" s="171" t="str">
        <f t="array" ref="W75">IFERROR(IF(Q75="ac"+ISNUMBER(SEARCH("'",V75))+U75="","", IF(ISNUMBER(SEARCH("lw",V75)), I75 + SUBSTITUTE(V75,"lw+",""), MROUND(SWITCH(Q75,"sq",U$7,"bn",V$7,"dl",W$7,"")*IF(V75&gt;10, V75/100, VLOOKUP(V75, _rpe,SUBSTITUTE(U75,"+","")+1,0)), IF( SWITCH(Q75,"sq",U$7,"bn",V$7,"dl", W$7,"")&lt; IF(_uom="lbs", 175, 80), 1.25, IF(_uom="lbs",5,2.5))))), "")</f>
        <v/>
      </c>
      <c r="X75" s="148"/>
      <c r="Y75" s="33"/>
      <c r="Z75" s="171"/>
      <c r="AA75" s="124" t="str">
        <f>IFERROR(__xludf.DUMMYFUNCTION("IF(W75=MAX(FILTER(W$10:W$199,LOOKUP(ROW(Q$10:Q$199),FILTER(ROW(Q$10:Q$199),Q$10:Q$199&lt;&gt;Q$9:Q$198))=LOOKUP(ROW(Q75),FILTER(ROW(Q$10:Q$199),Q$10:Q$199&lt;&gt;Q$9:Q$198)))),X75,)"),"")</f>
        <v/>
      </c>
      <c r="AB75" s="122"/>
      <c r="AC75" s="33"/>
      <c r="AD75" s="143" t="str">
        <f t="shared" si="14"/>
        <v/>
      </c>
      <c r="AE75" s="38" t="str">
        <f>IFERROR(__xludf.DUMMYFUNCTION("""COMPUTED_VALUE"""),"ac")</f>
        <v>ac</v>
      </c>
      <c r="AF75" s="144">
        <v>46125.0</v>
      </c>
      <c r="AG75" s="167" t="str">
        <f t="shared" si="54"/>
        <v>Day 4</v>
      </c>
      <c r="AH75" s="168" t="str">
        <f t="shared" si="264"/>
        <v/>
      </c>
      <c r="AI75" s="169" t="str">
        <f t="shared" si="265"/>
        <v/>
      </c>
      <c r="AJ75" s="172" t="str">
        <f t="shared" si="266"/>
        <v/>
      </c>
      <c r="AK75" s="171" t="str">
        <f t="array" ref="AK75">IFERROR(IF(AE75="ac"+ISNUMBER(SEARCH("'",AJ75))+AI75="","", IF(ISNUMBER(SEARCH("lw",AJ75)), W75 + SUBSTITUTE(AJ75,"lw+",""), MROUND(SWITCH(AE75,"sq",AI$7,"bn",AJ$7,"dl",AK$7,"")*IF(AJ75&gt;10, AJ75/100, VLOOKUP(AJ75, _rpe,SUBSTITUTE(AI75,"+","")+1,0)), IF( SWITCH(AE75,"sq",AI$7,"bn",AJ$7,"dl", AK$7,"")&lt; IF(_uom="lbs", 175, 80), 1.25, IF(_uom="lbs",5,2.5))))), "")</f>
        <v/>
      </c>
      <c r="AL75" s="148"/>
      <c r="AM75" s="33"/>
      <c r="AN75" s="171"/>
      <c r="AO75" s="124" t="str">
        <f>IFERROR(__xludf.DUMMYFUNCTION("IF(AK75=MAX(FILTER(AK$10:AK$199,LOOKUP(ROW(AE$10:AE$199),FILTER(ROW(AE$10:AE$199),AE$10:AE$199&lt;&gt;AE$9:AE$198))=LOOKUP(ROW(AE75),FILTER(ROW(AE$10:AE$199),AE$10:AE$199&lt;&gt;AE$9:AE$198)))),AL75,)"),"")</f>
        <v/>
      </c>
      <c r="AP75" s="122"/>
      <c r="AQ75" s="33"/>
      <c r="AR75" s="143" t="str">
        <f t="shared" si="16"/>
        <v/>
      </c>
      <c r="AS75" s="38" t="str">
        <f>IFERROR(__xludf.DUMMYFUNCTION("""COMPUTED_VALUE"""),"ac")</f>
        <v>ac</v>
      </c>
      <c r="AT75" s="144">
        <v>46132.0</v>
      </c>
      <c r="AU75" s="167" t="str">
        <f t="shared" si="26"/>
        <v>Day 4</v>
      </c>
      <c r="AV75" s="168" t="str">
        <f t="shared" si="152"/>
        <v/>
      </c>
      <c r="AW75" s="169" t="str">
        <f t="shared" si="267"/>
        <v/>
      </c>
      <c r="AX75" s="172" t="str">
        <f t="shared" si="216"/>
        <v/>
      </c>
      <c r="AY75" s="171" t="str">
        <f t="array" ref="AY75">IFERROR(IF(AS75="ac"+ISNUMBER(SEARCH("'",AX75))+AW75="","", IF(ISNUMBER(SEARCH("lw",AX75)), AK75 + SUBSTITUTE(AX75,"lw+",""), MROUND(SWITCH(AS75,"sq",AW$7,"bn",AX$7,"dl",AY$7,"")*IF(AX75&gt;10, AX75/100, VLOOKUP(AX75, _rpe,SUBSTITUTE(AW75,"+","")+1,0)), IF( SWITCH(AS75,"sq",AW$7,"bn",AX$7,"dl", AY$7,"")&lt; IF(_uom="lbs", 175, 80), 1.25, IF(_uom="lbs",5,2.5))))), "")</f>
        <v/>
      </c>
      <c r="AZ75" s="148"/>
      <c r="BA75" s="33"/>
      <c r="BB75" s="171"/>
      <c r="BC75" s="124" t="str">
        <f>IFERROR(__xludf.DUMMYFUNCTION("IF(AY75=MAX(FILTER(AY$10:AY$199,LOOKUP(ROW(AS$10:AS$199),FILTER(ROW(AS$10:AS$199),AS$10:AS$199&lt;&gt;AS$9:AS$198))=LOOKUP(ROW(AS75),FILTER(ROW(AS$10:AS$199),AS$10:AS$199&lt;&gt;AS$9:AS$198)))),AZ75,)"),"")</f>
        <v/>
      </c>
      <c r="BD75" s="122"/>
      <c r="BE75" s="33"/>
      <c r="BF75" s="143" t="str">
        <f t="shared" si="17"/>
        <v/>
      </c>
      <c r="BG75" s="38" t="str">
        <f>IFERROR(__xludf.DUMMYFUNCTION("""COMPUTED_VALUE"""),"ac")</f>
        <v>ac</v>
      </c>
      <c r="BH75" s="144">
        <v>46139.0</v>
      </c>
      <c r="BI75" s="167" t="str">
        <f t="shared" si="18"/>
        <v>Day 4</v>
      </c>
      <c r="BJ75" s="168" t="str">
        <f t="shared" si="268"/>
        <v/>
      </c>
      <c r="BK75" s="169" t="str">
        <f t="shared" si="269"/>
        <v/>
      </c>
      <c r="BL75" s="172" t="str">
        <f t="shared" si="270"/>
        <v/>
      </c>
      <c r="BM75" s="171" t="str">
        <f t="array" ref="BM75">IFERROR(IF(BG75="ac"+ISNUMBER(SEARCH("'",BL75))+BK75="","", IF(ISNUMBER(SEARCH("lw",BL75)), AY75 + SUBSTITUTE(BL75,"lw+",""), MROUND(SWITCH(BG75,"sq",BK$7,"bn",BL$7,"dl",BM$7,"")*IF(BL75&gt;10, BL75/100, VLOOKUP(BL75, _rpe,SUBSTITUTE(BK75,"+","")+1,0)), IF( SWITCH(BG75,"sq",BK$7,"bn",BL$7,"dl", BM$7,"")&lt; IF(_uom="lbs", 175, 80), 1.25, IF(_uom="lbs",5,2.5))))), "")</f>
        <v/>
      </c>
      <c r="BN75" s="148"/>
      <c r="BO75" s="33"/>
      <c r="BP75" s="171"/>
      <c r="BQ75" s="124" t="str">
        <f>IFERROR(__xludf.DUMMYFUNCTION("IF(BM75=MAX(FILTER(BM$10:BM$199,LOOKUP(ROW(BG$10:BG$199),FILTER(ROW(BG$10:BG$199),BG$10:BG$199&lt;&gt;BG$9:BG$198))=LOOKUP(ROW(BG75),FILTER(ROW(BG$10:BG$199),BG$10:BG$199&lt;&gt;BG$9:BG$198)))),BN75,)"),"")</f>
        <v/>
      </c>
      <c r="BR75" s="122"/>
      <c r="BS75" s="33"/>
      <c r="BT75" s="143" t="str">
        <f t="shared" si="19"/>
        <v/>
      </c>
      <c r="BU75" s="38" t="str">
        <f>IFERROR(__xludf.DUMMYFUNCTION("""COMPUTED_VALUE"""),"ac")</f>
        <v>ac</v>
      </c>
      <c r="BV75" s="144">
        <v>46146.0</v>
      </c>
      <c r="BW75" s="167" t="str">
        <f t="shared" si="20"/>
        <v>Day 4</v>
      </c>
      <c r="BX75" s="168" t="str">
        <f t="shared" si="271"/>
        <v/>
      </c>
      <c r="BY75" s="169" t="str">
        <f t="shared" si="272"/>
        <v/>
      </c>
      <c r="BZ75" s="172" t="str">
        <f t="shared" si="273"/>
        <v/>
      </c>
      <c r="CA75" s="171" t="str">
        <f t="array" ref="CA75">IFERROR(IF(BU75="ac"+ISNUMBER(SEARCH("'",BZ75))+BY75="","", IF(ISNUMBER(SEARCH("lw",BZ75)), BM75 + SUBSTITUTE(BZ75,"lw+",""), MROUND(SWITCH(BU75,"sq",BY$7,"bn",BZ$7,"dl",CA$7,"")*IF(BZ75&gt;10, BZ75/100, VLOOKUP(BZ75, _rpe,SUBSTITUTE(BY75,"+","")+1,0)), IF( SWITCH(BU75,"sq",BY$7,"bn",BZ$7,"dl", CA$7,"")&lt; IF(_uom="lbs", 175, 80), 1.25, IF(_uom="lbs",5,2.5))))), "")</f>
        <v/>
      </c>
      <c r="CB75" s="148"/>
      <c r="CC75" s="33"/>
      <c r="CD75" s="171"/>
      <c r="CE75" s="124" t="str">
        <f>IFERROR(__xludf.DUMMYFUNCTION("IF(CA75=MAX(FILTER(CA$10:CA$199,LOOKUP(ROW(BU$10:BU$199),FILTER(ROW(BU$10:BU$199),BU$10:BU$199&lt;&gt;BU$9:BU$198))=LOOKUP(ROW(BU75),FILTER(ROW(BU$10:BU$199),BU$10:BU$199&lt;&gt;BU$9:BU$198)))),CB75,)"),"")</f>
        <v/>
      </c>
      <c r="CF75" s="122"/>
      <c r="CG75" s="33"/>
      <c r="CH75" s="143" t="str">
        <f t="shared" si="21"/>
        <v/>
      </c>
      <c r="CI75" s="38" t="str">
        <f>IFERROR(__xludf.DUMMYFUNCTION("""COMPUTED_VALUE"""),"ac")</f>
        <v>ac</v>
      </c>
      <c r="CJ75" s="144">
        <v>46153.0</v>
      </c>
      <c r="CK75" s="167" t="str">
        <f t="shared" si="27"/>
        <v>Day 4</v>
      </c>
      <c r="CL75" s="168" t="str">
        <f t="shared" si="274"/>
        <v/>
      </c>
      <c r="CM75" s="169" t="str">
        <f t="shared" si="275"/>
        <v/>
      </c>
      <c r="CN75" s="172" t="str">
        <f t="shared" si="276"/>
        <v/>
      </c>
      <c r="CO75" s="171" t="str">
        <f t="array" ref="CO75">IFERROR(IF(CI75="ac"+ISNUMBER(SEARCH("'",CN75))+CM75="","", IF(ISNUMBER(SEARCH("lw",CN75)), CA75 + SUBSTITUTE(CN75,"lw+",""), MROUND(SWITCH(CI75,"sq",CM$7,"bn",CN$7,"dl",CO$7,"")*IF(CN75&gt;10, CN75/100, VLOOKUP(CN75, _rpe,SUBSTITUTE(CM75,"+","")+1,0)), IF( SWITCH(CI75,"sq",CM$7,"bn",CN$7,"dl", CO$7,"")&lt; IF(_uom="lbs", 175, 80), 1.25, IF(_uom="lbs",5,2.5))))), "")</f>
        <v/>
      </c>
      <c r="CP75" s="148"/>
      <c r="CQ75" s="33"/>
      <c r="CR75" s="171"/>
      <c r="CS75" s="124" t="str">
        <f>IFERROR(__xludf.DUMMYFUNCTION("IF(CO75=MAX(FILTER(CO$10:CO$199,LOOKUP(ROW(CI$10:CI$199),FILTER(ROW(CI$10:CI$199),CI$10:CI$199&lt;&gt;CI$9:CI$198))=LOOKUP(ROW(CI75),FILTER(ROW(CI$10:CI$199),CI$10:CI$199&lt;&gt;CI$9:CI$198)))),CP75,)"),"")</f>
        <v/>
      </c>
      <c r="CT75" s="122"/>
      <c r="CU75" s="33"/>
      <c r="CV75" s="143" t="str">
        <f t="shared" si="22"/>
        <v/>
      </c>
      <c r="CW75" s="38" t="str">
        <f>IFERROR(__xludf.DUMMYFUNCTION("""COMPUTED_VALUE"""),"ac")</f>
        <v>ac</v>
      </c>
      <c r="CX75" s="144">
        <v>46160.0</v>
      </c>
      <c r="CY75" s="167" t="str">
        <f t="shared" si="28"/>
        <v>Day 4</v>
      </c>
      <c r="CZ75" s="168" t="str">
        <f t="shared" si="243"/>
        <v/>
      </c>
      <c r="DA75" s="169" t="str">
        <f t="shared" si="277"/>
        <v/>
      </c>
      <c r="DB75" s="172" t="str">
        <f t="shared" si="227"/>
        <v/>
      </c>
      <c r="DC75" s="171" t="str">
        <f t="array" ref="DC75">IFERROR(IF(CW75="ac"+ISNUMBER(SEARCH("'",DB75))+DA75="","", IF(ISNUMBER(SEARCH("lw",DB75)), CO75 + SUBSTITUTE(DB75,"lw+",""), MROUND(SWITCH(CW75,"sq",DA$7,"bn",DB$7,"dl",DC$7,"")*IF(DB75&gt;10, DB75/100, VLOOKUP(DB75, _rpe,SUBSTITUTE(DA75,"+","")+1,0)), IF( SWITCH(CW75,"sq",DA$7,"bn",DB$7,"dl", DC$7,"")&lt; IF(_uom="lbs", 175, 80), 1.25, IF(_uom="lbs",5,2.5))))), "")</f>
        <v/>
      </c>
      <c r="DD75" s="148"/>
      <c r="DE75" s="33"/>
      <c r="DF75" s="171"/>
      <c r="DG75" s="124" t="str">
        <f>IFERROR(__xludf.DUMMYFUNCTION("IF(DC75=MAX(FILTER(DC$10:DC$199,LOOKUP(ROW(CW$10:CW$199),FILTER(ROW(CW$10:CW$199),CW$10:CW$199&lt;&gt;CW$9:CW$198))=LOOKUP(ROW(CW75),FILTER(ROW(CW$10:CW$199),CW$10:CW$199&lt;&gt;CW$9:CW$198)))),DD75,)"),"")</f>
        <v/>
      </c>
      <c r="DH75" s="122"/>
      <c r="DI75" s="33"/>
      <c r="DJ75" s="143" t="str">
        <f t="shared" si="23"/>
        <v/>
      </c>
      <c r="DK75" s="38" t="str">
        <f>IFERROR(__xludf.DUMMYFUNCTION("""COMPUTED_VALUE"""),"ac")</f>
        <v>ac</v>
      </c>
      <c r="DL75" s="144">
        <v>46167.0</v>
      </c>
      <c r="DM75" s="167" t="s">
        <v>343</v>
      </c>
      <c r="DN75" s="168"/>
      <c r="DO75" s="169"/>
      <c r="DP75" s="172" t="str">
        <f t="shared" si="280"/>
        <v/>
      </c>
      <c r="DQ75" s="171" t="str">
        <f t="array" ref="DQ75">IFERROR(IF(DK75="ac"+ISNUMBER(SEARCH("'",DP75))+DO75="","", IF(ISNUMBER(SEARCH("lw",DP75)), DC75 + SUBSTITUTE(DP75,"lw+",""), MROUND(SWITCH(DK75,"sq",DO$7,"bn",DP$7,"dl",DQ$7,"")*IF(DP75&gt;10, DP75/100, VLOOKUP(DP75, _rpe,SUBSTITUTE(DO75,"+","")+1,0)), IF( SWITCH(DK75,"sq",DO$7,"bn",DP$7,"dl", DQ$7,"")&lt; IF(_uom="lbs", 175, 80), 1.25, IF(_uom="lbs",5,2.5))))), "")</f>
        <v/>
      </c>
      <c r="DR75" s="148"/>
      <c r="DS75" s="33"/>
      <c r="DT75" s="171"/>
      <c r="DU75" s="124" t="str">
        <f>IFERROR(__xludf.DUMMYFUNCTION("IF(DQ75=MAX(FILTER(DQ$10:DQ$199,LOOKUP(ROW(DK$10:DK$199),FILTER(ROW(DK$10:DK$199),DK$10:DK$199&lt;&gt;DK$9:DK$198))=LOOKUP(ROW(DK75),FILTER(ROW(DK$10:DK$199),DK$10:DK$199&lt;&gt;DK$9:DK$198)))),DR75,)"),"")</f>
        <v/>
      </c>
      <c r="DV75" s="122"/>
      <c r="DW75" s="33"/>
      <c r="DX75" s="143"/>
      <c r="DY75" s="38"/>
      <c r="DZ75" s="144"/>
      <c r="EA75" s="150"/>
      <c r="EB75" s="174"/>
      <c r="EC75" s="175"/>
      <c r="ED75" s="176"/>
      <c r="EE75" s="155"/>
      <c r="EF75" s="148"/>
      <c r="EG75" s="33"/>
      <c r="EH75" s="155"/>
      <c r="EI75" s="148"/>
      <c r="EJ75" s="33"/>
      <c r="EK75" s="33"/>
      <c r="EL75" s="143"/>
      <c r="EM75" s="38"/>
      <c r="EN75" s="144"/>
      <c r="EO75" s="150"/>
      <c r="EP75" s="174"/>
      <c r="EQ75" s="175"/>
      <c r="ER75" s="176"/>
      <c r="ES75" s="155"/>
      <c r="ET75" s="148"/>
      <c r="EU75" s="33"/>
      <c r="EV75" s="155"/>
      <c r="EW75" s="148"/>
      <c r="EX75" s="33"/>
      <c r="EY75" s="33"/>
      <c r="EZ75" s="143"/>
      <c r="FA75" s="38"/>
      <c r="FB75" s="144"/>
      <c r="FC75" s="150"/>
      <c r="FD75" s="174"/>
      <c r="FE75" s="175"/>
      <c r="FF75" s="176"/>
      <c r="FG75" s="155"/>
      <c r="FH75" s="148"/>
      <c r="FI75" s="33"/>
      <c r="FJ75" s="155"/>
      <c r="FK75" s="148"/>
      <c r="FL75" s="33"/>
      <c r="FM75" s="33"/>
      <c r="FN75" s="143"/>
      <c r="FO75" s="38"/>
      <c r="FP75" s="144"/>
      <c r="FQ75" s="150"/>
      <c r="FR75" s="174"/>
      <c r="FS75" s="175"/>
      <c r="FT75" s="176"/>
      <c r="FU75" s="155"/>
      <c r="FV75" s="148"/>
      <c r="FW75" s="33"/>
      <c r="FX75" s="155"/>
      <c r="FY75" s="148"/>
      <c r="FZ75" s="33"/>
      <c r="GA75" s="33"/>
      <c r="GB75" s="143"/>
      <c r="GC75" s="38"/>
      <c r="GD75" s="144"/>
      <c r="GE75" s="150"/>
      <c r="GF75" s="174"/>
      <c r="GG75" s="175"/>
      <c r="GH75" s="176"/>
      <c r="GI75" s="155"/>
      <c r="GJ75" s="148"/>
      <c r="GK75" s="33"/>
      <c r="GL75" s="155"/>
      <c r="GM75" s="148"/>
      <c r="GN75" s="33"/>
      <c r="GO75" s="33"/>
      <c r="GP75" s="143"/>
      <c r="GQ75" s="38"/>
      <c r="GR75" s="144"/>
      <c r="GS75" s="150"/>
      <c r="GT75" s="174"/>
      <c r="GU75" s="175"/>
      <c r="GV75" s="176"/>
      <c r="GW75" s="155"/>
      <c r="GX75" s="148"/>
      <c r="GY75" s="33"/>
      <c r="GZ75" s="155"/>
      <c r="HA75" s="148"/>
      <c r="HB75" s="33"/>
      <c r="HC75" s="33"/>
      <c r="HD75" s="143"/>
      <c r="HE75" s="38"/>
      <c r="HF75" s="144"/>
      <c r="HG75" s="150"/>
      <c r="HH75" s="174"/>
      <c r="HI75" s="175"/>
      <c r="HJ75" s="176"/>
      <c r="HK75" s="155"/>
      <c r="HL75" s="148"/>
      <c r="HM75" s="33"/>
      <c r="HN75" s="155"/>
      <c r="HO75" s="148"/>
      <c r="HP75" s="33"/>
      <c r="HQ75" s="33"/>
      <c r="HR75" s="143"/>
      <c r="HS75" s="38"/>
      <c r="HT75" s="144"/>
      <c r="HU75" s="150"/>
      <c r="HV75" s="174"/>
      <c r="HW75" s="175"/>
      <c r="HX75" s="176"/>
      <c r="HY75" s="155"/>
      <c r="HZ75" s="148"/>
      <c r="IA75" s="33"/>
      <c r="IB75" s="155"/>
      <c r="IC75" s="148"/>
      <c r="ID75" s="33"/>
      <c r="IE75" s="33"/>
      <c r="IF75" s="143"/>
      <c r="IG75" s="38"/>
      <c r="IH75" s="144"/>
      <c r="II75" s="150"/>
      <c r="IJ75" s="174"/>
      <c r="IK75" s="175"/>
      <c r="IL75" s="176"/>
      <c r="IM75" s="155"/>
      <c r="IN75" s="148"/>
      <c r="IO75" s="33"/>
      <c r="IP75" s="155"/>
      <c r="IQ75" s="148"/>
      <c r="IR75" s="33"/>
      <c r="IS75" s="33"/>
      <c r="IT75" s="143"/>
      <c r="IU75" s="38"/>
      <c r="IV75" s="144"/>
      <c r="IW75" s="143" t="str">
        <f t="shared" si="24"/>
        <v>#REF!</v>
      </c>
      <c r="IX75" s="38"/>
      <c r="IY75" s="144" t="e">
        <v>#REF!</v>
      </c>
    </row>
    <row r="76">
      <c r="A76" s="33"/>
      <c r="B76" s="143" t="s">
        <v>344</v>
      </c>
      <c r="C76" s="38" t="str">
        <f>IFERROR(__xludf.DUMMYFUNCTION("""COMPUTED_VALUE"""),"bn")</f>
        <v>bn</v>
      </c>
      <c r="D76" s="144">
        <v>46111.0</v>
      </c>
      <c r="E76" s="167" t="s">
        <v>77</v>
      </c>
      <c r="F76" s="168">
        <v>1.0</v>
      </c>
      <c r="G76" s="169">
        <v>1.0</v>
      </c>
      <c r="H76" s="173" t="s">
        <v>312</v>
      </c>
      <c r="I76" s="171" t="str">
        <f t="array" ref="I76">IFERROR(IF(C76="ac"+ISNUMBER(SEARCH("'",H76))+G76="","", MROUND(SWITCH(C76,"sq",'Personal Info'!$O$15,"bn",'Personal Info'!$S$15,"dl",'Personal Info'!$W$15,"")*IF(H76&gt;10, H76/100, VLOOKUP(H76, _rpe,SUBSTITUTE(G76,"+","")+1,0)), IF( SWITCH(C76:C210,"sq",'Personal Info'!$O$15,"bn",'Personal Info'!$S$15,"dl", 'Personal Info'!$W$15,"")&lt; IF(_uom="lbs", 175, 80), 1.25, IF(_uom="lbs",5,2.5)))),"")</f>
        <v/>
      </c>
      <c r="J76" s="148"/>
      <c r="K76" s="33"/>
      <c r="L76" s="171"/>
      <c r="M76" s="124" t="str">
        <f>IFERROR(__xludf.DUMMYFUNCTION("IF(I76=MAX(FILTER(I$10:I$199,LOOKUP(ROW(C$10:C$199),FILTER(ROW(C$10:C$199),C$10:C$199&lt;&gt;C$9:C$198))=LOOKUP(ROW(C76),FILTER(ROW(C$10:C$199),C$10:C$199&lt;&gt;C$9:C$198)))),J76,)"),"")</f>
        <v/>
      </c>
      <c r="N76" s="122"/>
      <c r="O76" s="33"/>
      <c r="P76" s="143" t="str">
        <f t="shared" si="12"/>
        <v>BN 3: strength</v>
      </c>
      <c r="Q76" s="38" t="str">
        <f>IFERROR(__xludf.DUMMYFUNCTION("""COMPUTED_VALUE"""),"bn")</f>
        <v>bn</v>
      </c>
      <c r="R76" s="144">
        <v>46118.0</v>
      </c>
      <c r="S76" s="167" t="str">
        <f t="shared" si="13"/>
        <v>Bench Press</v>
      </c>
      <c r="T76" s="168">
        <f t="shared" si="261"/>
        <v>1</v>
      </c>
      <c r="U76" s="169">
        <f t="shared" si="262"/>
        <v>1</v>
      </c>
      <c r="V76" s="173" t="s">
        <v>307</v>
      </c>
      <c r="W76" s="171" t="str">
        <f t="array" ref="W76">IFERROR(IF(Q76="ac"+ISNUMBER(SEARCH("'",V76))+U76="","", IF(ISNUMBER(SEARCH("lw",V76)), I76 + SUBSTITUTE(V76,"lw+",""), MROUND(SWITCH(Q76,"sq",U$7,"bn",V$7,"dl",W$7,"")*IF(V76&gt;10, V76/100, VLOOKUP(V76, _rpe,SUBSTITUTE(U76,"+","")+1,0)), IF( SWITCH(Q76,"sq",U$7,"bn",V$7,"dl", W$7,"")&lt; IF(_uom="lbs", 175, 80), 1.25, IF(_uom="lbs",5,2.5))))), "")</f>
        <v/>
      </c>
      <c r="X76" s="148"/>
      <c r="Y76" s="33"/>
      <c r="Z76" s="171"/>
      <c r="AA76" s="124" t="str">
        <f>IFERROR(__xludf.DUMMYFUNCTION("IF(W76=MAX(FILTER(W$10:W$199,LOOKUP(ROW(Q$10:Q$199),FILTER(ROW(Q$10:Q$199),Q$10:Q$199&lt;&gt;Q$9:Q$198))=LOOKUP(ROW(Q76),FILTER(ROW(Q$10:Q$199),Q$10:Q$199&lt;&gt;Q$9:Q$198)))),X76,)"),"")</f>
        <v/>
      </c>
      <c r="AB76" s="122"/>
      <c r="AC76" s="33"/>
      <c r="AD76" s="143" t="str">
        <f t="shared" si="14"/>
        <v>BN 3: strength</v>
      </c>
      <c r="AE76" s="38" t="str">
        <f>IFERROR(__xludf.DUMMYFUNCTION("""COMPUTED_VALUE"""),"bn")</f>
        <v>bn</v>
      </c>
      <c r="AF76" s="144">
        <v>46125.0</v>
      </c>
      <c r="AG76" s="167" t="str">
        <f t="shared" si="54"/>
        <v>Bench Press</v>
      </c>
      <c r="AH76" s="168">
        <f t="shared" si="264"/>
        <v>1</v>
      </c>
      <c r="AI76" s="169">
        <v>1.0</v>
      </c>
      <c r="AJ76" s="173" t="s">
        <v>313</v>
      </c>
      <c r="AK76" s="171" t="str">
        <f t="array" ref="AK76">IFERROR(IF(AE76="ac"+ISNUMBER(SEARCH("'",AJ76))+AI76="","", IF(ISNUMBER(SEARCH("lw",AJ76)), W76 + SUBSTITUTE(AJ76,"lw+",""), MROUND(SWITCH(AE76,"sq",AI$7,"bn",AJ$7,"dl",AK$7,"")*IF(AJ76&gt;10, AJ76/100, VLOOKUP(AJ76, _rpe,SUBSTITUTE(AI76,"+","")+1,0)), IF( SWITCH(AE76,"sq",AI$7,"bn",AJ$7,"dl", AK$7,"")&lt; IF(_uom="lbs", 175, 80), 1.25, IF(_uom="lbs",5,2.5))))), "")</f>
        <v/>
      </c>
      <c r="AL76" s="148"/>
      <c r="AM76" s="33"/>
      <c r="AN76" s="171"/>
      <c r="AO76" s="124" t="str">
        <f>IFERROR(__xludf.DUMMYFUNCTION("IF(AK76=MAX(FILTER(AK$10:AK$199,LOOKUP(ROW(AE$10:AE$199),FILTER(ROW(AE$10:AE$199),AE$10:AE$199&lt;&gt;AE$9:AE$198))=LOOKUP(ROW(AE76),FILTER(ROW(AE$10:AE$199),AE$10:AE$199&lt;&gt;AE$9:AE$198)))),AL76,)"),"")</f>
        <v/>
      </c>
      <c r="AP76" s="122"/>
      <c r="AQ76" s="33"/>
      <c r="AR76" s="143" t="str">
        <f t="shared" si="16"/>
        <v>BN 3: strength</v>
      </c>
      <c r="AS76" s="38" t="str">
        <f>IFERROR(__xludf.DUMMYFUNCTION("""COMPUTED_VALUE"""),"bn")</f>
        <v>bn</v>
      </c>
      <c r="AT76" s="144">
        <v>46132.0</v>
      </c>
      <c r="AU76" s="167" t="str">
        <f t="shared" si="26"/>
        <v>Bench Press</v>
      </c>
      <c r="AV76" s="168">
        <f t="shared" si="152"/>
        <v>1</v>
      </c>
      <c r="AW76" s="169">
        <v>1.0</v>
      </c>
      <c r="AX76" s="173" t="s">
        <v>308</v>
      </c>
      <c r="AY76" s="171" t="str">
        <f t="array" ref="AY76">IFERROR(IF(AS76="ac"+ISNUMBER(SEARCH("'",AX76))+AW76="","", IF(ISNUMBER(SEARCH("lw",AX76)), AK76 + SUBSTITUTE(AX76,"lw+",""), MROUND(SWITCH(AS76,"sq",AW$7,"bn",AX$7,"dl",AY$7,"")*IF(AX76&gt;10, AX76/100, VLOOKUP(AX76, _rpe,SUBSTITUTE(AW76,"+","")+1,0)), IF( SWITCH(AS76,"sq",AW$7,"bn",AX$7,"dl", AY$7,"")&lt; IF(_uom="lbs", 175, 80), 1.25, IF(_uom="lbs",5,2.5))))), "")</f>
        <v/>
      </c>
      <c r="AZ76" s="148"/>
      <c r="BA76" s="33"/>
      <c r="BB76" s="171"/>
      <c r="BC76" s="124" t="str">
        <f>IFERROR(__xludf.DUMMYFUNCTION("IF(AY76=MAX(FILTER(AY$10:AY$199,LOOKUP(ROW(AS$10:AS$199),FILTER(ROW(AS$10:AS$199),AS$10:AS$199&lt;&gt;AS$9:AS$198))=LOOKUP(ROW(AS76),FILTER(ROW(AS$10:AS$199),AS$10:AS$199&lt;&gt;AS$9:AS$198)))),AZ76,)"),"")</f>
        <v/>
      </c>
      <c r="BD76" s="122"/>
      <c r="BE76" s="33"/>
      <c r="BF76" s="143" t="str">
        <f t="shared" si="17"/>
        <v>BN 3: strength</v>
      </c>
      <c r="BG76" s="38" t="str">
        <f>IFERROR(__xludf.DUMMYFUNCTION("""COMPUTED_VALUE"""),"bn")</f>
        <v>bn</v>
      </c>
      <c r="BH76" s="144">
        <v>46139.0</v>
      </c>
      <c r="BI76" s="167" t="str">
        <f t="shared" si="18"/>
        <v>Bench Press</v>
      </c>
      <c r="BJ76" s="168">
        <f>IF(OR(gen="SELECT",gen="MALE"), 3, 4)</f>
        <v>3</v>
      </c>
      <c r="BK76" s="169">
        <v>4.0</v>
      </c>
      <c r="BL76" s="172">
        <v>78.0</v>
      </c>
      <c r="BM76" s="171">
        <f t="array" ref="BM76">IFERROR(IF(BG76="ac"+ISNUMBER(SEARCH("'",BL76))+BK76="","", IF(ISNUMBER(SEARCH("lw",BL76)), AY76 + SUBSTITUTE(BL76,"lw+",""), MROUND(SWITCH(BG76,"sq",BK$7,"bn",BL$7,"dl",BM$7,"")*IF(BL76&gt;10, BL76/100, VLOOKUP(BL76, _rpe,SUBSTITUTE(BK76,"+","")+1,0)), IF( SWITCH(BG76,"sq",BK$7,"bn",BL$7,"dl", BM$7,"")&lt; IF(_uom="lbs", 175, 80), 1.25, IF(_uom="lbs",5,2.5))))), "")</f>
        <v>93.75</v>
      </c>
      <c r="BN76" s="148"/>
      <c r="BO76" s="33"/>
      <c r="BP76" s="171"/>
      <c r="BQ76" s="124" t="str">
        <f>IFERROR(__xludf.DUMMYFUNCTION("IF(BM76=MAX(FILTER(BM$10:BM$199,LOOKUP(ROW(BG$10:BG$199),FILTER(ROW(BG$10:BG$199),BG$10:BG$199&lt;&gt;BG$9:BG$198))=LOOKUP(ROW(BG76),FILTER(ROW(BG$10:BG$199),BG$10:BG$199&lt;&gt;BG$9:BG$198)))),BN76,)"),"")</f>
        <v/>
      </c>
      <c r="BR76" s="122"/>
      <c r="BS76" s="33"/>
      <c r="BT76" s="143" t="str">
        <f t="shared" si="19"/>
        <v>BN 3: strength</v>
      </c>
      <c r="BU76" s="38" t="str">
        <f>IFERROR(__xludf.DUMMYFUNCTION("""COMPUTED_VALUE"""),"bn")</f>
        <v>bn</v>
      </c>
      <c r="BV76" s="144">
        <v>46146.0</v>
      </c>
      <c r="BW76" s="167" t="str">
        <f t="shared" si="20"/>
        <v>Bench Press</v>
      </c>
      <c r="BX76" s="168">
        <v>2.0</v>
      </c>
      <c r="BY76" s="169">
        <v>1.0</v>
      </c>
      <c r="BZ76" s="173" t="s">
        <v>312</v>
      </c>
      <c r="CA76" s="171" t="str">
        <f t="array" ref="CA76">IFERROR(IF(BU76="ac"+ISNUMBER(SEARCH("'",BZ76))+BY76="","", IF(ISNUMBER(SEARCH("lw",BZ76)), BM76 + SUBSTITUTE(BZ76,"lw+",""), MROUND(SWITCH(BU76,"sq",BY$7,"bn",BZ$7,"dl",CA$7,"")*IF(BZ76&gt;10, BZ76/100, VLOOKUP(BZ76, _rpe,SUBSTITUTE(BY76,"+","")+1,0)), IF( SWITCH(BU76,"sq",BY$7,"bn",BZ$7,"dl", CA$7,"")&lt; IF(_uom="lbs", 175, 80), 1.25, IF(_uom="lbs",5,2.5))))), "")</f>
        <v/>
      </c>
      <c r="CB76" s="148"/>
      <c r="CC76" s="33"/>
      <c r="CD76" s="171"/>
      <c r="CE76" s="124" t="str">
        <f>IFERROR(__xludf.DUMMYFUNCTION("IF(CA76=MAX(FILTER(CA$10:CA$199,LOOKUP(ROW(BU$10:BU$199),FILTER(ROW(BU$10:BU$199),BU$10:BU$199&lt;&gt;BU$9:BU$198))=LOOKUP(ROW(BU76),FILTER(ROW(BU$10:BU$199),BU$10:BU$199&lt;&gt;BU$9:BU$198)))),CB76,)"),"")</f>
        <v/>
      </c>
      <c r="CF76" s="122"/>
      <c r="CG76" s="33"/>
      <c r="CH76" s="143" t="str">
        <f t="shared" si="21"/>
        <v>BN 3: strength</v>
      </c>
      <c r="CI76" s="38" t="str">
        <f>IFERROR(__xludf.DUMMYFUNCTION("""COMPUTED_VALUE"""),"bn")</f>
        <v>bn</v>
      </c>
      <c r="CJ76" s="144">
        <v>46153.0</v>
      </c>
      <c r="CK76" s="167" t="str">
        <f t="shared" si="27"/>
        <v>Bench Press</v>
      </c>
      <c r="CL76" s="168">
        <v>2.0</v>
      </c>
      <c r="CM76" s="169">
        <v>1.0</v>
      </c>
      <c r="CN76" s="173" t="s">
        <v>313</v>
      </c>
      <c r="CO76" s="171" t="str">
        <f t="array" ref="CO76">IFERROR(IF(CI76="ac"+ISNUMBER(SEARCH("'",CN76))+CM76="","", IF(ISNUMBER(SEARCH("lw",CN76)), CA76 + SUBSTITUTE(CN76,"lw+",""), MROUND(SWITCH(CI76,"sq",CM$7,"bn",CN$7,"dl",CO$7,"")*IF(CN76&gt;10, CN76/100, VLOOKUP(CN76, _rpe,SUBSTITUTE(CM76,"+","")+1,0)), IF( SWITCH(CI76,"sq",CM$7,"bn",CN$7,"dl", CO$7,"")&lt; IF(_uom="lbs", 175, 80), 1.25, IF(_uom="lbs",5,2.5))))), "")</f>
        <v/>
      </c>
      <c r="CP76" s="148"/>
      <c r="CQ76" s="33"/>
      <c r="CR76" s="171"/>
      <c r="CS76" s="124" t="str">
        <f>IFERROR(__xludf.DUMMYFUNCTION("IF(CO76=MAX(FILTER(CO$10:CO$199,LOOKUP(ROW(CI$10:CI$199),FILTER(ROW(CI$10:CI$199),CI$10:CI$199&lt;&gt;CI$9:CI$198))=LOOKUP(ROW(CI76),FILTER(ROW(CI$10:CI$199),CI$10:CI$199&lt;&gt;CI$9:CI$198)))),CP76,)"),"")</f>
        <v/>
      </c>
      <c r="CT76" s="122"/>
      <c r="CU76" s="33"/>
      <c r="CV76" s="143" t="str">
        <f t="shared" si="22"/>
        <v>BN 3: strength</v>
      </c>
      <c r="CW76" s="38" t="str">
        <f>IFERROR(__xludf.DUMMYFUNCTION("""COMPUTED_VALUE"""),"bn")</f>
        <v>bn</v>
      </c>
      <c r="CX76" s="144">
        <v>46160.0</v>
      </c>
      <c r="CY76" s="167" t="str">
        <f t="shared" si="28"/>
        <v>Bench Press</v>
      </c>
      <c r="CZ76" s="168">
        <v>1.0</v>
      </c>
      <c r="DA76" s="169">
        <v>1.0</v>
      </c>
      <c r="DB76" s="173" t="s">
        <v>345</v>
      </c>
      <c r="DC76" s="171" t="str">
        <f t="array" ref="DC76">IFERROR(IF(CW76="ac"+ISNUMBER(SEARCH("'",DB76))+DA76="","", IF(ISNUMBER(SEARCH("lw",DB76)), CO76 + SUBSTITUTE(DB76,"lw+",""), MROUND(SWITCH(CW76,"sq",DA$7,"bn",DB$7,"dl",DC$7,"")*IF(DB76&gt;10, DB76/100, VLOOKUP(DB76, _rpe,SUBSTITUTE(DA76,"+","")+1,0)), IF( SWITCH(CW76,"sq",DA$7,"bn",DB$7,"dl", DC$7,"")&lt; IF(_uom="lbs", 175, 80), 1.25, IF(_uom="lbs",5,2.5))))), "")</f>
        <v/>
      </c>
      <c r="DD76" s="148"/>
      <c r="DE76" s="33"/>
      <c r="DF76" s="171"/>
      <c r="DG76" s="124" t="str">
        <f>IFERROR(__xludf.DUMMYFUNCTION("IF(DC76=MAX(FILTER(DC$10:DC$199,LOOKUP(ROW(CW$10:CW$199),FILTER(ROW(CW$10:CW$199),CW$10:CW$199&lt;&gt;CW$9:CW$198))=LOOKUP(ROW(CW76),FILTER(ROW(CW$10:CW$199),CW$10:CW$199&lt;&gt;CW$9:CW$198)))),DD76,)"),"")</f>
        <v/>
      </c>
      <c r="DH76" s="122"/>
      <c r="DI76" s="33"/>
      <c r="DJ76" s="143" t="str">
        <f t="shared" si="23"/>
        <v>BN 3: strength</v>
      </c>
      <c r="DK76" s="38" t="str">
        <f>IFERROR(__xludf.DUMMYFUNCTION("""COMPUTED_VALUE"""),"sq")</f>
        <v>sq</v>
      </c>
      <c r="DL76" s="144">
        <v>46167.0</v>
      </c>
      <c r="DM76" s="167" t="s">
        <v>76</v>
      </c>
      <c r="DN76" s="168">
        <f>IF(ISBLANK(CZ76),"",CZ76)</f>
        <v>1</v>
      </c>
      <c r="DO76" s="169">
        <v>1.0</v>
      </c>
      <c r="DP76" s="173" t="s">
        <v>346</v>
      </c>
      <c r="DQ76" s="171" t="str">
        <f t="array" ref="DQ76">IFERROR(IF(DK76="ac"+ISNUMBER(SEARCH("'",DP76))+DO76="","", IF(ISNUMBER(SEARCH("lw",DP76)), DC76 + SUBSTITUTE(DP76,"lw+",""), MROUND(SWITCH(DK76,"sq",DO$7,"bn",DP$7,"dl",DQ$7,"")*IF(DP76&gt;10, DP76/100, VLOOKUP(DP76, _rpe,SUBSTITUTE(DO76,"+","")+1,0)), IF( SWITCH(DK76,"sq",DO$7,"bn",DP$7,"dl", DQ$7,"")&lt; IF(_uom="lbs", 175, 80), 1.25, IF(_uom="lbs",5,2.5))))), "")</f>
        <v/>
      </c>
      <c r="DR76" s="148"/>
      <c r="DS76" s="33"/>
      <c r="DT76" s="171"/>
      <c r="DU76" s="124" t="str">
        <f>IFERROR(__xludf.DUMMYFUNCTION("IF(DQ76=MAX(FILTER(DQ$10:DQ$199,LOOKUP(ROW(DK$10:DK$199),FILTER(ROW(DK$10:DK$199),DK$10:DK$199&lt;&gt;DK$9:DK$198))=LOOKUP(ROW(DK76),FILTER(ROW(DK$10:DK$199),DK$10:DK$199&lt;&gt;DK$9:DK$198)))),DR76,)"),"")</f>
        <v/>
      </c>
      <c r="DV76" s="122"/>
      <c r="DW76" s="33"/>
      <c r="DX76" s="143"/>
      <c r="DY76" s="38"/>
      <c r="DZ76" s="144"/>
      <c r="EA76" s="150"/>
      <c r="EB76" s="174"/>
      <c r="EC76" s="175"/>
      <c r="ED76" s="155"/>
      <c r="EE76" s="155"/>
      <c r="EF76" s="148"/>
      <c r="EG76" s="33"/>
      <c r="EH76" s="155"/>
      <c r="EI76" s="148"/>
      <c r="EJ76" s="33"/>
      <c r="EK76" s="33"/>
      <c r="EL76" s="143"/>
      <c r="EM76" s="38"/>
      <c r="EN76" s="144"/>
      <c r="EO76" s="150"/>
      <c r="EP76" s="174"/>
      <c r="EQ76" s="175"/>
      <c r="ER76" s="176"/>
      <c r="ES76" s="155"/>
      <c r="ET76" s="148"/>
      <c r="EU76" s="33"/>
      <c r="EV76" s="155"/>
      <c r="EW76" s="148"/>
      <c r="EX76" s="33"/>
      <c r="EY76" s="33"/>
      <c r="EZ76" s="143"/>
      <c r="FA76" s="38"/>
      <c r="FB76" s="144"/>
      <c r="FC76" s="150"/>
      <c r="FD76" s="174"/>
      <c r="FE76" s="175"/>
      <c r="FF76" s="176"/>
      <c r="FG76" s="155"/>
      <c r="FH76" s="148"/>
      <c r="FI76" s="33"/>
      <c r="FJ76" s="155"/>
      <c r="FK76" s="148"/>
      <c r="FL76" s="33"/>
      <c r="FM76" s="33"/>
      <c r="FN76" s="143"/>
      <c r="FO76" s="38"/>
      <c r="FP76" s="144"/>
      <c r="FQ76" s="150"/>
      <c r="FR76" s="174"/>
      <c r="FS76" s="175"/>
      <c r="FT76" s="176"/>
      <c r="FU76" s="155"/>
      <c r="FV76" s="148"/>
      <c r="FW76" s="33"/>
      <c r="FX76" s="155"/>
      <c r="FY76" s="148"/>
      <c r="FZ76" s="33"/>
      <c r="GA76" s="33"/>
      <c r="GB76" s="143"/>
      <c r="GC76" s="38"/>
      <c r="GD76" s="144"/>
      <c r="GE76" s="150"/>
      <c r="GF76" s="174"/>
      <c r="GG76" s="175"/>
      <c r="GH76" s="176"/>
      <c r="GI76" s="155"/>
      <c r="GJ76" s="148"/>
      <c r="GK76" s="33"/>
      <c r="GL76" s="155"/>
      <c r="GM76" s="148"/>
      <c r="GN76" s="33"/>
      <c r="GO76" s="33"/>
      <c r="GP76" s="143"/>
      <c r="GQ76" s="38"/>
      <c r="GR76" s="144"/>
      <c r="GS76" s="150"/>
      <c r="GT76" s="174"/>
      <c r="GU76" s="175"/>
      <c r="GV76" s="176"/>
      <c r="GW76" s="155"/>
      <c r="GX76" s="148"/>
      <c r="GY76" s="33"/>
      <c r="GZ76" s="155"/>
      <c r="HA76" s="148"/>
      <c r="HB76" s="33"/>
      <c r="HC76" s="33"/>
      <c r="HD76" s="143"/>
      <c r="HE76" s="38"/>
      <c r="HF76" s="144"/>
      <c r="HG76" s="150"/>
      <c r="HH76" s="174"/>
      <c r="HI76" s="175"/>
      <c r="HJ76" s="176"/>
      <c r="HK76" s="155"/>
      <c r="HL76" s="148"/>
      <c r="HM76" s="33"/>
      <c r="HN76" s="155"/>
      <c r="HO76" s="148"/>
      <c r="HP76" s="33"/>
      <c r="HQ76" s="33"/>
      <c r="HR76" s="143"/>
      <c r="HS76" s="38"/>
      <c r="HT76" s="144"/>
      <c r="HU76" s="150"/>
      <c r="HV76" s="174"/>
      <c r="HW76" s="175"/>
      <c r="HX76" s="176"/>
      <c r="HY76" s="155"/>
      <c r="HZ76" s="148"/>
      <c r="IA76" s="33"/>
      <c r="IB76" s="155"/>
      <c r="IC76" s="148"/>
      <c r="ID76" s="33"/>
      <c r="IE76" s="33"/>
      <c r="IF76" s="143"/>
      <c r="IG76" s="38"/>
      <c r="IH76" s="144"/>
      <c r="II76" s="150"/>
      <c r="IJ76" s="174"/>
      <c r="IK76" s="175"/>
      <c r="IL76" s="176"/>
      <c r="IM76" s="155"/>
      <c r="IN76" s="148"/>
      <c r="IO76" s="33"/>
      <c r="IP76" s="155"/>
      <c r="IQ76" s="148"/>
      <c r="IR76" s="33"/>
      <c r="IS76" s="33"/>
      <c r="IT76" s="143"/>
      <c r="IU76" s="38"/>
      <c r="IV76" s="144"/>
      <c r="IW76" s="143" t="str">
        <f t="shared" si="24"/>
        <v>#REF!</v>
      </c>
      <c r="IX76" s="38"/>
      <c r="IY76" s="144" t="e">
        <v>#REF!</v>
      </c>
    </row>
    <row r="77" outlineLevel="1">
      <c r="A77" s="33"/>
      <c r="B77" s="181"/>
      <c r="C77" s="38" t="str">
        <f>IFERROR(__xludf.DUMMYFUNCTION("""COMPUTED_VALUE"""),"bn")</f>
        <v>bn</v>
      </c>
      <c r="D77" s="144">
        <v>46111.0</v>
      </c>
      <c r="E77" s="167" t="s">
        <v>309</v>
      </c>
      <c r="F77" s="168">
        <f>IF(OR(gen="SELECT",gen="MALE"), 3, 4)</f>
        <v>3</v>
      </c>
      <c r="G77" s="169">
        <v>5.0</v>
      </c>
      <c r="H77" s="170">
        <v>77.0</v>
      </c>
      <c r="I77" s="171">
        <f t="array" ref="I77">IFERROR(IF(C77="ac"+ISNUMBER(SEARCH("'",H77))+G77="","", MROUND(SWITCH(C77,"sq",'Personal Info'!$O$15,"bn",'Personal Info'!$S$15,"dl",'Personal Info'!$W$15,"")*IF(H77&gt;10, H77/100, VLOOKUP(H77, _rpe,SUBSTITUTE(G77,"+","")+1,0)), IF( SWITCH(C77:C210,"sq",'Personal Info'!$O$15,"bn",'Personal Info'!$S$15,"dl", 'Personal Info'!$W$15,"")&lt; IF(_uom="lbs", 175, 80), 1.25, IF(_uom="lbs",5,2.5)))),"")</f>
        <v>92.5</v>
      </c>
      <c r="J77" s="148"/>
      <c r="K77" s="33"/>
      <c r="L77" s="171"/>
      <c r="M77" s="124" t="str">
        <f>IFERROR(__xludf.DUMMYFUNCTION("IF(I77=MAX(FILTER(I$10:I$199,LOOKUP(ROW(C$10:C$199),FILTER(ROW(C$10:C$199),C$10:C$199&lt;&gt;C$9:C$198))=LOOKUP(ROW(C77),FILTER(ROW(C$10:C$199),C$10:C$199&lt;&gt;C$9:C$198)))),J77,)"),"")</f>
        <v/>
      </c>
      <c r="N77" s="122"/>
      <c r="O77" s="33"/>
      <c r="P77" s="143" t="str">
        <f t="shared" si="12"/>
        <v/>
      </c>
      <c r="Q77" s="38" t="str">
        <f>IFERROR(__xludf.DUMMYFUNCTION("""COMPUTED_VALUE"""),"bn")</f>
        <v>bn</v>
      </c>
      <c r="R77" s="144">
        <v>46118.0</v>
      </c>
      <c r="S77" s="167" t="str">
        <f t="shared" si="13"/>
        <v>-</v>
      </c>
      <c r="T77" s="168">
        <f>IF(OR(gen="SELECT",gen="MALE"), 3, 4)</f>
        <v>3</v>
      </c>
      <c r="U77" s="169">
        <f t="shared" si="262"/>
        <v>5</v>
      </c>
      <c r="V77" s="172">
        <v>79.0</v>
      </c>
      <c r="W77" s="171">
        <f t="array" ref="W77">IFERROR(IF(Q77="ac"+ISNUMBER(SEARCH("'",V77))+U77="","", IF(ISNUMBER(SEARCH("lw",V77)), I77 + SUBSTITUTE(V77,"lw+",""), MROUND(SWITCH(Q77,"sq",U$7,"bn",V$7,"dl",W$7,"")*IF(V77&gt;10, V77/100, VLOOKUP(V77, _rpe,SUBSTITUTE(U77,"+","")+1,0)), IF( SWITCH(Q77,"sq",U$7,"bn",V$7,"dl", W$7,"")&lt; IF(_uom="lbs", 175, 80), 1.25, IF(_uom="lbs",5,2.5))))), "")</f>
        <v>95</v>
      </c>
      <c r="X77" s="148"/>
      <c r="Y77" s="33"/>
      <c r="Z77" s="171"/>
      <c r="AA77" s="124" t="str">
        <f>IFERROR(__xludf.DUMMYFUNCTION("IF(W77=MAX(FILTER(W$10:W$199,LOOKUP(ROW(Q$10:Q$199),FILTER(ROW(Q$10:Q$199),Q$10:Q$199&lt;&gt;Q$9:Q$198))=LOOKUP(ROW(Q77),FILTER(ROW(Q$10:Q$199),Q$10:Q$199&lt;&gt;Q$9:Q$198)))),X77,)"),"")</f>
        <v/>
      </c>
      <c r="AB77" s="122"/>
      <c r="AC77" s="33"/>
      <c r="AD77" s="143" t="str">
        <f t="shared" si="14"/>
        <v/>
      </c>
      <c r="AE77" s="38" t="str">
        <f>IFERROR(__xludf.DUMMYFUNCTION("""COMPUTED_VALUE"""),"bn")</f>
        <v>bn</v>
      </c>
      <c r="AF77" s="144">
        <v>46125.0</v>
      </c>
      <c r="AG77" s="167" t="str">
        <f t="shared" si="54"/>
        <v>-</v>
      </c>
      <c r="AH77" s="168">
        <f>IF(OR(gen="SELECT",gen="MALE"), 3, 4)</f>
        <v>3</v>
      </c>
      <c r="AI77" s="169">
        <v>5.0</v>
      </c>
      <c r="AJ77" s="172">
        <v>81.0</v>
      </c>
      <c r="AK77" s="171">
        <f t="array" ref="AK77">IFERROR(IF(AE77="ac"+ISNUMBER(SEARCH("'",AJ77))+AI77="","", IF(ISNUMBER(SEARCH("lw",AJ77)), W77 + SUBSTITUTE(AJ77,"lw+",""), MROUND(SWITCH(AE77,"sq",AI$7,"bn",AJ$7,"dl",AK$7,"")*IF(AJ77&gt;10, AJ77/100, VLOOKUP(AJ77, _rpe,SUBSTITUTE(AI77,"+","")+1,0)), IF( SWITCH(AE77,"sq",AI$7,"bn",AJ$7,"dl", AK$7,"")&lt; IF(_uom="lbs", 175, 80), 1.25, IF(_uom="lbs",5,2.5))))), "")</f>
        <v>97.5</v>
      </c>
      <c r="AL77" s="148"/>
      <c r="AM77" s="33"/>
      <c r="AN77" s="171"/>
      <c r="AO77" s="124" t="str">
        <f>IFERROR(__xludf.DUMMYFUNCTION("IF(AK77=MAX(FILTER(AK$10:AK$199,LOOKUP(ROW(AE$10:AE$199),FILTER(ROW(AE$10:AE$199),AE$10:AE$199&lt;&gt;AE$9:AE$198))=LOOKUP(ROW(AE77),FILTER(ROW(AE$10:AE$199),AE$10:AE$199&lt;&gt;AE$9:AE$198)))),AL77,)"),"")</f>
        <v/>
      </c>
      <c r="AP77" s="122"/>
      <c r="AQ77" s="33"/>
      <c r="AR77" s="143" t="str">
        <f t="shared" si="16"/>
        <v/>
      </c>
      <c r="AS77" s="38" t="str">
        <f>IFERROR(__xludf.DUMMYFUNCTION("""COMPUTED_VALUE"""),"bn")</f>
        <v>bn</v>
      </c>
      <c r="AT77" s="144">
        <v>46132.0</v>
      </c>
      <c r="AU77" s="167" t="str">
        <f t="shared" si="26"/>
        <v>-</v>
      </c>
      <c r="AV77" s="168">
        <f>IF(OR(gen="SELECT",gen="MALE"), 3, 4)</f>
        <v>3</v>
      </c>
      <c r="AW77" s="169">
        <v>5.0</v>
      </c>
      <c r="AX77" s="172">
        <v>84.0</v>
      </c>
      <c r="AY77" s="171">
        <f t="array" ref="AY77">IFERROR(IF(AS77="ac"+ISNUMBER(SEARCH("'",AX77))+AW77="","", IF(ISNUMBER(SEARCH("lw",AX77)), AK77 + SUBSTITUTE(AX77,"lw+",""), MROUND(SWITCH(AS77,"sq",AW$7,"bn",AX$7,"dl",AY$7,"")*IF(AX77&gt;10, AX77/100, VLOOKUP(AX77, _rpe,SUBSTITUTE(AW77,"+","")+1,0)), IF( SWITCH(AS77,"sq",AW$7,"bn",AX$7,"dl", AY$7,"")&lt; IF(_uom="lbs", 175, 80), 1.25, IF(_uom="lbs",5,2.5))))), "")</f>
        <v>101.25</v>
      </c>
      <c r="AZ77" s="148"/>
      <c r="BA77" s="33"/>
      <c r="BB77" s="171"/>
      <c r="BC77" s="124" t="str">
        <f>IFERROR(__xludf.DUMMYFUNCTION("IF(AY77=MAX(FILTER(AY$10:AY$199,LOOKUP(ROW(AS$10:AS$199),FILTER(ROW(AS$10:AS$199),AS$10:AS$199&lt;&gt;AS$9:AS$198))=LOOKUP(ROW(AS77),FILTER(ROW(AS$10:AS$199),AS$10:AS$199&lt;&gt;AS$9:AS$198)))),AZ77,)"),"")</f>
        <v/>
      </c>
      <c r="BD77" s="122"/>
      <c r="BE77" s="33"/>
      <c r="BF77" s="143" t="str">
        <f t="shared" si="17"/>
        <v/>
      </c>
      <c r="BG77" s="38" t="str">
        <f>IFERROR(__xludf.DUMMYFUNCTION("""COMPUTED_VALUE"""),"bn")</f>
        <v>bn</v>
      </c>
      <c r="BH77" s="144">
        <v>46139.0</v>
      </c>
      <c r="BI77" s="167" t="str">
        <f t="shared" si="18"/>
        <v>-</v>
      </c>
      <c r="BJ77" s="168"/>
      <c r="BK77" s="169"/>
      <c r="BL77" s="172"/>
      <c r="BM77" s="171" t="str">
        <f t="array" ref="BM77">IFERROR(IF(BG77="ac"+ISNUMBER(SEARCH("'",BL77))+BK77="","", IF(ISNUMBER(SEARCH("lw",BL77)), AY77 + SUBSTITUTE(BL77,"lw+",""), MROUND(SWITCH(BG77,"sq",BK$7,"bn",BL$7,"dl",BM$7,"")*IF(BL77&gt;10, BL77/100, VLOOKUP(BL77, _rpe,SUBSTITUTE(BK77,"+","")+1,0)), IF( SWITCH(BG77,"sq",BK$7,"bn",BL$7,"dl", BM$7,"")&lt; IF(_uom="lbs", 175, 80), 1.25, IF(_uom="lbs",5,2.5))))), "")</f>
        <v/>
      </c>
      <c r="BN77" s="148"/>
      <c r="BO77" s="33"/>
      <c r="BP77" s="171"/>
      <c r="BQ77" s="124" t="str">
        <f>IFERROR(__xludf.DUMMYFUNCTION("IF(BM77=MAX(FILTER(BM$10:BM$199,LOOKUP(ROW(BG$10:BG$199),FILTER(ROW(BG$10:BG$199),BG$10:BG$199&lt;&gt;BG$9:BG$198))=LOOKUP(ROW(BG77),FILTER(ROW(BG$10:BG$199),BG$10:BG$199&lt;&gt;BG$9:BG$198)))),BN77,)"),"")</f>
        <v/>
      </c>
      <c r="BR77" s="122"/>
      <c r="BS77" s="33"/>
      <c r="BT77" s="143" t="str">
        <f t="shared" si="19"/>
        <v/>
      </c>
      <c r="BU77" s="38" t="str">
        <f>IFERROR(__xludf.DUMMYFUNCTION("""COMPUTED_VALUE"""),"bn")</f>
        <v>bn</v>
      </c>
      <c r="BV77" s="144">
        <v>46146.0</v>
      </c>
      <c r="BW77" s="167" t="str">
        <f t="shared" si="20"/>
        <v>-</v>
      </c>
      <c r="BX77" s="168">
        <f>IF(OR(gen="SELECT",gen="MALE"), 3, 4)</f>
        <v>3</v>
      </c>
      <c r="BY77" s="169">
        <v>4.0</v>
      </c>
      <c r="BZ77" s="172">
        <v>81.0</v>
      </c>
      <c r="CA77" s="171">
        <f t="array" ref="CA77">IFERROR(IF(BU77="ac"+ISNUMBER(SEARCH("'",BZ77))+BY77="","", IF(ISNUMBER(SEARCH("lw",BZ77)), BM77 + SUBSTITUTE(BZ77,"lw+",""), MROUND(SWITCH(BU77,"sq",BY$7,"bn",BZ$7,"dl",CA$7,"")*IF(BZ77&gt;10, BZ77/100, VLOOKUP(BZ77, _rpe,SUBSTITUTE(BY77,"+","")+1,0)), IF( SWITCH(BU77,"sq",BY$7,"bn",BZ$7,"dl", CA$7,"")&lt; IF(_uom="lbs", 175, 80), 1.25, IF(_uom="lbs",5,2.5))))), "")</f>
        <v>97.5</v>
      </c>
      <c r="CB77" s="148"/>
      <c r="CC77" s="33"/>
      <c r="CD77" s="171"/>
      <c r="CE77" s="124" t="str">
        <f>IFERROR(__xludf.DUMMYFUNCTION("IF(CA77=MAX(FILTER(CA$10:CA$199,LOOKUP(ROW(BU$10:BU$199),FILTER(ROW(BU$10:BU$199),BU$10:BU$199&lt;&gt;BU$9:BU$198))=LOOKUP(ROW(BU77),FILTER(ROW(BU$10:BU$199),BU$10:BU$199&lt;&gt;BU$9:BU$198)))),CB77,)"),"")</f>
        <v/>
      </c>
      <c r="CF77" s="122"/>
      <c r="CG77" s="33"/>
      <c r="CH77" s="143" t="str">
        <f t="shared" si="21"/>
        <v/>
      </c>
      <c r="CI77" s="38" t="str">
        <f>IFERROR(__xludf.DUMMYFUNCTION("""COMPUTED_VALUE"""),"bn")</f>
        <v>bn</v>
      </c>
      <c r="CJ77" s="144">
        <v>46153.0</v>
      </c>
      <c r="CK77" s="167" t="str">
        <f t="shared" si="27"/>
        <v>-</v>
      </c>
      <c r="CL77" s="168">
        <f>IF(OR(gen="SELECT",gen="MALE"), 3, 4)</f>
        <v>3</v>
      </c>
      <c r="CM77" s="169">
        <v>4.0</v>
      </c>
      <c r="CN77" s="172">
        <v>84.0</v>
      </c>
      <c r="CO77" s="171">
        <f t="array" ref="CO77">IFERROR(IF(CI77="ac"+ISNUMBER(SEARCH("'",CN77))+CM77="","", IF(ISNUMBER(SEARCH("lw",CN77)), CA77 + SUBSTITUTE(CN77,"lw+",""), MROUND(SWITCH(CI77,"sq",CM$7,"bn",CN$7,"dl",CO$7,"")*IF(CN77&gt;10, CN77/100, VLOOKUP(CN77, _rpe,SUBSTITUTE(CM77,"+","")+1,0)), IF( SWITCH(CI77,"sq",CM$7,"bn",CN$7,"dl", CO$7,"")&lt; IF(_uom="lbs", 175, 80), 1.25, IF(_uom="lbs",5,2.5))))), "")</f>
        <v>101.25</v>
      </c>
      <c r="CP77" s="148"/>
      <c r="CQ77" s="33"/>
      <c r="CR77" s="171"/>
      <c r="CS77" s="124" t="str">
        <f>IFERROR(__xludf.DUMMYFUNCTION("IF(CO77=MAX(FILTER(CO$10:CO$199,LOOKUP(ROW(CI$10:CI$199),FILTER(ROW(CI$10:CI$199),CI$10:CI$199&lt;&gt;CI$9:CI$198))=LOOKUP(ROW(CI77),FILTER(ROW(CI$10:CI$199),CI$10:CI$199&lt;&gt;CI$9:CI$198)))),CP77,)"),"")</f>
        <v/>
      </c>
      <c r="CT77" s="122"/>
      <c r="CU77" s="33"/>
      <c r="CV77" s="143" t="str">
        <f t="shared" si="22"/>
        <v/>
      </c>
      <c r="CW77" s="38" t="str">
        <f>IFERROR(__xludf.DUMMYFUNCTION("""COMPUTED_VALUE"""),"bn")</f>
        <v>bn</v>
      </c>
      <c r="CX77" s="144">
        <v>46160.0</v>
      </c>
      <c r="CY77" s="167" t="str">
        <f t="shared" si="28"/>
        <v>-</v>
      </c>
      <c r="CZ77" s="168">
        <f>IF(OR(gen="SELECT",gen="MALE"), 4, 5)</f>
        <v>4</v>
      </c>
      <c r="DA77" s="169">
        <v>3.0</v>
      </c>
      <c r="DB77" s="172">
        <v>86.0</v>
      </c>
      <c r="DC77" s="171">
        <f t="array" ref="DC77">IFERROR(IF(CW77="ac"+ISNUMBER(SEARCH("'",DB77))+DA77="","", IF(ISNUMBER(SEARCH("lw",DB77)), CO77 + SUBSTITUTE(DB77,"lw+",""), MROUND(SWITCH(CW77,"sq",DA$7,"bn",DB$7,"dl",DC$7,"")*IF(DB77&gt;10, DB77/100, VLOOKUP(DB77, _rpe,SUBSTITUTE(DA77,"+","")+1,0)), IF( SWITCH(CW77,"sq",DA$7,"bn",DB$7,"dl", DC$7,"")&lt; IF(_uom="lbs", 175, 80), 1.25, IF(_uom="lbs",5,2.5))))), "")</f>
        <v>103.75</v>
      </c>
      <c r="DD77" s="148"/>
      <c r="DE77" s="33"/>
      <c r="DF77" s="171"/>
      <c r="DG77" s="124" t="str">
        <f>IFERROR(__xludf.DUMMYFUNCTION("IF(DC77=MAX(FILTER(DC$10:DC$199,LOOKUP(ROW(CW$10:CW$199),FILTER(ROW(CW$10:CW$199),CW$10:CW$199&lt;&gt;CW$9:CW$198))=LOOKUP(ROW(CW77),FILTER(ROW(CW$10:CW$199),CW$10:CW$199&lt;&gt;CW$9:CW$198)))),DD77,)"),"")</f>
        <v/>
      </c>
      <c r="DH77" s="122"/>
      <c r="DI77" s="33"/>
      <c r="DJ77" s="143" t="str">
        <f t="shared" si="23"/>
        <v/>
      </c>
      <c r="DK77" s="38" t="str">
        <f>IFERROR(__xludf.DUMMYFUNCTION("""COMPUTED_VALUE"""),"bn")</f>
        <v>bn</v>
      </c>
      <c r="DL77" s="144">
        <v>46167.0</v>
      </c>
      <c r="DM77" s="167" t="s">
        <v>77</v>
      </c>
      <c r="DN77" s="168">
        <v>1.0</v>
      </c>
      <c r="DO77" s="169">
        <v>1.0</v>
      </c>
      <c r="DP77" s="173" t="s">
        <v>346</v>
      </c>
      <c r="DQ77" s="171" t="str">
        <f t="array" ref="DQ77">IFERROR(IF(DK77="ac"+ISNUMBER(SEARCH("'",DP77))+DO77="","", IF(ISNUMBER(SEARCH("lw",DP77)), DC77 + SUBSTITUTE(DP77,"lw+",""), MROUND(SWITCH(DK77,"sq",DO$7,"bn",DP$7,"dl",DQ$7,"")*IF(DP77&gt;10, DP77/100, VLOOKUP(DP77, _rpe,SUBSTITUTE(DO77,"+","")+1,0)), IF( SWITCH(DK77,"sq",DO$7,"bn",DP$7,"dl", DQ$7,"")&lt; IF(_uom="lbs", 175, 80), 1.25, IF(_uom="lbs",5,2.5))))), "")</f>
        <v/>
      </c>
      <c r="DR77" s="148"/>
      <c r="DS77" s="33"/>
      <c r="DT77" s="171"/>
      <c r="DU77" s="124" t="str">
        <f>IFERROR(__xludf.DUMMYFUNCTION("IF(DQ77=MAX(FILTER(DQ$10:DQ$199,LOOKUP(ROW(DK$10:DK$199),FILTER(ROW(DK$10:DK$199),DK$10:DK$199&lt;&gt;DK$9:DK$198))=LOOKUP(ROW(DK77),FILTER(ROW(DK$10:DK$199),DK$10:DK$199&lt;&gt;DK$9:DK$198)))),DR77,)"),"")</f>
        <v/>
      </c>
      <c r="DV77" s="122"/>
      <c r="DW77" s="33"/>
      <c r="DX77" s="143"/>
      <c r="DY77" s="38"/>
      <c r="DZ77" s="144"/>
      <c r="EA77" s="150"/>
      <c r="EB77" s="174"/>
      <c r="EC77" s="175"/>
      <c r="ED77" s="176"/>
      <c r="EE77" s="155"/>
      <c r="EF77" s="148"/>
      <c r="EG77" s="33"/>
      <c r="EH77" s="155"/>
      <c r="EI77" s="148"/>
      <c r="EJ77" s="33"/>
      <c r="EK77" s="33"/>
      <c r="EL77" s="143"/>
      <c r="EM77" s="38"/>
      <c r="EN77" s="144"/>
      <c r="EO77" s="150"/>
      <c r="EP77" s="174"/>
      <c r="EQ77" s="175"/>
      <c r="ER77" s="176"/>
      <c r="ES77" s="155"/>
      <c r="ET77" s="148"/>
      <c r="EU77" s="33"/>
      <c r="EV77" s="155"/>
      <c r="EW77" s="148"/>
      <c r="EX77" s="33"/>
      <c r="EY77" s="33"/>
      <c r="EZ77" s="143"/>
      <c r="FA77" s="38"/>
      <c r="FB77" s="144"/>
      <c r="FC77" s="150"/>
      <c r="FD77" s="174"/>
      <c r="FE77" s="175"/>
      <c r="FF77" s="176"/>
      <c r="FG77" s="155"/>
      <c r="FH77" s="148"/>
      <c r="FI77" s="33"/>
      <c r="FJ77" s="155"/>
      <c r="FK77" s="148"/>
      <c r="FL77" s="33"/>
      <c r="FM77" s="33"/>
      <c r="FN77" s="143"/>
      <c r="FO77" s="38"/>
      <c r="FP77" s="144"/>
      <c r="FQ77" s="150"/>
      <c r="FR77" s="174"/>
      <c r="FS77" s="175"/>
      <c r="FT77" s="176"/>
      <c r="FU77" s="155"/>
      <c r="FV77" s="148"/>
      <c r="FW77" s="33"/>
      <c r="FX77" s="155"/>
      <c r="FY77" s="148"/>
      <c r="FZ77" s="33"/>
      <c r="GA77" s="33"/>
      <c r="GB77" s="143"/>
      <c r="GC77" s="38"/>
      <c r="GD77" s="144"/>
      <c r="GE77" s="150"/>
      <c r="GF77" s="174"/>
      <c r="GG77" s="175"/>
      <c r="GH77" s="176"/>
      <c r="GI77" s="155"/>
      <c r="GJ77" s="148"/>
      <c r="GK77" s="33"/>
      <c r="GL77" s="155"/>
      <c r="GM77" s="148"/>
      <c r="GN77" s="33"/>
      <c r="GO77" s="33"/>
      <c r="GP77" s="143"/>
      <c r="GQ77" s="38"/>
      <c r="GR77" s="144"/>
      <c r="GS77" s="150"/>
      <c r="GT77" s="174"/>
      <c r="GU77" s="175"/>
      <c r="GV77" s="176"/>
      <c r="GW77" s="155"/>
      <c r="GX77" s="148"/>
      <c r="GY77" s="33"/>
      <c r="GZ77" s="155"/>
      <c r="HA77" s="148"/>
      <c r="HB77" s="33"/>
      <c r="HC77" s="33"/>
      <c r="HD77" s="143"/>
      <c r="HE77" s="38"/>
      <c r="HF77" s="144"/>
      <c r="HG77" s="150"/>
      <c r="HH77" s="174"/>
      <c r="HI77" s="175"/>
      <c r="HJ77" s="176"/>
      <c r="HK77" s="155"/>
      <c r="HL77" s="148"/>
      <c r="HM77" s="33"/>
      <c r="HN77" s="155"/>
      <c r="HO77" s="148"/>
      <c r="HP77" s="33"/>
      <c r="HQ77" s="33"/>
      <c r="HR77" s="143"/>
      <c r="HS77" s="38"/>
      <c r="HT77" s="144"/>
      <c r="HU77" s="150"/>
      <c r="HV77" s="174"/>
      <c r="HW77" s="175"/>
      <c r="HX77" s="176"/>
      <c r="HY77" s="155"/>
      <c r="HZ77" s="148"/>
      <c r="IA77" s="33"/>
      <c r="IB77" s="155"/>
      <c r="IC77" s="148"/>
      <c r="ID77" s="33"/>
      <c r="IE77" s="33"/>
      <c r="IF77" s="143"/>
      <c r="IG77" s="38"/>
      <c r="IH77" s="144"/>
      <c r="II77" s="150"/>
      <c r="IJ77" s="174"/>
      <c r="IK77" s="175"/>
      <c r="IL77" s="176"/>
      <c r="IM77" s="155"/>
      <c r="IN77" s="148"/>
      <c r="IO77" s="33"/>
      <c r="IP77" s="155"/>
      <c r="IQ77" s="148"/>
      <c r="IR77" s="33"/>
      <c r="IS77" s="33"/>
      <c r="IT77" s="143"/>
      <c r="IU77" s="38"/>
      <c r="IV77" s="144"/>
      <c r="IW77" s="143" t="str">
        <f t="shared" si="24"/>
        <v>#REF!</v>
      </c>
      <c r="IX77" s="38"/>
      <c r="IY77" s="144" t="e">
        <v>#REF!</v>
      </c>
    </row>
    <row r="78" outlineLevel="1">
      <c r="A78" s="33"/>
      <c r="B78" s="143" t="s">
        <v>334</v>
      </c>
      <c r="C78" s="38" t="str">
        <f>IFERROR(__xludf.DUMMYFUNCTION("""COMPUTED_VALUE"""),"bn")</f>
        <v>bn</v>
      </c>
      <c r="D78" s="144">
        <v>46111.0</v>
      </c>
      <c r="E78" s="167" t="s">
        <v>271</v>
      </c>
      <c r="F78" s="168">
        <v>3.0</v>
      </c>
      <c r="G78" s="169">
        <v>6.0</v>
      </c>
      <c r="H78" s="173" t="s">
        <v>312</v>
      </c>
      <c r="I78" s="171" t="str">
        <f t="array" ref="I78">IFERROR(IF(C78="ac"+ISNUMBER(SEARCH("'",H78))+G78="","", MROUND(SWITCH(C78,"sq",'Personal Info'!$O$15,"bn",'Personal Info'!$S$15,"dl",'Personal Info'!$W$15,"")*IF(H78&gt;10, H78/100, VLOOKUP(H78, _rpe,SUBSTITUTE(G78,"+","")+1,0)), IF( SWITCH(C78:C210,"sq",'Personal Info'!$O$15,"bn",'Personal Info'!$S$15,"dl", 'Personal Info'!$W$15,"")&lt; IF(_uom="lbs", 175, 80), 1.25, IF(_uom="lbs",5,2.5)))),"")</f>
        <v/>
      </c>
      <c r="J78" s="148"/>
      <c r="K78" s="33"/>
      <c r="L78" s="171"/>
      <c r="M78" s="124" t="str">
        <f>IFERROR(__xludf.DUMMYFUNCTION("IF(I78=MAX(FILTER(I$10:I$199,LOOKUP(ROW(C$10:C$199),FILTER(ROW(C$10:C$199),C$10:C$199&lt;&gt;C$9:C$198))=LOOKUP(ROW(C78),FILTER(ROW(C$10:C$199),C$10:C$199&lt;&gt;C$9:C$198)))),J78,)"),"")</f>
        <v/>
      </c>
      <c r="N78" s="122"/>
      <c r="O78" s="33"/>
      <c r="P78" s="143" t="str">
        <f t="shared" si="12"/>
        <v>chest acc</v>
      </c>
      <c r="Q78" s="38" t="str">
        <f>IFERROR(__xludf.DUMMYFUNCTION("""COMPUTED_VALUE"""),"bn")</f>
        <v>bn</v>
      </c>
      <c r="R78" s="144">
        <v>46118.0</v>
      </c>
      <c r="S78" s="167" t="str">
        <f t="shared" si="13"/>
        <v>Feet-up Bench Press</v>
      </c>
      <c r="T78" s="168">
        <v>3.0</v>
      </c>
      <c r="U78" s="169">
        <v>6.0</v>
      </c>
      <c r="V78" s="173" t="s">
        <v>307</v>
      </c>
      <c r="W78" s="171" t="str">
        <f t="array" ref="W78">IFERROR(IF(Q78="ac"+ISNUMBER(SEARCH("'",V78))+U78="","", IF(ISNUMBER(SEARCH("lw",V78)), I78 + SUBSTITUTE(V78,"lw+",""), MROUND(SWITCH(Q78,"sq",U$7,"bn",V$7,"dl",W$7,"")*IF(V78&gt;10, V78/100, VLOOKUP(V78, _rpe,SUBSTITUTE(U78,"+","")+1,0)), IF( SWITCH(Q78,"sq",U$7,"bn",V$7,"dl", W$7,"")&lt; IF(_uom="lbs", 175, 80), 1.25, IF(_uom="lbs",5,2.5))))), "")</f>
        <v/>
      </c>
      <c r="X78" s="148"/>
      <c r="Y78" s="33"/>
      <c r="Z78" s="171"/>
      <c r="AA78" s="124" t="str">
        <f>IFERROR(__xludf.DUMMYFUNCTION("IF(W78=MAX(FILTER(W$10:W$199,LOOKUP(ROW(Q$10:Q$199),FILTER(ROW(Q$10:Q$199),Q$10:Q$199&lt;&gt;Q$9:Q$198))=LOOKUP(ROW(Q78),FILTER(ROW(Q$10:Q$199),Q$10:Q$199&lt;&gt;Q$9:Q$198)))),X78,)"),"")</f>
        <v/>
      </c>
      <c r="AB78" s="122"/>
      <c r="AC78" s="33"/>
      <c r="AD78" s="143" t="str">
        <f t="shared" si="14"/>
        <v>chest acc</v>
      </c>
      <c r="AE78" s="38" t="str">
        <f>IFERROR(__xludf.DUMMYFUNCTION("""COMPUTED_VALUE"""),"bn")</f>
        <v>bn</v>
      </c>
      <c r="AF78" s="144">
        <v>46125.0</v>
      </c>
      <c r="AG78" s="167" t="str">
        <f t="shared" si="54"/>
        <v>Feet-up Bench Press</v>
      </c>
      <c r="AH78" s="168">
        <v>3.0</v>
      </c>
      <c r="AI78" s="169">
        <v>6.0</v>
      </c>
      <c r="AJ78" s="173" t="s">
        <v>313</v>
      </c>
      <c r="AK78" s="171" t="str">
        <f t="array" ref="AK78">IFERROR(IF(AE78="ac"+ISNUMBER(SEARCH("'",AJ78))+AI78="","", IF(ISNUMBER(SEARCH("lw",AJ78)), W78 + SUBSTITUTE(AJ78,"lw+",""), MROUND(SWITCH(AE78,"sq",AI$7,"bn",AJ$7,"dl",AK$7,"")*IF(AJ78&gt;10, AJ78/100, VLOOKUP(AJ78, _rpe,SUBSTITUTE(AI78,"+","")+1,0)), IF( SWITCH(AE78,"sq",AI$7,"bn",AJ$7,"dl", AK$7,"")&lt; IF(_uom="lbs", 175, 80), 1.25, IF(_uom="lbs",5,2.5))))), "")</f>
        <v/>
      </c>
      <c r="AL78" s="148"/>
      <c r="AM78" s="33"/>
      <c r="AN78" s="171"/>
      <c r="AO78" s="124" t="str">
        <f>IFERROR(__xludf.DUMMYFUNCTION("IF(AK78=MAX(FILTER(AK$10:AK$199,LOOKUP(ROW(AE$10:AE$199),FILTER(ROW(AE$10:AE$199),AE$10:AE$199&lt;&gt;AE$9:AE$198))=LOOKUP(ROW(AE78),FILTER(ROW(AE$10:AE$199),AE$10:AE$199&lt;&gt;AE$9:AE$198)))),AL78,)"),"")</f>
        <v/>
      </c>
      <c r="AP78" s="122"/>
      <c r="AQ78" s="33"/>
      <c r="AR78" s="143" t="str">
        <f t="shared" si="16"/>
        <v>chest acc</v>
      </c>
      <c r="AS78" s="38" t="str">
        <f>IFERROR(__xludf.DUMMYFUNCTION("""COMPUTED_VALUE"""),"bn")</f>
        <v>bn</v>
      </c>
      <c r="AT78" s="144">
        <v>46132.0</v>
      </c>
      <c r="AU78" s="167" t="str">
        <f t="shared" si="26"/>
        <v>Feet-up Bench Press</v>
      </c>
      <c r="AV78" s="168">
        <v>3.0</v>
      </c>
      <c r="AW78" s="169">
        <v>6.0</v>
      </c>
      <c r="AX78" s="173" t="s">
        <v>308</v>
      </c>
      <c r="AY78" s="171" t="str">
        <f t="array" ref="AY78">IFERROR(IF(AS78="ac"+ISNUMBER(SEARCH("'",AX78))+AW78="","", IF(ISNUMBER(SEARCH("lw",AX78)), AK78 + SUBSTITUTE(AX78,"lw+",""), MROUND(SWITCH(AS78,"sq",AW$7,"bn",AX$7,"dl",AY$7,"")*IF(AX78&gt;10, AX78/100, VLOOKUP(AX78, _rpe,SUBSTITUTE(AW78,"+","")+1,0)), IF( SWITCH(AS78,"sq",AW$7,"bn",AX$7,"dl", AY$7,"")&lt; IF(_uom="lbs", 175, 80), 1.25, IF(_uom="lbs",5,2.5))))), "")</f>
        <v/>
      </c>
      <c r="AZ78" s="148"/>
      <c r="BA78" s="33"/>
      <c r="BB78" s="171"/>
      <c r="BC78" s="124" t="str">
        <f>IFERROR(__xludf.DUMMYFUNCTION("IF(AY78=MAX(FILTER(AY$10:AY$199,LOOKUP(ROW(AS$10:AS$199),FILTER(ROW(AS$10:AS$199),AS$10:AS$199&lt;&gt;AS$9:AS$198))=LOOKUP(ROW(AS78),FILTER(ROW(AS$10:AS$199),AS$10:AS$199&lt;&gt;AS$9:AS$198)))),AZ78,)"),"")</f>
        <v/>
      </c>
      <c r="BD78" s="122"/>
      <c r="BE78" s="33"/>
      <c r="BF78" s="143" t="str">
        <f t="shared" si="17"/>
        <v>chest acc</v>
      </c>
      <c r="BG78" s="38" t="str">
        <f>IFERROR(__xludf.DUMMYFUNCTION("""COMPUTED_VALUE"""),"bn")</f>
        <v>bn</v>
      </c>
      <c r="BH78" s="144">
        <v>46139.0</v>
      </c>
      <c r="BI78" s="167" t="str">
        <f t="shared" si="18"/>
        <v>Feet-up Bench Press</v>
      </c>
      <c r="BJ78" s="168">
        <v>2.0</v>
      </c>
      <c r="BK78" s="169">
        <v>5.0</v>
      </c>
      <c r="BL78" s="173" t="s">
        <v>308</v>
      </c>
      <c r="BM78" s="171" t="str">
        <f t="array" ref="BM78">IFERROR(IF(BG78="ac"+ISNUMBER(SEARCH("'",BL78))+BK78="","", IF(ISNUMBER(SEARCH("lw",BL78)), AY78 + SUBSTITUTE(BL78,"lw+",""), MROUND(SWITCH(BG78,"sq",BK$7,"bn",BL$7,"dl",BM$7,"")*IF(BL78&gt;10, BL78/100, VLOOKUP(BL78, _rpe,SUBSTITUTE(BK78,"+","")+1,0)), IF( SWITCH(BG78,"sq",BK$7,"bn",BL$7,"dl", BM$7,"")&lt; IF(_uom="lbs", 175, 80), 1.25, IF(_uom="lbs",5,2.5))))), "")</f>
        <v/>
      </c>
      <c r="BN78" s="148"/>
      <c r="BO78" s="33"/>
      <c r="BP78" s="171"/>
      <c r="BQ78" s="124" t="str">
        <f>IFERROR(__xludf.DUMMYFUNCTION("IF(BM78=MAX(FILTER(BM$10:BM$199,LOOKUP(ROW(BG$10:BG$199),FILTER(ROW(BG$10:BG$199),BG$10:BG$199&lt;&gt;BG$9:BG$198))=LOOKUP(ROW(BG78),FILTER(ROW(BG$10:BG$199),BG$10:BG$199&lt;&gt;BG$9:BG$198)))),BN78,)"),"")</f>
        <v/>
      </c>
      <c r="BR78" s="122"/>
      <c r="BS78" s="33"/>
      <c r="BT78" s="143" t="str">
        <f t="shared" si="19"/>
        <v>chest acc</v>
      </c>
      <c r="BU78" s="38" t="str">
        <f>IFERROR(__xludf.DUMMYFUNCTION("""COMPUTED_VALUE"""),"bn")</f>
        <v>bn</v>
      </c>
      <c r="BV78" s="144">
        <v>46146.0</v>
      </c>
      <c r="BW78" s="167" t="str">
        <f t="shared" si="20"/>
        <v>Feet-up Bench Press</v>
      </c>
      <c r="BX78" s="168">
        <v>3.0</v>
      </c>
      <c r="BY78" s="169">
        <v>5.0</v>
      </c>
      <c r="BZ78" s="173" t="s">
        <v>312</v>
      </c>
      <c r="CA78" s="171" t="str">
        <f t="array" ref="CA78">IFERROR(IF(BU78="ac"+ISNUMBER(SEARCH("'",BZ78))+BY78="","", IF(ISNUMBER(SEARCH("lw",BZ78)), BM78 + SUBSTITUTE(BZ78,"lw+",""), MROUND(SWITCH(BU78,"sq",BY$7,"bn",BZ$7,"dl",CA$7,"")*IF(BZ78&gt;10, BZ78/100, VLOOKUP(BZ78, _rpe,SUBSTITUTE(BY78,"+","")+1,0)), IF( SWITCH(BU78,"sq",BY$7,"bn",BZ$7,"dl", CA$7,"")&lt; IF(_uom="lbs", 175, 80), 1.25, IF(_uom="lbs",5,2.5))))), "")</f>
        <v/>
      </c>
      <c r="CB78" s="148"/>
      <c r="CC78" s="33"/>
      <c r="CD78" s="171"/>
      <c r="CE78" s="124" t="str">
        <f>IFERROR(__xludf.DUMMYFUNCTION("IF(CA78=MAX(FILTER(CA$10:CA$199,LOOKUP(ROW(BU$10:BU$199),FILTER(ROW(BU$10:BU$199),BU$10:BU$199&lt;&gt;BU$9:BU$198))=LOOKUP(ROW(BU78),FILTER(ROW(BU$10:BU$199),BU$10:BU$199&lt;&gt;BU$9:BU$198)))),CB78,)"),"")</f>
        <v/>
      </c>
      <c r="CF78" s="122"/>
      <c r="CG78" s="33"/>
      <c r="CH78" s="143" t="str">
        <f t="shared" si="21"/>
        <v>chest acc</v>
      </c>
      <c r="CI78" s="38" t="str">
        <f>IFERROR(__xludf.DUMMYFUNCTION("""COMPUTED_VALUE"""),"bn")</f>
        <v>bn</v>
      </c>
      <c r="CJ78" s="144">
        <v>46153.0</v>
      </c>
      <c r="CK78" s="167" t="str">
        <f t="shared" si="27"/>
        <v>Feet-up Bench Press</v>
      </c>
      <c r="CL78" s="168">
        <v>3.0</v>
      </c>
      <c r="CM78" s="169">
        <v>5.0</v>
      </c>
      <c r="CN78" s="173" t="s">
        <v>307</v>
      </c>
      <c r="CO78" s="171" t="str">
        <f t="array" ref="CO78">IFERROR(IF(CI78="ac"+ISNUMBER(SEARCH("'",CN78))+CM78="","", IF(ISNUMBER(SEARCH("lw",CN78)), CA78 + SUBSTITUTE(CN78,"lw+",""), MROUND(SWITCH(CI78,"sq",CM$7,"bn",CN$7,"dl",CO$7,"")*IF(CN78&gt;10, CN78/100, VLOOKUP(CN78, _rpe,SUBSTITUTE(CM78,"+","")+1,0)), IF( SWITCH(CI78,"sq",CM$7,"bn",CN$7,"dl", CO$7,"")&lt; IF(_uom="lbs", 175, 80), 1.25, IF(_uom="lbs",5,2.5))))), "")</f>
        <v/>
      </c>
      <c r="CP78" s="148"/>
      <c r="CQ78" s="33"/>
      <c r="CR78" s="171"/>
      <c r="CS78" s="124" t="str">
        <f>IFERROR(__xludf.DUMMYFUNCTION("IF(CO78=MAX(FILTER(CO$10:CO$199,LOOKUP(ROW(CI$10:CI$199),FILTER(ROW(CI$10:CI$199),CI$10:CI$199&lt;&gt;CI$9:CI$198))=LOOKUP(ROW(CI78),FILTER(ROW(CI$10:CI$199),CI$10:CI$199&lt;&gt;CI$9:CI$198)))),CP78,)"),"")</f>
        <v/>
      </c>
      <c r="CT78" s="122"/>
      <c r="CU78" s="33"/>
      <c r="CV78" s="143" t="str">
        <f t="shared" si="22"/>
        <v>chest acc</v>
      </c>
      <c r="CW78" s="38" t="str">
        <f>IFERROR(__xludf.DUMMYFUNCTION("""COMPUTED_VALUE"""),"bn")</f>
        <v>bn</v>
      </c>
      <c r="CX78" s="144">
        <v>46160.0</v>
      </c>
      <c r="CY78" s="167" t="str">
        <f t="shared" si="28"/>
        <v>Feet-up Bench Press</v>
      </c>
      <c r="CZ78" s="168">
        <v>3.0</v>
      </c>
      <c r="DA78" s="169">
        <v>5.0</v>
      </c>
      <c r="DB78" s="173" t="s">
        <v>313</v>
      </c>
      <c r="DC78" s="171" t="str">
        <f t="array" ref="DC78">IFERROR(IF(CW78="ac"+ISNUMBER(SEARCH("'",DB78))+DA78="","", IF(ISNUMBER(SEARCH("lw",DB78)), CO78 + SUBSTITUTE(DB78,"lw+",""), MROUND(SWITCH(CW78,"sq",DA$7,"bn",DB$7,"dl",DC$7,"")*IF(DB78&gt;10, DB78/100, VLOOKUP(DB78, _rpe,SUBSTITUTE(DA78,"+","")+1,0)), IF( SWITCH(CW78,"sq",DA$7,"bn",DB$7,"dl", DC$7,"")&lt; IF(_uom="lbs", 175, 80), 1.25, IF(_uom="lbs",5,2.5))))), "")</f>
        <v/>
      </c>
      <c r="DD78" s="148"/>
      <c r="DE78" s="33"/>
      <c r="DF78" s="171"/>
      <c r="DG78" s="124" t="str">
        <f>IFERROR(__xludf.DUMMYFUNCTION("IF(DC78=MAX(FILTER(DC$10:DC$199,LOOKUP(ROW(CW$10:CW$199),FILTER(ROW(CW$10:CW$199),CW$10:CW$199&lt;&gt;CW$9:CW$198))=LOOKUP(ROW(CW78),FILTER(ROW(CW$10:CW$199),CW$10:CW$199&lt;&gt;CW$9:CW$198)))),DD78,)"),"")</f>
        <v/>
      </c>
      <c r="DH78" s="122"/>
      <c r="DI78" s="33"/>
      <c r="DJ78" s="143" t="str">
        <f t="shared" si="23"/>
        <v>chest acc</v>
      </c>
      <c r="DK78" s="38" t="str">
        <f>IFERROR(__xludf.DUMMYFUNCTION("""COMPUTED_VALUE"""),"dl")</f>
        <v>dl</v>
      </c>
      <c r="DL78" s="144">
        <v>46167.0</v>
      </c>
      <c r="DM78" s="167" t="s">
        <v>75</v>
      </c>
      <c r="DN78" s="168">
        <v>1.0</v>
      </c>
      <c r="DO78" s="169">
        <v>1.0</v>
      </c>
      <c r="DP78" s="183" t="s">
        <v>346</v>
      </c>
      <c r="DQ78" s="171" t="str">
        <f t="array" ref="DQ78">IFERROR(IF(DK78="ac"+ISNUMBER(SEARCH("'",DP78))+DO78="","", IF(ISNUMBER(SEARCH("lw",DP78)), DC78 + SUBSTITUTE(DP78,"lw+",""), MROUND(SWITCH(DK78,"sq",DO$7,"bn",DP$7,"dl",DQ$7,"")*IF(DP78&gt;10, DP78/100, VLOOKUP(DP78, _rpe,SUBSTITUTE(DO78,"+","")+1,0)), IF( SWITCH(DK78,"sq",DO$7,"bn",DP$7,"dl", DQ$7,"")&lt; IF(_uom="lbs", 175, 80), 1.25, IF(_uom="lbs",5,2.5))))), "")</f>
        <v/>
      </c>
      <c r="DR78" s="148"/>
      <c r="DS78" s="33"/>
      <c r="DT78" s="171"/>
      <c r="DU78" s="124" t="str">
        <f>IFERROR(__xludf.DUMMYFUNCTION("IF(DQ78=MAX(FILTER(DQ$10:DQ$199,LOOKUP(ROW(DK$10:DK$199),FILTER(ROW(DK$10:DK$199),DK$10:DK$199&lt;&gt;DK$9:DK$198))=LOOKUP(ROW(DK78),FILTER(ROW(DK$10:DK$199),DK$10:DK$199&lt;&gt;DK$9:DK$198)))),DR78,)"),"")</f>
        <v/>
      </c>
      <c r="DV78" s="122"/>
      <c r="DW78" s="33"/>
      <c r="DX78" s="143"/>
      <c r="DY78" s="38"/>
      <c r="DZ78" s="144"/>
      <c r="EA78" s="150"/>
      <c r="EB78" s="174"/>
      <c r="EC78" s="175"/>
      <c r="ED78" s="176"/>
      <c r="EE78" s="155"/>
      <c r="EF78" s="148"/>
      <c r="EG78" s="33"/>
      <c r="EH78" s="155"/>
      <c r="EI78" s="148"/>
      <c r="EJ78" s="33"/>
      <c r="EK78" s="33"/>
      <c r="EL78" s="143"/>
      <c r="EM78" s="38"/>
      <c r="EN78" s="144"/>
      <c r="EO78" s="150"/>
      <c r="EP78" s="174"/>
      <c r="EQ78" s="175"/>
      <c r="ER78" s="176"/>
      <c r="ES78" s="155"/>
      <c r="ET78" s="148"/>
      <c r="EU78" s="33"/>
      <c r="EV78" s="155"/>
      <c r="EW78" s="148"/>
      <c r="EX78" s="33"/>
      <c r="EY78" s="33"/>
      <c r="EZ78" s="143"/>
      <c r="FA78" s="38"/>
      <c r="FB78" s="144"/>
      <c r="FC78" s="150"/>
      <c r="FD78" s="174"/>
      <c r="FE78" s="175"/>
      <c r="FF78" s="155"/>
      <c r="FG78" s="155"/>
      <c r="FH78" s="148"/>
      <c r="FI78" s="33"/>
      <c r="FJ78" s="155"/>
      <c r="FK78" s="148"/>
      <c r="FL78" s="33"/>
      <c r="FM78" s="33"/>
      <c r="FN78" s="143"/>
      <c r="FO78" s="38"/>
      <c r="FP78" s="144"/>
      <c r="FQ78" s="150"/>
      <c r="FR78" s="174"/>
      <c r="FS78" s="175"/>
      <c r="FT78" s="176"/>
      <c r="FU78" s="155"/>
      <c r="FV78" s="148"/>
      <c r="FW78" s="33"/>
      <c r="FX78" s="155"/>
      <c r="FY78" s="148"/>
      <c r="FZ78" s="33"/>
      <c r="GA78" s="33"/>
      <c r="GB78" s="143"/>
      <c r="GC78" s="38"/>
      <c r="GD78" s="144"/>
      <c r="GE78" s="150"/>
      <c r="GF78" s="174"/>
      <c r="GG78" s="175"/>
      <c r="GH78" s="176"/>
      <c r="GI78" s="155"/>
      <c r="GJ78" s="148"/>
      <c r="GK78" s="33"/>
      <c r="GL78" s="155"/>
      <c r="GM78" s="148"/>
      <c r="GN78" s="33"/>
      <c r="GO78" s="33"/>
      <c r="GP78" s="143"/>
      <c r="GQ78" s="38"/>
      <c r="GR78" s="144"/>
      <c r="GS78" s="150"/>
      <c r="GT78" s="174"/>
      <c r="GU78" s="175"/>
      <c r="GV78" s="176"/>
      <c r="GW78" s="155"/>
      <c r="GX78" s="148"/>
      <c r="GY78" s="33"/>
      <c r="GZ78" s="155"/>
      <c r="HA78" s="148"/>
      <c r="HB78" s="33"/>
      <c r="HC78" s="33"/>
      <c r="HD78" s="143"/>
      <c r="HE78" s="38"/>
      <c r="HF78" s="144"/>
      <c r="HG78" s="150"/>
      <c r="HH78" s="174"/>
      <c r="HI78" s="175"/>
      <c r="HJ78" s="176"/>
      <c r="HK78" s="155"/>
      <c r="HL78" s="148"/>
      <c r="HM78" s="33"/>
      <c r="HN78" s="155"/>
      <c r="HO78" s="148"/>
      <c r="HP78" s="33"/>
      <c r="HQ78" s="33"/>
      <c r="HR78" s="143"/>
      <c r="HS78" s="38"/>
      <c r="HT78" s="144"/>
      <c r="HU78" s="150"/>
      <c r="HV78" s="174"/>
      <c r="HW78" s="175"/>
      <c r="HX78" s="176"/>
      <c r="HY78" s="155"/>
      <c r="HZ78" s="148"/>
      <c r="IA78" s="33"/>
      <c r="IB78" s="155"/>
      <c r="IC78" s="148"/>
      <c r="ID78" s="33"/>
      <c r="IE78" s="33"/>
      <c r="IF78" s="143"/>
      <c r="IG78" s="38"/>
      <c r="IH78" s="144"/>
      <c r="II78" s="150"/>
      <c r="IJ78" s="174"/>
      <c r="IK78" s="175"/>
      <c r="IL78" s="176"/>
      <c r="IM78" s="155"/>
      <c r="IN78" s="148"/>
      <c r="IO78" s="33"/>
      <c r="IP78" s="155"/>
      <c r="IQ78" s="148"/>
      <c r="IR78" s="33"/>
      <c r="IS78" s="33"/>
      <c r="IT78" s="143"/>
      <c r="IU78" s="38"/>
      <c r="IV78" s="144"/>
      <c r="IW78" s="143" t="str">
        <f t="shared" si="24"/>
        <v>#REF!</v>
      </c>
      <c r="IX78" s="38"/>
      <c r="IY78" s="144" t="e">
        <v>#REF!</v>
      </c>
    </row>
    <row r="79" outlineLevel="1">
      <c r="A79" s="33"/>
      <c r="B79" s="143" t="s">
        <v>347</v>
      </c>
      <c r="C79" s="38" t="str">
        <f>IFERROR(__xludf.DUMMYFUNCTION("""COMPUTED_VALUE"""),"dl")</f>
        <v>dl</v>
      </c>
      <c r="D79" s="144">
        <v>46111.0</v>
      </c>
      <c r="E79" s="167" t="s">
        <v>223</v>
      </c>
      <c r="F79" s="168">
        <v>4.0</v>
      </c>
      <c r="G79" s="169">
        <v>4.0</v>
      </c>
      <c r="H79" s="170">
        <v>67.0</v>
      </c>
      <c r="I79" s="171">
        <f t="array" ref="I79">IFERROR(IF(C79="ac"+ISNUMBER(SEARCH("'",H79))+G79="","", MROUND(SWITCH(C79,"sq",'Personal Info'!$O$15,"bn",'Personal Info'!$S$15,"dl",'Personal Info'!$W$15,"")*IF(H79&gt;10, H79/100, VLOOKUP(H79, _rpe,SUBSTITUTE(G79,"+","")+1,0)), IF( SWITCH(C79:C210,"sq",'Personal Info'!$O$15,"bn",'Personal Info'!$S$15,"dl", 'Personal Info'!$W$15,"")&lt; IF(_uom="lbs", 175, 80), 1.25, IF(_uom="lbs",5,2.5)))),"")</f>
        <v>150</v>
      </c>
      <c r="J79" s="148"/>
      <c r="K79" s="33"/>
      <c r="L79" s="171"/>
      <c r="M79" s="124" t="str">
        <f>IFERROR(__xludf.DUMMYFUNCTION("IF(I79=MAX(FILTER(I$10:I$199,LOOKUP(ROW(C$10:C$199),FILTER(ROW(C$10:C$199),C$10:C$199&lt;&gt;C$9:C$198))=LOOKUP(ROW(C79),FILTER(ROW(C$10:C$199),C$10:C$199&lt;&gt;C$9:C$198)))),J79,)"),"")</f>
        <v/>
      </c>
      <c r="N79" s="122"/>
      <c r="O79" s="33"/>
      <c r="P79" s="143" t="str">
        <f t="shared" si="12"/>
        <v>DL 2: skill/hypertrophy</v>
      </c>
      <c r="Q79" s="38" t="str">
        <f>IFERROR(__xludf.DUMMYFUNCTION("""COMPUTED_VALUE"""),"dl")</f>
        <v>dl</v>
      </c>
      <c r="R79" s="144">
        <v>46118.0</v>
      </c>
      <c r="S79" s="167" t="str">
        <f t="shared" si="13"/>
        <v>Paused Deadlift</v>
      </c>
      <c r="T79" s="168">
        <v>4.0</v>
      </c>
      <c r="U79" s="169">
        <f>IF( OR(ISBLANK(G79),G79=""),"", G79)</f>
        <v>4</v>
      </c>
      <c r="V79" s="172">
        <v>69.0</v>
      </c>
      <c r="W79" s="171">
        <f t="array" ref="W79">IFERROR(IF(Q79="ac"+ISNUMBER(SEARCH("'",V79))+U79="","", IF(ISNUMBER(SEARCH("lw",V79)), I79 + SUBSTITUTE(V79,"lw+",""), MROUND(SWITCH(Q79,"sq",U$7,"bn",V$7,"dl",W$7,"")*IF(V79&gt;10, V79/100, VLOOKUP(V79, _rpe,SUBSTITUTE(U79,"+","")+1,0)), IF( SWITCH(Q79,"sq",U$7,"bn",V$7,"dl", W$7,"")&lt; IF(_uom="lbs", 175, 80), 1.25, IF(_uom="lbs",5,2.5))))), "")</f>
        <v>155</v>
      </c>
      <c r="X79" s="148"/>
      <c r="Y79" s="33"/>
      <c r="Z79" s="171"/>
      <c r="AA79" s="124" t="str">
        <f>IFERROR(__xludf.DUMMYFUNCTION("IF(W79=MAX(FILTER(W$10:W$199,LOOKUP(ROW(Q$10:Q$199),FILTER(ROW(Q$10:Q$199),Q$10:Q$199&lt;&gt;Q$9:Q$198))=LOOKUP(ROW(Q79),FILTER(ROW(Q$10:Q$199),Q$10:Q$199&lt;&gt;Q$9:Q$198)))),X79,)"),"")</f>
        <v/>
      </c>
      <c r="AB79" s="122"/>
      <c r="AC79" s="33"/>
      <c r="AD79" s="143" t="str">
        <f t="shared" si="14"/>
        <v>DL 2: skill/hypertrophy</v>
      </c>
      <c r="AE79" s="38" t="str">
        <f>IFERROR(__xludf.DUMMYFUNCTION("""COMPUTED_VALUE"""),"dl")</f>
        <v>dl</v>
      </c>
      <c r="AF79" s="144">
        <v>46125.0</v>
      </c>
      <c r="AG79" s="167" t="str">
        <f t="shared" si="54"/>
        <v>Paused Deadlift</v>
      </c>
      <c r="AH79" s="168">
        <f>IF(ISBLANK(T79),"",T79)</f>
        <v>4</v>
      </c>
      <c r="AI79" s="169">
        <v>4.0</v>
      </c>
      <c r="AJ79" s="172">
        <v>71.0</v>
      </c>
      <c r="AK79" s="171">
        <f t="array" ref="AK79">IFERROR(IF(AE79="ac"+ISNUMBER(SEARCH("'",AJ79))+AI79="","", IF(ISNUMBER(SEARCH("lw",AJ79)), W79 + SUBSTITUTE(AJ79,"lw+",""), MROUND(SWITCH(AE79,"sq",AI$7,"bn",AJ$7,"dl",AK$7,"")*IF(AJ79&gt;10, AJ79/100, VLOOKUP(AJ79, _rpe,SUBSTITUTE(AI79,"+","")+1,0)), IF( SWITCH(AE79,"sq",AI$7,"bn",AJ$7,"dl", AK$7,"")&lt; IF(_uom="lbs", 175, 80), 1.25, IF(_uom="lbs",5,2.5))))), "")</f>
        <v>160</v>
      </c>
      <c r="AL79" s="148"/>
      <c r="AM79" s="33"/>
      <c r="AN79" s="171"/>
      <c r="AO79" s="124" t="str">
        <f>IFERROR(__xludf.DUMMYFUNCTION("IF(AK79=MAX(FILTER(AK$10:AK$199,LOOKUP(ROW(AE$10:AE$199),FILTER(ROW(AE$10:AE$199),AE$10:AE$199&lt;&gt;AE$9:AE$198))=LOOKUP(ROW(AE79),FILTER(ROW(AE$10:AE$199),AE$10:AE$199&lt;&gt;AE$9:AE$198)))),AL79,)"),"")</f>
        <v/>
      </c>
      <c r="AP79" s="122"/>
      <c r="AQ79" s="33"/>
      <c r="AR79" s="143" t="str">
        <f t="shared" si="16"/>
        <v>DL 2: skill/hypertrophy</v>
      </c>
      <c r="AS79" s="38" t="str">
        <f>IFERROR(__xludf.DUMMYFUNCTION("""COMPUTED_VALUE"""),"dl")</f>
        <v>dl</v>
      </c>
      <c r="AT79" s="144">
        <v>46132.0</v>
      </c>
      <c r="AU79" s="167" t="str">
        <f t="shared" si="26"/>
        <v>Paused Deadlift</v>
      </c>
      <c r="AV79" s="168">
        <v>4.0</v>
      </c>
      <c r="AW79" s="169">
        <v>4.0</v>
      </c>
      <c r="AX79" s="172">
        <v>73.0</v>
      </c>
      <c r="AY79" s="171">
        <f t="array" ref="AY79">IFERROR(IF(AS79="ac"+ISNUMBER(SEARCH("'",AX79))+AW79="","", IF(ISNUMBER(SEARCH("lw",AX79)), AK79 + SUBSTITUTE(AX79,"lw+",""), MROUND(SWITCH(AS79,"sq",AW$7,"bn",AX$7,"dl",AY$7,"")*IF(AX79&gt;10, AX79/100, VLOOKUP(AX79, _rpe,SUBSTITUTE(AW79,"+","")+1,0)), IF( SWITCH(AS79,"sq",AW$7,"bn",AX$7,"dl", AY$7,"")&lt; IF(_uom="lbs", 175, 80), 1.25, IF(_uom="lbs",5,2.5))))), "")</f>
        <v>165</v>
      </c>
      <c r="AZ79" s="148"/>
      <c r="BA79" s="33"/>
      <c r="BB79" s="171"/>
      <c r="BC79" s="124" t="str">
        <f>IFERROR(__xludf.DUMMYFUNCTION("IF(AY79=MAX(FILTER(AY$10:AY$199,LOOKUP(ROW(AS$10:AS$199),FILTER(ROW(AS$10:AS$199),AS$10:AS$199&lt;&gt;AS$9:AS$198))=LOOKUP(ROW(AS79),FILTER(ROW(AS$10:AS$199),AS$10:AS$199&lt;&gt;AS$9:AS$198)))),AZ79,)"),"")</f>
        <v/>
      </c>
      <c r="BD79" s="122"/>
      <c r="BE79" s="33"/>
      <c r="BF79" s="143" t="str">
        <f t="shared" si="17"/>
        <v>DL 2: skill/hypertrophy</v>
      </c>
      <c r="BG79" s="38" t="str">
        <f>IFERROR(__xludf.DUMMYFUNCTION("""COMPUTED_VALUE"""),"dl")</f>
        <v>dl</v>
      </c>
      <c r="BH79" s="144">
        <v>46139.0</v>
      </c>
      <c r="BI79" s="167" t="str">
        <f t="shared" si="18"/>
        <v>Paused Deadlift</v>
      </c>
      <c r="BJ79" s="168">
        <v>4.0</v>
      </c>
      <c r="BK79" s="169">
        <v>3.0</v>
      </c>
      <c r="BL79" s="172">
        <v>72.0</v>
      </c>
      <c r="BM79" s="171">
        <f t="array" ref="BM79">IFERROR(IF(BG79="ac"+ISNUMBER(SEARCH("'",BL79))+BK79="","", IF(ISNUMBER(SEARCH("lw",BL79)), AY79 + SUBSTITUTE(BL79,"lw+",""), MROUND(SWITCH(BG79,"sq",BK$7,"bn",BL$7,"dl",BM$7,"")*IF(BL79&gt;10, BL79/100, VLOOKUP(BL79, _rpe,SUBSTITUTE(BK79,"+","")+1,0)), IF( SWITCH(BG79,"sq",BK$7,"bn",BL$7,"dl", BM$7,"")&lt; IF(_uom="lbs", 175, 80), 1.25, IF(_uom="lbs",5,2.5))))), "")</f>
        <v>160</v>
      </c>
      <c r="BN79" s="148"/>
      <c r="BO79" s="33"/>
      <c r="BP79" s="171"/>
      <c r="BQ79" s="124" t="str">
        <f>IFERROR(__xludf.DUMMYFUNCTION("IF(BM79=MAX(FILTER(BM$10:BM$199,LOOKUP(ROW(BG$10:BG$199),FILTER(ROW(BG$10:BG$199),BG$10:BG$199&lt;&gt;BG$9:BG$198))=LOOKUP(ROW(BG79),FILTER(ROW(BG$10:BG$199),BG$10:BG$199&lt;&gt;BG$9:BG$198)))),BN79,)"),"")</f>
        <v/>
      </c>
      <c r="BR79" s="122"/>
      <c r="BS79" s="33"/>
      <c r="BT79" s="143" t="str">
        <f t="shared" si="19"/>
        <v>DL 2: skill/hypertrophy</v>
      </c>
      <c r="BU79" s="38" t="str">
        <f>IFERROR(__xludf.DUMMYFUNCTION("""COMPUTED_VALUE"""),"dl")</f>
        <v>dl</v>
      </c>
      <c r="BV79" s="144">
        <v>46146.0</v>
      </c>
      <c r="BW79" s="167" t="str">
        <f t="shared" si="20"/>
        <v>Paused Deadlift</v>
      </c>
      <c r="BX79" s="168">
        <v>5.0</v>
      </c>
      <c r="BY79" s="169">
        <v>3.0</v>
      </c>
      <c r="BZ79" s="172">
        <v>74.0</v>
      </c>
      <c r="CA79" s="171">
        <f t="array" ref="CA79">IFERROR(IF(BU79="ac"+ISNUMBER(SEARCH("'",BZ79))+BY79="","", IF(ISNUMBER(SEARCH("lw",BZ79)), BM79 + SUBSTITUTE(BZ79,"lw+",""), MROUND(SWITCH(BU79,"sq",BY$7,"bn",BZ$7,"dl",CA$7,"")*IF(BZ79&gt;10, BZ79/100, VLOOKUP(BZ79, _rpe,SUBSTITUTE(BY79,"+","")+1,0)), IF( SWITCH(BU79,"sq",BY$7,"bn",BZ$7,"dl", CA$7,"")&lt; IF(_uom="lbs", 175, 80), 1.25, IF(_uom="lbs",5,2.5))))), "")</f>
        <v>165</v>
      </c>
      <c r="CB79" s="148"/>
      <c r="CC79" s="33"/>
      <c r="CD79" s="171"/>
      <c r="CE79" s="124" t="str">
        <f>IFERROR(__xludf.DUMMYFUNCTION("IF(CA79=MAX(FILTER(CA$10:CA$199,LOOKUP(ROW(BU$10:BU$199),FILTER(ROW(BU$10:BU$199),BU$10:BU$199&lt;&gt;BU$9:BU$198))=LOOKUP(ROW(BU79),FILTER(ROW(BU$10:BU$199),BU$10:BU$199&lt;&gt;BU$9:BU$198)))),CB79,)"),"")</f>
        <v/>
      </c>
      <c r="CF79" s="122"/>
      <c r="CG79" s="33"/>
      <c r="CH79" s="143" t="str">
        <f t="shared" si="21"/>
        <v>DL 2: skill/hypertrophy</v>
      </c>
      <c r="CI79" s="38" t="str">
        <f>IFERROR(__xludf.DUMMYFUNCTION("""COMPUTED_VALUE"""),"dl")</f>
        <v>dl</v>
      </c>
      <c r="CJ79" s="144">
        <v>46153.0</v>
      </c>
      <c r="CK79" s="167" t="str">
        <f t="shared" si="27"/>
        <v>Paused Deadlift</v>
      </c>
      <c r="CL79" s="168">
        <v>5.0</v>
      </c>
      <c r="CM79" s="169">
        <v>3.0</v>
      </c>
      <c r="CN79" s="172">
        <v>76.0</v>
      </c>
      <c r="CO79" s="171">
        <f t="array" ref="CO79">IFERROR(IF(CI79="ac"+ISNUMBER(SEARCH("'",CN79))+CM79="","", IF(ISNUMBER(SEARCH("lw",CN79)), CA79 + SUBSTITUTE(CN79,"lw+",""), MROUND(SWITCH(CI79,"sq",CM$7,"bn",CN$7,"dl",CO$7,"")*IF(CN79&gt;10, CN79/100, VLOOKUP(CN79, _rpe,SUBSTITUTE(CM79,"+","")+1,0)), IF( SWITCH(CI79,"sq",CM$7,"bn",CN$7,"dl", CO$7,"")&lt; IF(_uom="lbs", 175, 80), 1.25, IF(_uom="lbs",5,2.5))))), "")</f>
        <v>170</v>
      </c>
      <c r="CP79" s="148"/>
      <c r="CQ79" s="33"/>
      <c r="CR79" s="171"/>
      <c r="CS79" s="124" t="str">
        <f>IFERROR(__xludf.DUMMYFUNCTION("IF(CO79=MAX(FILTER(CO$10:CO$199,LOOKUP(ROW(CI$10:CI$199),FILTER(ROW(CI$10:CI$199),CI$10:CI$199&lt;&gt;CI$9:CI$198))=LOOKUP(ROW(CI79),FILTER(ROW(CI$10:CI$199),CI$10:CI$199&lt;&gt;CI$9:CI$198)))),CP79,)"),"")</f>
        <v/>
      </c>
      <c r="CT79" s="122"/>
      <c r="CU79" s="33"/>
      <c r="CV79" s="143" t="str">
        <f t="shared" si="22"/>
        <v>DL 2: skill/hypertrophy</v>
      </c>
      <c r="CW79" s="38" t="str">
        <f>IFERROR(__xludf.DUMMYFUNCTION("""COMPUTED_VALUE"""),"dl")</f>
        <v>dl</v>
      </c>
      <c r="CX79" s="144">
        <v>46160.0</v>
      </c>
      <c r="CY79" s="167" t="str">
        <f t="shared" si="28"/>
        <v>Paused Deadlift</v>
      </c>
      <c r="CZ79" s="168">
        <v>5.0</v>
      </c>
      <c r="DA79" s="169">
        <v>2.0</v>
      </c>
      <c r="DB79" s="172">
        <v>78.0</v>
      </c>
      <c r="DC79" s="171">
        <f t="array" ref="DC79">IFERROR(IF(CW79="ac"+ISNUMBER(SEARCH("'",DB79))+DA79="","", IF(ISNUMBER(SEARCH("lw",DB79)), CO79 + SUBSTITUTE(DB79,"lw+",""), MROUND(SWITCH(CW79,"sq",DA$7,"bn",DB$7,"dl",DC$7,"")*IF(DB79&gt;10, DB79/100, VLOOKUP(DB79, _rpe,SUBSTITUTE(DA79,"+","")+1,0)), IF( SWITCH(CW79,"sq",DA$7,"bn",DB$7,"dl", DC$7,"")&lt; IF(_uom="lbs", 175, 80), 1.25, IF(_uom="lbs",5,2.5))))), "")</f>
        <v>175</v>
      </c>
      <c r="DD79" s="148"/>
      <c r="DE79" s="33"/>
      <c r="DF79" s="171"/>
      <c r="DG79" s="124" t="str">
        <f>IFERROR(__xludf.DUMMYFUNCTION("IF(DC79=MAX(FILTER(DC$10:DC$199,LOOKUP(ROW(CW$10:CW$199),FILTER(ROW(CW$10:CW$199),CW$10:CW$199&lt;&gt;CW$9:CW$198))=LOOKUP(ROW(CW79),FILTER(ROW(CW$10:CW$199),CW$10:CW$199&lt;&gt;CW$9:CW$198)))),DD79,)"),"")</f>
        <v/>
      </c>
      <c r="DH79" s="122"/>
      <c r="DI79" s="33"/>
      <c r="DJ79" s="143" t="str">
        <f t="shared" si="23"/>
        <v>DL 2: skill/hypertrophy</v>
      </c>
      <c r="DK79" s="38" t="str">
        <f>IFERROR(__xludf.DUMMYFUNCTION("""COMPUTED_VALUE"""),"")</f>
        <v/>
      </c>
      <c r="DL79" s="144">
        <v>46167.0</v>
      </c>
      <c r="DM79" s="167"/>
      <c r="DN79" s="168"/>
      <c r="DO79" s="169"/>
      <c r="DP79" s="171"/>
      <c r="DQ79" s="171" t="str">
        <f t="array" ref="DQ79">IFERROR(IF(DK79="ac"+ISNUMBER(SEARCH("'",DP79))+DO79="","", IF(ISNUMBER(SEARCH("lw",DP79)), DC79 + SUBSTITUTE(DP79,"lw+",""), MROUND(SWITCH(DK79,"sq",DO$7,"bn",DP$7,"dl",DQ$7,"")*IF(DP79&gt;10, DP79/100, VLOOKUP(DP79, _rpe,SUBSTITUTE(DO79,"+","")+1,0)), IF( SWITCH(DK79,"sq",DO$7,"bn",DP$7,"dl", DQ$7,"")&lt; IF(_uom="lbs", 175, 80), 1.25, IF(_uom="lbs",5,2.5))))), "")</f>
        <v/>
      </c>
      <c r="DR79" s="148"/>
      <c r="DS79" s="33"/>
      <c r="DT79" s="171"/>
      <c r="DU79" s="124" t="str">
        <f>IFERROR(__xludf.DUMMYFUNCTION("IF(DQ79=MAX(FILTER(DQ$10:DQ$199,LOOKUP(ROW(DK$10:DK$199),FILTER(ROW(DK$10:DK$199),DK$10:DK$199&lt;&gt;DK$9:DK$198))=LOOKUP(ROW(DK79),FILTER(ROW(DK$10:DK$199),DK$10:DK$199&lt;&gt;DK$9:DK$198)))),DR79,)"),"")</f>
        <v/>
      </c>
      <c r="DV79" s="122"/>
      <c r="DW79" s="33"/>
      <c r="DX79" s="143"/>
      <c r="DY79" s="38"/>
      <c r="DZ79" s="144"/>
      <c r="EA79" s="150"/>
      <c r="EB79" s="174"/>
      <c r="EC79" s="175"/>
      <c r="ED79" s="155"/>
      <c r="EE79" s="155"/>
      <c r="EF79" s="148"/>
      <c r="EG79" s="33"/>
      <c r="EH79" s="155"/>
      <c r="EI79" s="148"/>
      <c r="EJ79" s="33"/>
      <c r="EK79" s="33"/>
      <c r="EL79" s="143"/>
      <c r="EM79" s="38"/>
      <c r="EN79" s="144"/>
      <c r="EO79" s="150"/>
      <c r="EP79" s="174"/>
      <c r="EQ79" s="175"/>
      <c r="ER79" s="176"/>
      <c r="ES79" s="155"/>
      <c r="ET79" s="148"/>
      <c r="EU79" s="33"/>
      <c r="EV79" s="155"/>
      <c r="EW79" s="148"/>
      <c r="EX79" s="33"/>
      <c r="EY79" s="33"/>
      <c r="EZ79" s="143"/>
      <c r="FA79" s="38"/>
      <c r="FB79" s="144"/>
      <c r="FC79" s="150"/>
      <c r="FD79" s="174"/>
      <c r="FE79" s="175"/>
      <c r="FF79" s="176"/>
      <c r="FG79" s="155"/>
      <c r="FH79" s="148"/>
      <c r="FI79" s="33"/>
      <c r="FJ79" s="155"/>
      <c r="FK79" s="148"/>
      <c r="FL79" s="33"/>
      <c r="FM79" s="33"/>
      <c r="FN79" s="143"/>
      <c r="FO79" s="38"/>
      <c r="FP79" s="144"/>
      <c r="FQ79" s="150"/>
      <c r="FR79" s="174"/>
      <c r="FS79" s="175"/>
      <c r="FT79" s="176"/>
      <c r="FU79" s="155"/>
      <c r="FV79" s="148"/>
      <c r="FW79" s="33"/>
      <c r="FX79" s="155"/>
      <c r="FY79" s="148"/>
      <c r="FZ79" s="33"/>
      <c r="GA79" s="33"/>
      <c r="GB79" s="143"/>
      <c r="GC79" s="38"/>
      <c r="GD79" s="144"/>
      <c r="GE79" s="150"/>
      <c r="GF79" s="174"/>
      <c r="GG79" s="175"/>
      <c r="GH79" s="176"/>
      <c r="GI79" s="155"/>
      <c r="GJ79" s="148"/>
      <c r="GK79" s="33"/>
      <c r="GL79" s="155"/>
      <c r="GM79" s="148"/>
      <c r="GN79" s="33"/>
      <c r="GO79" s="33"/>
      <c r="GP79" s="143"/>
      <c r="GQ79" s="38"/>
      <c r="GR79" s="144"/>
      <c r="GS79" s="150"/>
      <c r="GT79" s="174"/>
      <c r="GU79" s="175"/>
      <c r="GV79" s="176"/>
      <c r="GW79" s="155"/>
      <c r="GX79" s="148"/>
      <c r="GY79" s="33"/>
      <c r="GZ79" s="155"/>
      <c r="HA79" s="148"/>
      <c r="HB79" s="33"/>
      <c r="HC79" s="33"/>
      <c r="HD79" s="143"/>
      <c r="HE79" s="38"/>
      <c r="HF79" s="144"/>
      <c r="HG79" s="150"/>
      <c r="HH79" s="174"/>
      <c r="HI79" s="175"/>
      <c r="HJ79" s="176"/>
      <c r="HK79" s="155"/>
      <c r="HL79" s="148"/>
      <c r="HM79" s="33"/>
      <c r="HN79" s="155"/>
      <c r="HO79" s="148"/>
      <c r="HP79" s="33"/>
      <c r="HQ79" s="33"/>
      <c r="HR79" s="143"/>
      <c r="HS79" s="38"/>
      <c r="HT79" s="144"/>
      <c r="HU79" s="150"/>
      <c r="HV79" s="174"/>
      <c r="HW79" s="175"/>
      <c r="HX79" s="176"/>
      <c r="HY79" s="155"/>
      <c r="HZ79" s="148"/>
      <c r="IA79" s="33"/>
      <c r="IB79" s="155"/>
      <c r="IC79" s="148"/>
      <c r="ID79" s="33"/>
      <c r="IE79" s="33"/>
      <c r="IF79" s="143"/>
      <c r="IG79" s="38"/>
      <c r="IH79" s="144"/>
      <c r="II79" s="150"/>
      <c r="IJ79" s="174"/>
      <c r="IK79" s="175"/>
      <c r="IL79" s="176"/>
      <c r="IM79" s="155"/>
      <c r="IN79" s="148"/>
      <c r="IO79" s="33"/>
      <c r="IP79" s="155"/>
      <c r="IQ79" s="148"/>
      <c r="IR79" s="33"/>
      <c r="IS79" s="33"/>
      <c r="IT79" s="143"/>
      <c r="IU79" s="38"/>
      <c r="IV79" s="144"/>
      <c r="IW79" s="143" t="str">
        <f t="shared" si="24"/>
        <v>#REF!</v>
      </c>
      <c r="IX79" s="38"/>
      <c r="IY79" s="144" t="e">
        <v>#REF!</v>
      </c>
    </row>
    <row r="80" collapsed="1">
      <c r="A80" s="33"/>
      <c r="B80" s="143" t="s">
        <v>314</v>
      </c>
      <c r="C80" s="38" t="str">
        <f>IFERROR(__xludf.DUMMYFUNCTION("""COMPUTED_VALUE"""),"ac")</f>
        <v>ac</v>
      </c>
      <c r="D80" s="144">
        <v>46111.0</v>
      </c>
      <c r="E80" s="167" t="s">
        <v>348</v>
      </c>
      <c r="F80" s="168">
        <v>3.0</v>
      </c>
      <c r="G80" s="179" t="s">
        <v>335</v>
      </c>
      <c r="H80" s="173" t="s">
        <v>313</v>
      </c>
      <c r="I80" s="171" t="str">
        <f t="array" ref="I80">IFERROR(IF(C80="ac"+ISNUMBER(SEARCH("'",H80))+G80="","", MROUND(SWITCH(C80,"sq",'Personal Info'!$O$15,"bn",'Personal Info'!$S$15,"dl",'Personal Info'!$W$15,"")*IF(H80&gt;10, H80/100, VLOOKUP(H80, _rpe,SUBSTITUTE(G80,"+","")+1,0)), IF( SWITCH(C80:C210,"sq",'Personal Info'!$O$15,"bn",'Personal Info'!$S$15,"dl", 'Personal Info'!$W$15,"")&lt; IF(_uom="lbs", 175, 80), 1.25, IF(_uom="lbs",5,2.5)))),"")</f>
        <v/>
      </c>
      <c r="J80" s="148"/>
      <c r="K80" s="33"/>
      <c r="L80" s="171"/>
      <c r="M80" s="124" t="str">
        <f>IFERROR(__xludf.DUMMYFUNCTION("IF(I80=MAX(FILTER(I$10:I$199,LOOKUP(ROW(C$10:C$199),FILTER(ROW(C$10:C$199),C$10:C$199&lt;&gt;C$9:C$198))=LOOKUP(ROW(C80),FILTER(ROW(C$10:C$199),C$10:C$199&lt;&gt;C$9:C$198)))),J80,)"),"")</f>
        <v/>
      </c>
      <c r="N80" s="122"/>
      <c r="O80" s="33"/>
      <c r="P80" s="143" t="str">
        <f t="shared" si="12"/>
        <v>lats - h</v>
      </c>
      <c r="Q80" s="38" t="str">
        <f>IFERROR(__xludf.DUMMYFUNCTION("""COMPUTED_VALUE"""),"ac")</f>
        <v>ac</v>
      </c>
      <c r="R80" s="144">
        <v>46118.0</v>
      </c>
      <c r="S80" s="167" t="str">
        <f t="shared" si="13"/>
        <v>Barbell Row</v>
      </c>
      <c r="T80" s="168">
        <v>3.0</v>
      </c>
      <c r="U80" s="179" t="s">
        <v>335</v>
      </c>
      <c r="V80" s="173" t="s">
        <v>313</v>
      </c>
      <c r="W80" s="171" t="str">
        <f t="array" ref="W80">IFERROR(IF(Q80="ac"+ISNUMBER(SEARCH("'",V80))+U80="","", IF(ISNUMBER(SEARCH("lw",V80)), I80 + SUBSTITUTE(V80,"lw+",""), MROUND(SWITCH(Q80,"sq",U$7,"bn",V$7,"dl",W$7,"")*IF(V80&gt;10, V80/100, VLOOKUP(V80, _rpe,SUBSTITUTE(U80,"+","")+1,0)), IF( SWITCH(Q80,"sq",U$7,"bn",V$7,"dl", W$7,"")&lt; IF(_uom="lbs", 175, 80), 1.25, IF(_uom="lbs",5,2.5))))), "")</f>
        <v/>
      </c>
      <c r="X80" s="148"/>
      <c r="Y80" s="33"/>
      <c r="Z80" s="171"/>
      <c r="AA80" s="124" t="str">
        <f>IFERROR(__xludf.DUMMYFUNCTION("IF(W80=MAX(FILTER(W$10:W$199,LOOKUP(ROW(Q$10:Q$199),FILTER(ROW(Q$10:Q$199),Q$10:Q$199&lt;&gt;Q$9:Q$198))=LOOKUP(ROW(Q80),FILTER(ROW(Q$10:Q$199),Q$10:Q$199&lt;&gt;Q$9:Q$198)))),X80,)"),"")</f>
        <v/>
      </c>
      <c r="AB80" s="122"/>
      <c r="AC80" s="33"/>
      <c r="AD80" s="143" t="str">
        <f t="shared" si="14"/>
        <v>lats - h</v>
      </c>
      <c r="AE80" s="38" t="str">
        <f>IFERROR(__xludf.DUMMYFUNCTION("""COMPUTED_VALUE"""),"ac")</f>
        <v>ac</v>
      </c>
      <c r="AF80" s="144">
        <v>46125.0</v>
      </c>
      <c r="AG80" s="167" t="str">
        <f t="shared" si="54"/>
        <v>Barbell Row</v>
      </c>
      <c r="AH80" s="168">
        <v>3.0</v>
      </c>
      <c r="AI80" s="179" t="s">
        <v>335</v>
      </c>
      <c r="AJ80" s="172" t="str">
        <f t="shared" ref="AJ80:AJ87" si="286">IF(ISBLANK(V80),"",V80)</f>
        <v>@8</v>
      </c>
      <c r="AK80" s="171" t="str">
        <f t="array" ref="AK80">IFERROR(IF(AE80="ac"+ISNUMBER(SEARCH("'",AJ80))+AI80="","", IF(ISNUMBER(SEARCH("lw",AJ80)), W80 + SUBSTITUTE(AJ80,"lw+",""), MROUND(SWITCH(AE80,"sq",AI$7,"bn",AJ$7,"dl",AK$7,"")*IF(AJ80&gt;10, AJ80/100, VLOOKUP(AJ80, _rpe,SUBSTITUTE(AI80,"+","")+1,0)), IF( SWITCH(AE80,"sq",AI$7,"bn",AJ$7,"dl", AK$7,"")&lt; IF(_uom="lbs", 175, 80), 1.25, IF(_uom="lbs",5,2.5))))), "")</f>
        <v/>
      </c>
      <c r="AL80" s="148"/>
      <c r="AM80" s="33"/>
      <c r="AN80" s="171"/>
      <c r="AO80" s="124" t="str">
        <f>IFERROR(__xludf.DUMMYFUNCTION("IF(AK80=MAX(FILTER(AK$10:AK$199,LOOKUP(ROW(AE$10:AE$199),FILTER(ROW(AE$10:AE$199),AE$10:AE$199&lt;&gt;AE$9:AE$198))=LOOKUP(ROW(AE80),FILTER(ROW(AE$10:AE$199),AE$10:AE$199&lt;&gt;AE$9:AE$198)))),AL80,)"),"")</f>
        <v/>
      </c>
      <c r="AP80" s="122"/>
      <c r="AQ80" s="33"/>
      <c r="AR80" s="143" t="str">
        <f t="shared" si="16"/>
        <v>lats - h</v>
      </c>
      <c r="AS80" s="38" t="str">
        <f>IFERROR(__xludf.DUMMYFUNCTION("""COMPUTED_VALUE"""),"ac")</f>
        <v>ac</v>
      </c>
      <c r="AT80" s="144">
        <v>46132.0</v>
      </c>
      <c r="AU80" s="167" t="str">
        <f t="shared" si="26"/>
        <v>Barbell Row</v>
      </c>
      <c r="AV80" s="168">
        <v>3.0</v>
      </c>
      <c r="AW80" s="179" t="s">
        <v>335</v>
      </c>
      <c r="AX80" s="172" t="str">
        <f t="shared" ref="AX80:AX87" si="287">IF(ISBLANK(AJ80),"",AJ80)</f>
        <v>@8</v>
      </c>
      <c r="AY80" s="171" t="str">
        <f t="array" ref="AY80">IFERROR(IF(AS80="ac"+ISNUMBER(SEARCH("'",AX80))+AW80="","", IF(ISNUMBER(SEARCH("lw",AX80)), AK80 + SUBSTITUTE(AX80,"lw+",""), MROUND(SWITCH(AS80,"sq",AW$7,"bn",AX$7,"dl",AY$7,"")*IF(AX80&gt;10, AX80/100, VLOOKUP(AX80, _rpe,SUBSTITUTE(AW80,"+","")+1,0)), IF( SWITCH(AS80,"sq",AW$7,"bn",AX$7,"dl", AY$7,"")&lt; IF(_uom="lbs", 175, 80), 1.25, IF(_uom="lbs",5,2.5))))), "")</f>
        <v/>
      </c>
      <c r="AZ80" s="148"/>
      <c r="BA80" s="33"/>
      <c r="BB80" s="171"/>
      <c r="BC80" s="124" t="str">
        <f>IFERROR(__xludf.DUMMYFUNCTION("IF(AY80=MAX(FILTER(AY$10:AY$199,LOOKUP(ROW(AS$10:AS$199),FILTER(ROW(AS$10:AS$199),AS$10:AS$199&lt;&gt;AS$9:AS$198))=LOOKUP(ROW(AS80),FILTER(ROW(AS$10:AS$199),AS$10:AS$199&lt;&gt;AS$9:AS$198)))),AZ80,)"),"")</f>
        <v/>
      </c>
      <c r="BD80" s="122"/>
      <c r="BE80" s="33"/>
      <c r="BF80" s="143" t="str">
        <f t="shared" si="17"/>
        <v>lats - h</v>
      </c>
      <c r="BG80" s="38" t="str">
        <f>IFERROR(__xludf.DUMMYFUNCTION("""COMPUTED_VALUE"""),"ac")</f>
        <v>ac</v>
      </c>
      <c r="BH80" s="144">
        <v>46139.0</v>
      </c>
      <c r="BI80" s="167" t="str">
        <f t="shared" si="18"/>
        <v>Barbell Row</v>
      </c>
      <c r="BJ80" s="168">
        <v>3.0</v>
      </c>
      <c r="BK80" s="179" t="s">
        <v>325</v>
      </c>
      <c r="BL80" s="173" t="s">
        <v>313</v>
      </c>
      <c r="BM80" s="171" t="str">
        <f t="array" ref="BM80">IFERROR(IF(BG80="ac"+ISNUMBER(SEARCH("'",BL80))+BK80="","", IF(ISNUMBER(SEARCH("lw",BL80)), AY80 + SUBSTITUTE(BL80,"lw+",""), MROUND(SWITCH(BG80,"sq",BK$7,"bn",BL$7,"dl",BM$7,"")*IF(BL80&gt;10, BL80/100, VLOOKUP(BL80, _rpe,SUBSTITUTE(BK80,"+","")+1,0)), IF( SWITCH(BG80,"sq",BK$7,"bn",BL$7,"dl", BM$7,"")&lt; IF(_uom="lbs", 175, 80), 1.25, IF(_uom="lbs",5,2.5))))), "")</f>
        <v/>
      </c>
      <c r="BN80" s="148"/>
      <c r="BO80" s="33"/>
      <c r="BP80" s="171"/>
      <c r="BQ80" s="124" t="str">
        <f>IFERROR(__xludf.DUMMYFUNCTION("IF(BM80=MAX(FILTER(BM$10:BM$199,LOOKUP(ROW(BG$10:BG$199),FILTER(ROW(BG$10:BG$199),BG$10:BG$199&lt;&gt;BG$9:BG$198))=LOOKUP(ROW(BG80),FILTER(ROW(BG$10:BG$199),BG$10:BG$199&lt;&gt;BG$9:BG$198)))),BN80,)"),"")</f>
        <v/>
      </c>
      <c r="BR80" s="122"/>
      <c r="BS80" s="33"/>
      <c r="BT80" s="143" t="str">
        <f t="shared" si="19"/>
        <v>lats - h</v>
      </c>
      <c r="BU80" s="38" t="str">
        <f>IFERROR(__xludf.DUMMYFUNCTION("""COMPUTED_VALUE"""),"ac")</f>
        <v>ac</v>
      </c>
      <c r="BV80" s="144">
        <v>46146.0</v>
      </c>
      <c r="BW80" s="167" t="str">
        <f t="shared" si="20"/>
        <v>Barbell Row</v>
      </c>
      <c r="BX80" s="168">
        <v>3.0</v>
      </c>
      <c r="BY80" s="179" t="s">
        <v>325</v>
      </c>
      <c r="BZ80" s="173" t="s">
        <v>313</v>
      </c>
      <c r="CA80" s="171" t="str">
        <f t="array" ref="CA80">IFERROR(IF(BU80="ac"+ISNUMBER(SEARCH("'",BZ80))+BY80="","", IF(ISNUMBER(SEARCH("lw",BZ80)), BM80 + SUBSTITUTE(BZ80,"lw+",""), MROUND(SWITCH(BU80,"sq",BY$7,"bn",BZ$7,"dl",CA$7,"")*IF(BZ80&gt;10, BZ80/100, VLOOKUP(BZ80, _rpe,SUBSTITUTE(BY80,"+","")+1,0)), IF( SWITCH(BU80,"sq",BY$7,"bn",BZ$7,"dl", CA$7,"")&lt; IF(_uom="lbs", 175, 80), 1.25, IF(_uom="lbs",5,2.5))))), "")</f>
        <v/>
      </c>
      <c r="CB80" s="148"/>
      <c r="CC80" s="33"/>
      <c r="CD80" s="171"/>
      <c r="CE80" s="124" t="str">
        <f>IFERROR(__xludf.DUMMYFUNCTION("IF(CA80=MAX(FILTER(CA$10:CA$199,LOOKUP(ROW(BU$10:BU$199),FILTER(ROW(BU$10:BU$199),BU$10:BU$199&lt;&gt;BU$9:BU$198))=LOOKUP(ROW(BU80),FILTER(ROW(BU$10:BU$199),BU$10:BU$199&lt;&gt;BU$9:BU$198)))),CB80,)"),"")</f>
        <v/>
      </c>
      <c r="CF80" s="122"/>
      <c r="CG80" s="33"/>
      <c r="CH80" s="143" t="str">
        <f t="shared" si="21"/>
        <v>lats - h</v>
      </c>
      <c r="CI80" s="38" t="str">
        <f>IFERROR(__xludf.DUMMYFUNCTION("""COMPUTED_VALUE"""),"ac")</f>
        <v>ac</v>
      </c>
      <c r="CJ80" s="144">
        <v>46153.0</v>
      </c>
      <c r="CK80" s="167" t="str">
        <f t="shared" si="27"/>
        <v>Barbell Row</v>
      </c>
      <c r="CL80" s="168">
        <v>3.0</v>
      </c>
      <c r="CM80" s="179" t="s">
        <v>325</v>
      </c>
      <c r="CN80" s="173" t="s">
        <v>313</v>
      </c>
      <c r="CO80" s="171" t="str">
        <f t="array" ref="CO80">IFERROR(IF(CI80="ac"+ISNUMBER(SEARCH("'",CN80))+CM80="","", IF(ISNUMBER(SEARCH("lw",CN80)), CA80 + SUBSTITUTE(CN80,"lw+",""), MROUND(SWITCH(CI80,"sq",CM$7,"bn",CN$7,"dl",CO$7,"")*IF(CN80&gt;10, CN80/100, VLOOKUP(CN80, _rpe,SUBSTITUTE(CM80,"+","")+1,0)), IF( SWITCH(CI80,"sq",CM$7,"bn",CN$7,"dl", CO$7,"")&lt; IF(_uom="lbs", 175, 80), 1.25, IF(_uom="lbs",5,2.5))))), "")</f>
        <v/>
      </c>
      <c r="CP80" s="148"/>
      <c r="CQ80" s="33"/>
      <c r="CR80" s="171"/>
      <c r="CS80" s="124" t="str">
        <f>IFERROR(__xludf.DUMMYFUNCTION("IF(CO80=MAX(FILTER(CO$10:CO$199,LOOKUP(ROW(CI$10:CI$199),FILTER(ROW(CI$10:CI$199),CI$10:CI$199&lt;&gt;CI$9:CI$198))=LOOKUP(ROW(CI80),FILTER(ROW(CI$10:CI$199),CI$10:CI$199&lt;&gt;CI$9:CI$198)))),CP80,)"),"")</f>
        <v/>
      </c>
      <c r="CT80" s="122"/>
      <c r="CU80" s="33"/>
      <c r="CV80" s="143" t="str">
        <f t="shared" si="22"/>
        <v>lats - h</v>
      </c>
      <c r="CW80" s="38" t="str">
        <f>IFERROR(__xludf.DUMMYFUNCTION("""COMPUTED_VALUE"""),"ac")</f>
        <v>ac</v>
      </c>
      <c r="CX80" s="144">
        <v>46160.0</v>
      </c>
      <c r="CY80" s="167" t="str">
        <f t="shared" si="28"/>
        <v>Barbell Row</v>
      </c>
      <c r="CZ80" s="168">
        <f t="shared" ref="CZ80:CZ87" si="288">IF(ISBLANK(CL80),"",CL80)</f>
        <v>3</v>
      </c>
      <c r="DA80" s="179" t="s">
        <v>325</v>
      </c>
      <c r="DB80" s="172" t="str">
        <f t="shared" ref="DB80:DB87" si="289">IF(ISBLANK(CN80),"",CN80)</f>
        <v>@8</v>
      </c>
      <c r="DC80" s="171" t="str">
        <f t="array" ref="DC80">IFERROR(IF(CW80="ac"+ISNUMBER(SEARCH("'",DB80))+DA80="","", IF(ISNUMBER(SEARCH("lw",DB80)), CO80 + SUBSTITUTE(DB80,"lw+",""), MROUND(SWITCH(CW80,"sq",DA$7,"bn",DB$7,"dl",DC$7,"")*IF(DB80&gt;10, DB80/100, VLOOKUP(DB80, _rpe,SUBSTITUTE(DA80,"+","")+1,0)), IF( SWITCH(CW80,"sq",DA$7,"bn",DB$7,"dl", DC$7,"")&lt; IF(_uom="lbs", 175, 80), 1.25, IF(_uom="lbs",5,2.5))))), "")</f>
        <v/>
      </c>
      <c r="DD80" s="148"/>
      <c r="DE80" s="33"/>
      <c r="DF80" s="171"/>
      <c r="DG80" s="124" t="str">
        <f>IFERROR(__xludf.DUMMYFUNCTION("IF(DC80=MAX(FILTER(DC$10:DC$199,LOOKUP(ROW(CW$10:CW$199),FILTER(ROW(CW$10:CW$199),CW$10:CW$199&lt;&gt;CW$9:CW$198))=LOOKUP(ROW(CW80),FILTER(ROW(CW$10:CW$199),CW$10:CW$199&lt;&gt;CW$9:CW$198)))),DD80,)"),"")</f>
        <v/>
      </c>
      <c r="DH80" s="122"/>
      <c r="DI80" s="33"/>
      <c r="DJ80" s="143" t="str">
        <f t="shared" si="23"/>
        <v>lats - h</v>
      </c>
      <c r="DK80" s="38" t="str">
        <f>IFERROR(__xludf.DUMMYFUNCTION("""COMPUTED_VALUE"""),"")</f>
        <v/>
      </c>
      <c r="DL80" s="144">
        <v>46167.0</v>
      </c>
      <c r="DM80" s="167"/>
      <c r="DN80" s="168"/>
      <c r="DO80" s="169"/>
      <c r="DP80" s="171"/>
      <c r="DQ80" s="171" t="str">
        <f t="array" ref="DQ80">IFERROR(IF(DK80="ac"+ISNUMBER(SEARCH("'",DP80))+DO80="","", IF(ISNUMBER(SEARCH("lw",DP80)), DC80 + SUBSTITUTE(DP80,"lw+",""), MROUND(SWITCH(DK80,"sq",DO$7,"bn",DP$7,"dl",DQ$7,"")*IF(DP80&gt;10, DP80/100, VLOOKUP(DP80, _rpe,SUBSTITUTE(DO80,"+","")+1,0)), IF( SWITCH(DK80,"sq",DO$7,"bn",DP$7,"dl", DQ$7,"")&lt; IF(_uom="lbs", 175, 80), 1.25, IF(_uom="lbs",5,2.5))))), "")</f>
        <v/>
      </c>
      <c r="DR80" s="148"/>
      <c r="DS80" s="33"/>
      <c r="DT80" s="171"/>
      <c r="DU80" s="124" t="str">
        <f>IFERROR(__xludf.DUMMYFUNCTION("IF(DQ80=MAX(FILTER(DQ$10:DQ$199,LOOKUP(ROW(DK$10:DK$199),FILTER(ROW(DK$10:DK$199),DK$10:DK$199&lt;&gt;DK$9:DK$198))=LOOKUP(ROW(DK80),FILTER(ROW(DK$10:DK$199),DK$10:DK$199&lt;&gt;DK$9:DK$198)))),DR80,)"),"")</f>
        <v/>
      </c>
      <c r="DV80" s="122"/>
      <c r="DW80" s="33"/>
      <c r="DX80" s="143"/>
      <c r="DY80" s="38"/>
      <c r="DZ80" s="144"/>
      <c r="EA80" s="150"/>
      <c r="EB80" s="174"/>
      <c r="EC80" s="175"/>
      <c r="ED80" s="155"/>
      <c r="EE80" s="155"/>
      <c r="EF80" s="148"/>
      <c r="EG80" s="33"/>
      <c r="EH80" s="155"/>
      <c r="EI80" s="148"/>
      <c r="EJ80" s="33"/>
      <c r="EK80" s="33"/>
      <c r="EL80" s="143"/>
      <c r="EM80" s="38"/>
      <c r="EN80" s="144"/>
      <c r="EO80" s="150"/>
      <c r="EP80" s="174"/>
      <c r="EQ80" s="175"/>
      <c r="ER80" s="176"/>
      <c r="ES80" s="155"/>
      <c r="ET80" s="148"/>
      <c r="EU80" s="33"/>
      <c r="EV80" s="155"/>
      <c r="EW80" s="148"/>
      <c r="EX80" s="33"/>
      <c r="EY80" s="33"/>
      <c r="EZ80" s="143"/>
      <c r="FA80" s="38"/>
      <c r="FB80" s="144"/>
      <c r="FC80" s="150"/>
      <c r="FD80" s="174"/>
      <c r="FE80" s="175"/>
      <c r="FF80" s="176"/>
      <c r="FG80" s="155"/>
      <c r="FH80" s="148"/>
      <c r="FI80" s="33"/>
      <c r="FJ80" s="155"/>
      <c r="FK80" s="148"/>
      <c r="FL80" s="33"/>
      <c r="FM80" s="33"/>
      <c r="FN80" s="143"/>
      <c r="FO80" s="38"/>
      <c r="FP80" s="144"/>
      <c r="FQ80" s="150"/>
      <c r="FR80" s="174"/>
      <c r="FS80" s="175"/>
      <c r="FT80" s="176"/>
      <c r="FU80" s="155"/>
      <c r="FV80" s="148"/>
      <c r="FW80" s="33"/>
      <c r="FX80" s="155"/>
      <c r="FY80" s="148"/>
      <c r="FZ80" s="33"/>
      <c r="GA80" s="33"/>
      <c r="GB80" s="143"/>
      <c r="GC80" s="38"/>
      <c r="GD80" s="144"/>
      <c r="GE80" s="150"/>
      <c r="GF80" s="174"/>
      <c r="GG80" s="175"/>
      <c r="GH80" s="176"/>
      <c r="GI80" s="155"/>
      <c r="GJ80" s="148"/>
      <c r="GK80" s="33"/>
      <c r="GL80" s="155"/>
      <c r="GM80" s="148"/>
      <c r="GN80" s="33"/>
      <c r="GO80" s="33"/>
      <c r="GP80" s="143"/>
      <c r="GQ80" s="38"/>
      <c r="GR80" s="144"/>
      <c r="GS80" s="150"/>
      <c r="GT80" s="174"/>
      <c r="GU80" s="175"/>
      <c r="GV80" s="176"/>
      <c r="GW80" s="155"/>
      <c r="GX80" s="148"/>
      <c r="GY80" s="33"/>
      <c r="GZ80" s="155"/>
      <c r="HA80" s="148"/>
      <c r="HB80" s="33"/>
      <c r="HC80" s="33"/>
      <c r="HD80" s="143"/>
      <c r="HE80" s="38"/>
      <c r="HF80" s="144"/>
      <c r="HG80" s="150"/>
      <c r="HH80" s="174"/>
      <c r="HI80" s="175"/>
      <c r="HJ80" s="176"/>
      <c r="HK80" s="155"/>
      <c r="HL80" s="148"/>
      <c r="HM80" s="33"/>
      <c r="HN80" s="155"/>
      <c r="HO80" s="148"/>
      <c r="HP80" s="33"/>
      <c r="HQ80" s="33"/>
      <c r="HR80" s="143"/>
      <c r="HS80" s="38"/>
      <c r="HT80" s="144"/>
      <c r="HU80" s="150"/>
      <c r="HV80" s="174"/>
      <c r="HW80" s="175"/>
      <c r="HX80" s="176"/>
      <c r="HY80" s="155"/>
      <c r="HZ80" s="148"/>
      <c r="IA80" s="33"/>
      <c r="IB80" s="155"/>
      <c r="IC80" s="148"/>
      <c r="ID80" s="33"/>
      <c r="IE80" s="33"/>
      <c r="IF80" s="143"/>
      <c r="IG80" s="38"/>
      <c r="IH80" s="144"/>
      <c r="II80" s="150"/>
      <c r="IJ80" s="174"/>
      <c r="IK80" s="175"/>
      <c r="IL80" s="176"/>
      <c r="IM80" s="155"/>
      <c r="IN80" s="148"/>
      <c r="IO80" s="33"/>
      <c r="IP80" s="155"/>
      <c r="IQ80" s="148"/>
      <c r="IR80" s="33"/>
      <c r="IS80" s="33"/>
      <c r="IT80" s="143"/>
      <c r="IU80" s="38"/>
      <c r="IV80" s="144"/>
      <c r="IW80" s="143" t="str">
        <f t="shared" si="24"/>
        <v>#REF!</v>
      </c>
      <c r="IX80" s="38"/>
      <c r="IY80" s="144" t="e">
        <v>#REF!</v>
      </c>
    </row>
    <row r="81" hidden="1" outlineLevel="1">
      <c r="A81" s="33"/>
      <c r="B81" s="181"/>
      <c r="C81" s="38" t="str">
        <f>IFERROR(__xludf.DUMMYFUNCTION("""COMPUTED_VALUE"""),"")</f>
        <v/>
      </c>
      <c r="D81" s="144">
        <v>46111.0</v>
      </c>
      <c r="E81" s="182"/>
      <c r="F81" s="168"/>
      <c r="G81" s="169"/>
      <c r="H81" s="170"/>
      <c r="I81" s="171" t="str">
        <f t="array" ref="I81">IFERROR(IF(C81="ac"+ISNUMBER(SEARCH("'",H81))+G81="","", MROUND(SWITCH(C81,"sq",'Personal Info'!$O$15,"bn",'Personal Info'!$S$15,"dl",'Personal Info'!$W$15,"")*IF(H81&gt;10, H81/100, VLOOKUP(H81, _rpe,SUBSTITUTE(G81,"+","")+1,0)), IF( SWITCH(C81:C210,"sq",'Personal Info'!$O$15,"bn",'Personal Info'!$S$15,"dl", 'Personal Info'!$W$15,"")&lt; IF(_uom="lbs", 175, 80), 1.25, IF(_uom="lbs",5,2.5)))),"")</f>
        <v/>
      </c>
      <c r="J81" s="148"/>
      <c r="K81" s="33"/>
      <c r="L81" s="171"/>
      <c r="M81" s="124" t="str">
        <f>IFERROR(__xludf.DUMMYFUNCTION("IF(I81=MAX(FILTER(I$10:I$199,LOOKUP(ROW(C$10:C$199),FILTER(ROW(C$10:C$199),C$10:C$199&lt;&gt;C$9:C$198))=LOOKUP(ROW(C81),FILTER(ROW(C$10:C$199),C$10:C$199&lt;&gt;C$9:C$198)))),J81,)"),"")</f>
        <v/>
      </c>
      <c r="N81" s="122"/>
      <c r="O81" s="33"/>
      <c r="P81" s="143" t="str">
        <f t="shared" si="12"/>
        <v/>
      </c>
      <c r="Q81" s="38" t="str">
        <f>IFERROR(__xludf.DUMMYFUNCTION("""COMPUTED_VALUE"""),"")</f>
        <v/>
      </c>
      <c r="R81" s="144">
        <v>46118.0</v>
      </c>
      <c r="S81" s="167" t="str">
        <f t="shared" si="13"/>
        <v/>
      </c>
      <c r="T81" s="168" t="str">
        <f t="shared" ref="T81:T83" si="290">IF(ISBLANK(F81),"",F81)</f>
        <v/>
      </c>
      <c r="U81" s="169" t="str">
        <f t="shared" ref="U81:U83" si="291">IF( OR(ISBLANK(G81),G81=""),"", G81)</f>
        <v/>
      </c>
      <c r="V81" s="172" t="str">
        <f t="shared" ref="V81:V83" si="292">IF(ISBLANK(H81),"",H81)</f>
        <v/>
      </c>
      <c r="W81" s="171" t="str">
        <f t="array" ref="W81">IFERROR(IF(Q81="ac"+ISNUMBER(SEARCH("'",V81))+U81="","", IF(ISNUMBER(SEARCH("lw",V81)), I81 + SUBSTITUTE(V81,"lw+",""), MROUND(SWITCH(Q81,"sq",U$7,"bn",V$7,"dl",W$7,"")*IF(V81&gt;10, V81/100, VLOOKUP(V81, _rpe,SUBSTITUTE(U81,"+","")+1,0)), IF( SWITCH(Q81,"sq",U$7,"bn",V$7,"dl", W$7,"")&lt; IF(_uom="lbs", 175, 80), 1.25, IF(_uom="lbs",5,2.5))))), "")</f>
        <v/>
      </c>
      <c r="X81" s="148"/>
      <c r="Y81" s="33"/>
      <c r="Z81" s="171"/>
      <c r="AA81" s="124" t="str">
        <f>IFERROR(__xludf.DUMMYFUNCTION("IF(W81=MAX(FILTER(W$10:W$199,LOOKUP(ROW(Q$10:Q$199),FILTER(ROW(Q$10:Q$199),Q$10:Q$199&lt;&gt;Q$9:Q$198))=LOOKUP(ROW(Q81),FILTER(ROW(Q$10:Q$199),Q$10:Q$199&lt;&gt;Q$9:Q$198)))),X81,)"),"")</f>
        <v/>
      </c>
      <c r="AB81" s="122"/>
      <c r="AC81" s="33"/>
      <c r="AD81" s="143" t="str">
        <f t="shared" si="14"/>
        <v/>
      </c>
      <c r="AE81" s="38" t="str">
        <f>IFERROR(__xludf.DUMMYFUNCTION("""COMPUTED_VALUE"""),"")</f>
        <v/>
      </c>
      <c r="AF81" s="144">
        <v>46125.0</v>
      </c>
      <c r="AG81" s="167" t="str">
        <f t="shared" si="54"/>
        <v/>
      </c>
      <c r="AH81" s="168" t="str">
        <f t="shared" ref="AH81:AH87" si="293">IF(ISBLANK(T81),"",T81)</f>
        <v/>
      </c>
      <c r="AI81" s="169" t="str">
        <f t="shared" ref="AI81:AI83" si="294">IF( OR(ISBLANK(U81),U81=""),"", U81)</f>
        <v/>
      </c>
      <c r="AJ81" s="172" t="str">
        <f t="shared" si="286"/>
        <v/>
      </c>
      <c r="AK81" s="171" t="str">
        <f t="array" ref="AK81">IFERROR(IF(AE81="ac"+ISNUMBER(SEARCH("'",AJ81))+AI81="","", IF(ISNUMBER(SEARCH("lw",AJ81)), W81 + SUBSTITUTE(AJ81,"lw+",""), MROUND(SWITCH(AE81,"sq",AI$7,"bn",AJ$7,"dl",AK$7,"")*IF(AJ81&gt;10, AJ81/100, VLOOKUP(AJ81, _rpe,SUBSTITUTE(AI81,"+","")+1,0)), IF( SWITCH(AE81,"sq",AI$7,"bn",AJ$7,"dl", AK$7,"")&lt; IF(_uom="lbs", 175, 80), 1.25, IF(_uom="lbs",5,2.5))))), "")</f>
        <v/>
      </c>
      <c r="AL81" s="148"/>
      <c r="AM81" s="33"/>
      <c r="AN81" s="171"/>
      <c r="AO81" s="124" t="str">
        <f>IFERROR(__xludf.DUMMYFUNCTION("IF(AK81=MAX(FILTER(AK$10:AK$199,LOOKUP(ROW(AE$10:AE$199),FILTER(ROW(AE$10:AE$199),AE$10:AE$199&lt;&gt;AE$9:AE$198))=LOOKUP(ROW(AE81),FILTER(ROW(AE$10:AE$199),AE$10:AE$199&lt;&gt;AE$9:AE$198)))),AL81,)"),"")</f>
        <v/>
      </c>
      <c r="AP81" s="122"/>
      <c r="AQ81" s="33"/>
      <c r="AR81" s="143" t="str">
        <f t="shared" si="16"/>
        <v/>
      </c>
      <c r="AS81" s="38" t="str">
        <f>IFERROR(__xludf.DUMMYFUNCTION("""COMPUTED_VALUE"""),"")</f>
        <v/>
      </c>
      <c r="AT81" s="144">
        <v>46132.0</v>
      </c>
      <c r="AU81" s="167" t="str">
        <f t="shared" si="26"/>
        <v/>
      </c>
      <c r="AV81" s="168" t="str">
        <f t="shared" ref="AV81:AV87" si="295">IF(ISBLANK(AH81),"",AH81)</f>
        <v/>
      </c>
      <c r="AW81" s="169" t="str">
        <f t="shared" ref="AW81:AW83" si="296">IF( OR(ISBLANK(AI81),AI81=""),"", AI81)</f>
        <v/>
      </c>
      <c r="AX81" s="172" t="str">
        <f t="shared" si="287"/>
        <v/>
      </c>
      <c r="AY81" s="171" t="str">
        <f t="array" ref="AY81">IFERROR(IF(AS81="ac"+ISNUMBER(SEARCH("'",AX81))+AW81="","", IF(ISNUMBER(SEARCH("lw",AX81)), AK81 + SUBSTITUTE(AX81,"lw+",""), MROUND(SWITCH(AS81,"sq",AW$7,"bn",AX$7,"dl",AY$7,"")*IF(AX81&gt;10, AX81/100, VLOOKUP(AX81, _rpe,SUBSTITUTE(AW81,"+","")+1,0)), IF( SWITCH(AS81,"sq",AW$7,"bn",AX$7,"dl", AY$7,"")&lt; IF(_uom="lbs", 175, 80), 1.25, IF(_uom="lbs",5,2.5))))), "")</f>
        <v/>
      </c>
      <c r="AZ81" s="148"/>
      <c r="BA81" s="33"/>
      <c r="BB81" s="171"/>
      <c r="BC81" s="124" t="str">
        <f>IFERROR(__xludf.DUMMYFUNCTION("IF(AY81=MAX(FILTER(AY$10:AY$199,LOOKUP(ROW(AS$10:AS$199),FILTER(ROW(AS$10:AS$199),AS$10:AS$199&lt;&gt;AS$9:AS$198))=LOOKUP(ROW(AS81),FILTER(ROW(AS$10:AS$199),AS$10:AS$199&lt;&gt;AS$9:AS$198)))),AZ81,)"),"")</f>
        <v/>
      </c>
      <c r="BD81" s="122"/>
      <c r="BE81" s="33"/>
      <c r="BF81" s="143" t="str">
        <f t="shared" si="17"/>
        <v/>
      </c>
      <c r="BG81" s="38" t="str">
        <f>IFERROR(__xludf.DUMMYFUNCTION("""COMPUTED_VALUE"""),"")</f>
        <v/>
      </c>
      <c r="BH81" s="144">
        <v>46139.0</v>
      </c>
      <c r="BI81" s="167" t="str">
        <f t="shared" si="18"/>
        <v/>
      </c>
      <c r="BJ81" s="168" t="str">
        <f t="shared" ref="BJ81:BJ83" si="297">IF(ISBLANK(AV81),"",AV81)</f>
        <v/>
      </c>
      <c r="BK81" s="169" t="str">
        <f t="shared" ref="BK81:BK83" si="298">IF( OR(ISBLANK(AW81),AW81=""),"", AW81)</f>
        <v/>
      </c>
      <c r="BL81" s="172" t="str">
        <f t="shared" ref="BL81:BL87" si="299">IF(ISBLANK(AX81),"",AX81)</f>
        <v/>
      </c>
      <c r="BM81" s="171" t="str">
        <f t="array" ref="BM81">IFERROR(IF(BG81="ac"+ISNUMBER(SEARCH("'",BL81))+BK81="","", IF(ISNUMBER(SEARCH("lw",BL81)), AY81 + SUBSTITUTE(BL81,"lw+",""), MROUND(SWITCH(BG81,"sq",BK$7,"bn",BL$7,"dl",BM$7,"")*IF(BL81&gt;10, BL81/100, VLOOKUP(BL81, _rpe,SUBSTITUTE(BK81,"+","")+1,0)), IF( SWITCH(BG81,"sq",BK$7,"bn",BL$7,"dl", BM$7,"")&lt; IF(_uom="lbs", 175, 80), 1.25, IF(_uom="lbs",5,2.5))))), "")</f>
        <v/>
      </c>
      <c r="BN81" s="148"/>
      <c r="BO81" s="33"/>
      <c r="BP81" s="171"/>
      <c r="BQ81" s="124" t="str">
        <f>IFERROR(__xludf.DUMMYFUNCTION("IF(BM81=MAX(FILTER(BM$10:BM$199,LOOKUP(ROW(BG$10:BG$199),FILTER(ROW(BG$10:BG$199),BG$10:BG$199&lt;&gt;BG$9:BG$198))=LOOKUP(ROW(BG81),FILTER(ROW(BG$10:BG$199),BG$10:BG$199&lt;&gt;BG$9:BG$198)))),BN81,)"),"")</f>
        <v/>
      </c>
      <c r="BR81" s="122"/>
      <c r="BS81" s="33"/>
      <c r="BT81" s="143" t="str">
        <f t="shared" si="19"/>
        <v/>
      </c>
      <c r="BU81" s="38" t="str">
        <f>IFERROR(__xludf.DUMMYFUNCTION("""COMPUTED_VALUE"""),"")</f>
        <v/>
      </c>
      <c r="BV81" s="144">
        <v>46146.0</v>
      </c>
      <c r="BW81" s="167" t="str">
        <f t="shared" si="20"/>
        <v/>
      </c>
      <c r="BX81" s="168" t="str">
        <f t="shared" ref="BX81:BX83" si="300">IF(ISBLANK(BJ81),"",BJ81)</f>
        <v/>
      </c>
      <c r="BY81" s="169" t="str">
        <f t="shared" ref="BY81:BY83" si="301">IF( OR(ISBLANK(BK81),BK81=""),"", BK81)</f>
        <v/>
      </c>
      <c r="BZ81" s="172" t="str">
        <f t="shared" ref="BZ81:BZ87" si="302">IF(ISBLANK(BL81),"",BL81)</f>
        <v/>
      </c>
      <c r="CA81" s="171" t="str">
        <f t="array" ref="CA81">IFERROR(IF(BU81="ac"+ISNUMBER(SEARCH("'",BZ81))+BY81="","", IF(ISNUMBER(SEARCH("lw",BZ81)), BM81 + SUBSTITUTE(BZ81,"lw+",""), MROUND(SWITCH(BU81,"sq",BY$7,"bn",BZ$7,"dl",CA$7,"")*IF(BZ81&gt;10, BZ81/100, VLOOKUP(BZ81, _rpe,SUBSTITUTE(BY81,"+","")+1,0)), IF( SWITCH(BU81,"sq",BY$7,"bn",BZ$7,"dl", CA$7,"")&lt; IF(_uom="lbs", 175, 80), 1.25, IF(_uom="lbs",5,2.5))))), "")</f>
        <v/>
      </c>
      <c r="CB81" s="148"/>
      <c r="CC81" s="33"/>
      <c r="CD81" s="171"/>
      <c r="CE81" s="124" t="str">
        <f>IFERROR(__xludf.DUMMYFUNCTION("IF(CA81=MAX(FILTER(CA$10:CA$199,LOOKUP(ROW(BU$10:BU$199),FILTER(ROW(BU$10:BU$199),BU$10:BU$199&lt;&gt;BU$9:BU$198))=LOOKUP(ROW(BU81),FILTER(ROW(BU$10:BU$199),BU$10:BU$199&lt;&gt;BU$9:BU$198)))),CB81,)"),"")</f>
        <v/>
      </c>
      <c r="CF81" s="122"/>
      <c r="CG81" s="33"/>
      <c r="CH81" s="143" t="str">
        <f t="shared" si="21"/>
        <v/>
      </c>
      <c r="CI81" s="38" t="str">
        <f>IFERROR(__xludf.DUMMYFUNCTION("""COMPUTED_VALUE"""),"")</f>
        <v/>
      </c>
      <c r="CJ81" s="144">
        <v>46153.0</v>
      </c>
      <c r="CK81" s="167" t="str">
        <f t="shared" si="27"/>
        <v/>
      </c>
      <c r="CL81" s="168" t="str">
        <f t="shared" ref="CL81:CL87" si="303">IF(ISBLANK(BX81),"",BX81)</f>
        <v/>
      </c>
      <c r="CM81" s="169" t="str">
        <f t="shared" ref="CM81:CM83" si="304">IF( OR(ISBLANK(BY81),BY81=""),"", BY81)</f>
        <v/>
      </c>
      <c r="CN81" s="172" t="str">
        <f t="shared" ref="CN81:CN87" si="305">IF(ISBLANK(BZ81),"",BZ81)</f>
        <v/>
      </c>
      <c r="CO81" s="171" t="str">
        <f t="array" ref="CO81">IFERROR(IF(CI81="ac"+ISNUMBER(SEARCH("'",CN81))+CM81="","", IF(ISNUMBER(SEARCH("lw",CN81)), CA81 + SUBSTITUTE(CN81,"lw+",""), MROUND(SWITCH(CI81,"sq",CM$7,"bn",CN$7,"dl",CO$7,"")*IF(CN81&gt;10, CN81/100, VLOOKUP(CN81, _rpe,SUBSTITUTE(CM81,"+","")+1,0)), IF( SWITCH(CI81,"sq",CM$7,"bn",CN$7,"dl", CO$7,"")&lt; IF(_uom="lbs", 175, 80), 1.25, IF(_uom="lbs",5,2.5))))), "")</f>
        <v/>
      </c>
      <c r="CP81" s="148"/>
      <c r="CQ81" s="33"/>
      <c r="CR81" s="171"/>
      <c r="CS81" s="124" t="str">
        <f>IFERROR(__xludf.DUMMYFUNCTION("IF(CO81=MAX(FILTER(CO$10:CO$199,LOOKUP(ROW(CI$10:CI$199),FILTER(ROW(CI$10:CI$199),CI$10:CI$199&lt;&gt;CI$9:CI$198))=LOOKUP(ROW(CI81),FILTER(ROW(CI$10:CI$199),CI$10:CI$199&lt;&gt;CI$9:CI$198)))),CP81,)"),"")</f>
        <v/>
      </c>
      <c r="CT81" s="122"/>
      <c r="CU81" s="33"/>
      <c r="CV81" s="143" t="str">
        <f t="shared" si="22"/>
        <v/>
      </c>
      <c r="CW81" s="38" t="str">
        <f>IFERROR(__xludf.DUMMYFUNCTION("""COMPUTED_VALUE"""),"")</f>
        <v/>
      </c>
      <c r="CX81" s="144">
        <v>46160.0</v>
      </c>
      <c r="CY81" s="167" t="str">
        <f t="shared" si="28"/>
        <v/>
      </c>
      <c r="CZ81" s="168" t="str">
        <f t="shared" si="288"/>
        <v/>
      </c>
      <c r="DA81" s="169" t="str">
        <f t="shared" ref="DA81:DA83" si="306">IF( OR(ISBLANK(CM81),CM81=""),"", CM81)</f>
        <v/>
      </c>
      <c r="DB81" s="172" t="str">
        <f t="shared" si="289"/>
        <v/>
      </c>
      <c r="DC81" s="171" t="str">
        <f t="array" ref="DC81">IFERROR(IF(CW81="ac"+ISNUMBER(SEARCH("'",DB81))+DA81="","", IF(ISNUMBER(SEARCH("lw",DB81)), CO81 + SUBSTITUTE(DB81,"lw+",""), MROUND(SWITCH(CW81,"sq",DA$7,"bn",DB$7,"dl",DC$7,"")*IF(DB81&gt;10, DB81/100, VLOOKUP(DB81, _rpe,SUBSTITUTE(DA81,"+","")+1,0)), IF( SWITCH(CW81,"sq",DA$7,"bn",DB$7,"dl", DC$7,"")&lt; IF(_uom="lbs", 175, 80), 1.25, IF(_uom="lbs",5,2.5))))), "")</f>
        <v/>
      </c>
      <c r="DD81" s="148"/>
      <c r="DE81" s="33"/>
      <c r="DF81" s="171"/>
      <c r="DG81" s="124" t="str">
        <f>IFERROR(__xludf.DUMMYFUNCTION("IF(DC81=MAX(FILTER(DC$10:DC$199,LOOKUP(ROW(CW$10:CW$199),FILTER(ROW(CW$10:CW$199),CW$10:CW$199&lt;&gt;CW$9:CW$198))=LOOKUP(ROW(CW81),FILTER(ROW(CW$10:CW$199),CW$10:CW$199&lt;&gt;CW$9:CW$198)))),DD81,)"),"")</f>
        <v/>
      </c>
      <c r="DH81" s="122"/>
      <c r="DI81" s="33"/>
      <c r="DJ81" s="143" t="str">
        <f t="shared" si="23"/>
        <v/>
      </c>
      <c r="DK81" s="38" t="str">
        <f>IFERROR(__xludf.DUMMYFUNCTION("""COMPUTED_VALUE"""),"")</f>
        <v/>
      </c>
      <c r="DL81" s="144">
        <v>46167.0</v>
      </c>
      <c r="DM81" s="167"/>
      <c r="DN81" s="168"/>
      <c r="DO81" s="169"/>
      <c r="DP81" s="172"/>
      <c r="DQ81" s="171" t="str">
        <f t="array" ref="DQ81">IFERROR(IF(DK81="ac"+ISNUMBER(SEARCH("'",DP81))+DO81="","", IF(ISNUMBER(SEARCH("lw",DP81)), DC81 + SUBSTITUTE(DP81,"lw+",""), MROUND(SWITCH(DK81,"sq",DO$7,"bn",DP$7,"dl",DQ$7,"")*IF(DP81&gt;10, DP81/100, VLOOKUP(DP81, _rpe,SUBSTITUTE(DO81,"+","")+1,0)), IF( SWITCH(DK81,"sq",DO$7,"bn",DP$7,"dl", DQ$7,"")&lt; IF(_uom="lbs", 175, 80), 1.25, IF(_uom="lbs",5,2.5))))), "")</f>
        <v/>
      </c>
      <c r="DR81" s="148"/>
      <c r="DS81" s="33"/>
      <c r="DT81" s="171"/>
      <c r="DU81" s="124" t="str">
        <f>IFERROR(__xludf.DUMMYFUNCTION("IF(DQ81=MAX(FILTER(DQ$10:DQ$199,LOOKUP(ROW(DK$10:DK$199),FILTER(ROW(DK$10:DK$199),DK$10:DK$199&lt;&gt;DK$9:DK$198))=LOOKUP(ROW(DK81),FILTER(ROW(DK$10:DK$199),DK$10:DK$199&lt;&gt;DK$9:DK$198)))),DR81,)"),"")</f>
        <v/>
      </c>
      <c r="DV81" s="122"/>
      <c r="DW81" s="33"/>
      <c r="DX81" s="143"/>
      <c r="DY81" s="38"/>
      <c r="DZ81" s="144"/>
      <c r="EA81" s="150"/>
      <c r="EB81" s="174"/>
      <c r="EC81" s="175"/>
      <c r="ED81" s="176"/>
      <c r="EE81" s="155"/>
      <c r="EF81" s="148"/>
      <c r="EG81" s="33"/>
      <c r="EH81" s="155"/>
      <c r="EI81" s="148"/>
      <c r="EJ81" s="33"/>
      <c r="EK81" s="33"/>
      <c r="EL81" s="143"/>
      <c r="EM81" s="38"/>
      <c r="EN81" s="144"/>
      <c r="EO81" s="150"/>
      <c r="EP81" s="174"/>
      <c r="EQ81" s="175"/>
      <c r="ER81" s="176"/>
      <c r="ES81" s="155"/>
      <c r="ET81" s="148"/>
      <c r="EU81" s="33"/>
      <c r="EV81" s="155"/>
      <c r="EW81" s="148"/>
      <c r="EX81" s="33"/>
      <c r="EY81" s="33"/>
      <c r="EZ81" s="143"/>
      <c r="FA81" s="38"/>
      <c r="FB81" s="144"/>
      <c r="FC81" s="150"/>
      <c r="FD81" s="174"/>
      <c r="FE81" s="175"/>
      <c r="FF81" s="176"/>
      <c r="FG81" s="155"/>
      <c r="FH81" s="148"/>
      <c r="FI81" s="33"/>
      <c r="FJ81" s="155"/>
      <c r="FK81" s="148"/>
      <c r="FL81" s="33"/>
      <c r="FM81" s="33"/>
      <c r="FN81" s="143"/>
      <c r="FO81" s="38"/>
      <c r="FP81" s="144"/>
      <c r="FQ81" s="150"/>
      <c r="FR81" s="174"/>
      <c r="FS81" s="175"/>
      <c r="FT81" s="176"/>
      <c r="FU81" s="155"/>
      <c r="FV81" s="148"/>
      <c r="FW81" s="33"/>
      <c r="FX81" s="155"/>
      <c r="FY81" s="148"/>
      <c r="FZ81" s="33"/>
      <c r="GA81" s="33"/>
      <c r="GB81" s="143"/>
      <c r="GC81" s="38"/>
      <c r="GD81" s="144"/>
      <c r="GE81" s="150"/>
      <c r="GF81" s="174"/>
      <c r="GG81" s="175"/>
      <c r="GH81" s="176"/>
      <c r="GI81" s="155"/>
      <c r="GJ81" s="148"/>
      <c r="GK81" s="33"/>
      <c r="GL81" s="155"/>
      <c r="GM81" s="148"/>
      <c r="GN81" s="33"/>
      <c r="GO81" s="33"/>
      <c r="GP81" s="143"/>
      <c r="GQ81" s="38"/>
      <c r="GR81" s="144"/>
      <c r="GS81" s="150"/>
      <c r="GT81" s="174"/>
      <c r="GU81" s="175"/>
      <c r="GV81" s="176"/>
      <c r="GW81" s="155"/>
      <c r="GX81" s="148"/>
      <c r="GY81" s="33"/>
      <c r="GZ81" s="155"/>
      <c r="HA81" s="148"/>
      <c r="HB81" s="33"/>
      <c r="HC81" s="33"/>
      <c r="HD81" s="143"/>
      <c r="HE81" s="38"/>
      <c r="HF81" s="144"/>
      <c r="HG81" s="150"/>
      <c r="HH81" s="174"/>
      <c r="HI81" s="175"/>
      <c r="HJ81" s="176"/>
      <c r="HK81" s="155"/>
      <c r="HL81" s="148"/>
      <c r="HM81" s="33"/>
      <c r="HN81" s="155"/>
      <c r="HO81" s="148"/>
      <c r="HP81" s="33"/>
      <c r="HQ81" s="33"/>
      <c r="HR81" s="143"/>
      <c r="HS81" s="38"/>
      <c r="HT81" s="144"/>
      <c r="HU81" s="150"/>
      <c r="HV81" s="174"/>
      <c r="HW81" s="175"/>
      <c r="HX81" s="176"/>
      <c r="HY81" s="155"/>
      <c r="HZ81" s="148"/>
      <c r="IA81" s="33"/>
      <c r="IB81" s="155"/>
      <c r="IC81" s="148"/>
      <c r="ID81" s="33"/>
      <c r="IE81" s="33"/>
      <c r="IF81" s="143"/>
      <c r="IG81" s="38"/>
      <c r="IH81" s="144"/>
      <c r="II81" s="150"/>
      <c r="IJ81" s="174"/>
      <c r="IK81" s="175"/>
      <c r="IL81" s="176"/>
      <c r="IM81" s="155"/>
      <c r="IN81" s="148"/>
      <c r="IO81" s="33"/>
      <c r="IP81" s="155"/>
      <c r="IQ81" s="148"/>
      <c r="IR81" s="33"/>
      <c r="IS81" s="33"/>
      <c r="IT81" s="143"/>
      <c r="IU81" s="38"/>
      <c r="IV81" s="144"/>
      <c r="IW81" s="143" t="str">
        <f t="shared" si="24"/>
        <v>#REF!</v>
      </c>
      <c r="IX81" s="38"/>
      <c r="IY81" s="144" t="e">
        <v>#REF!</v>
      </c>
    </row>
    <row r="82" hidden="1" outlineLevel="1">
      <c r="A82" s="33"/>
      <c r="B82" s="181"/>
      <c r="C82" s="38" t="str">
        <f>IFERROR(__xludf.DUMMYFUNCTION("""COMPUTED_VALUE"""),"")</f>
        <v/>
      </c>
      <c r="D82" s="144">
        <v>46111.0</v>
      </c>
      <c r="E82" s="182"/>
      <c r="F82" s="168"/>
      <c r="G82" s="169"/>
      <c r="H82" s="170"/>
      <c r="I82" s="171" t="str">
        <f t="array" ref="I82">IFERROR(IF(C82="ac"+ISNUMBER(SEARCH("'",H82))+G82="","", MROUND(SWITCH(C82,"sq",'Personal Info'!$O$15,"bn",'Personal Info'!$S$15,"dl",'Personal Info'!$W$15,"")*IF(H82&gt;10, H82/100, VLOOKUP(H82, _rpe,SUBSTITUTE(G82,"+","")+1,0)), IF( SWITCH(C82:C210,"sq",'Personal Info'!$O$15,"bn",'Personal Info'!$S$15,"dl", 'Personal Info'!$W$15,"")&lt; IF(_uom="lbs", 175, 80), 1.25, IF(_uom="lbs",5,2.5)))),"")</f>
        <v/>
      </c>
      <c r="J82" s="148"/>
      <c r="K82" s="33"/>
      <c r="L82" s="171"/>
      <c r="M82" s="124" t="str">
        <f>IFERROR(__xludf.DUMMYFUNCTION("IF(I82=MAX(FILTER(I$10:I$199,LOOKUP(ROW(C$10:C$199),FILTER(ROW(C$10:C$199),C$10:C$199&lt;&gt;C$9:C$198))=LOOKUP(ROW(C82),FILTER(ROW(C$10:C$199),C$10:C$199&lt;&gt;C$9:C$198)))),J82,)"),"")</f>
        <v/>
      </c>
      <c r="N82" s="122"/>
      <c r="O82" s="33"/>
      <c r="P82" s="143" t="str">
        <f t="shared" si="12"/>
        <v/>
      </c>
      <c r="Q82" s="38" t="str">
        <f>IFERROR(__xludf.DUMMYFUNCTION("""COMPUTED_VALUE"""),"")</f>
        <v/>
      </c>
      <c r="R82" s="144">
        <v>46118.0</v>
      </c>
      <c r="S82" s="167" t="str">
        <f t="shared" si="13"/>
        <v/>
      </c>
      <c r="T82" s="168" t="str">
        <f t="shared" si="290"/>
        <v/>
      </c>
      <c r="U82" s="169" t="str">
        <f t="shared" si="291"/>
        <v/>
      </c>
      <c r="V82" s="172" t="str">
        <f t="shared" si="292"/>
        <v/>
      </c>
      <c r="W82" s="171" t="str">
        <f t="array" ref="W82">IFERROR(IF(Q82="ac"+ISNUMBER(SEARCH("'",V82))+U82="","", IF(ISNUMBER(SEARCH("lw",V82)), I82 + SUBSTITUTE(V82,"lw+",""), MROUND(SWITCH(Q82,"sq",U$7,"bn",V$7,"dl",W$7,"")*IF(V82&gt;10, V82/100, VLOOKUP(V82, _rpe,SUBSTITUTE(U82,"+","")+1,0)), IF( SWITCH(Q82,"sq",U$7,"bn",V$7,"dl", W$7,"")&lt; IF(_uom="lbs", 175, 80), 1.25, IF(_uom="lbs",5,2.5))))), "")</f>
        <v/>
      </c>
      <c r="X82" s="148"/>
      <c r="Y82" s="33"/>
      <c r="Z82" s="171"/>
      <c r="AA82" s="124" t="str">
        <f>IFERROR(__xludf.DUMMYFUNCTION("IF(W82=MAX(FILTER(W$10:W$199,LOOKUP(ROW(Q$10:Q$199),FILTER(ROW(Q$10:Q$199),Q$10:Q$199&lt;&gt;Q$9:Q$198))=LOOKUP(ROW(Q82),FILTER(ROW(Q$10:Q$199),Q$10:Q$199&lt;&gt;Q$9:Q$198)))),X82,)"),"")</f>
        <v/>
      </c>
      <c r="AB82" s="122"/>
      <c r="AC82" s="33"/>
      <c r="AD82" s="143" t="str">
        <f t="shared" si="14"/>
        <v/>
      </c>
      <c r="AE82" s="38" t="str">
        <f>IFERROR(__xludf.DUMMYFUNCTION("""COMPUTED_VALUE"""),"")</f>
        <v/>
      </c>
      <c r="AF82" s="144">
        <v>46125.0</v>
      </c>
      <c r="AG82" s="167" t="str">
        <f t="shared" si="54"/>
        <v/>
      </c>
      <c r="AH82" s="168" t="str">
        <f t="shared" si="293"/>
        <v/>
      </c>
      <c r="AI82" s="169" t="str">
        <f t="shared" si="294"/>
        <v/>
      </c>
      <c r="AJ82" s="172" t="str">
        <f t="shared" si="286"/>
        <v/>
      </c>
      <c r="AK82" s="171" t="str">
        <f t="array" ref="AK82">IFERROR(IF(AE82="ac"+ISNUMBER(SEARCH("'",AJ82))+AI82="","", IF(ISNUMBER(SEARCH("lw",AJ82)), W82 + SUBSTITUTE(AJ82,"lw+",""), MROUND(SWITCH(AE82,"sq",AI$7,"bn",AJ$7,"dl",AK$7,"")*IF(AJ82&gt;10, AJ82/100, VLOOKUP(AJ82, _rpe,SUBSTITUTE(AI82,"+","")+1,0)), IF( SWITCH(AE82,"sq",AI$7,"bn",AJ$7,"dl", AK$7,"")&lt; IF(_uom="lbs", 175, 80), 1.25, IF(_uom="lbs",5,2.5))))), "")</f>
        <v/>
      </c>
      <c r="AL82" s="148"/>
      <c r="AM82" s="33"/>
      <c r="AN82" s="171"/>
      <c r="AO82" s="124" t="str">
        <f>IFERROR(__xludf.DUMMYFUNCTION("IF(AK82=MAX(FILTER(AK$10:AK$199,LOOKUP(ROW(AE$10:AE$199),FILTER(ROW(AE$10:AE$199),AE$10:AE$199&lt;&gt;AE$9:AE$198))=LOOKUP(ROW(AE82),FILTER(ROW(AE$10:AE$199),AE$10:AE$199&lt;&gt;AE$9:AE$198)))),AL82,)"),"")</f>
        <v/>
      </c>
      <c r="AP82" s="122"/>
      <c r="AQ82" s="33"/>
      <c r="AR82" s="143" t="str">
        <f t="shared" si="16"/>
        <v/>
      </c>
      <c r="AS82" s="38" t="str">
        <f>IFERROR(__xludf.DUMMYFUNCTION("""COMPUTED_VALUE"""),"")</f>
        <v/>
      </c>
      <c r="AT82" s="144">
        <v>46132.0</v>
      </c>
      <c r="AU82" s="167" t="str">
        <f t="shared" si="26"/>
        <v/>
      </c>
      <c r="AV82" s="168" t="str">
        <f t="shared" si="295"/>
        <v/>
      </c>
      <c r="AW82" s="169" t="str">
        <f t="shared" si="296"/>
        <v/>
      </c>
      <c r="AX82" s="172" t="str">
        <f t="shared" si="287"/>
        <v/>
      </c>
      <c r="AY82" s="171" t="str">
        <f t="array" ref="AY82">IFERROR(IF(AS82="ac"+ISNUMBER(SEARCH("'",AX82))+AW82="","", IF(ISNUMBER(SEARCH("lw",AX82)), AK82 + SUBSTITUTE(AX82,"lw+",""), MROUND(SWITCH(AS82,"sq",AW$7,"bn",AX$7,"dl",AY$7,"")*IF(AX82&gt;10, AX82/100, VLOOKUP(AX82, _rpe,SUBSTITUTE(AW82,"+","")+1,0)), IF( SWITCH(AS82,"sq",AW$7,"bn",AX$7,"dl", AY$7,"")&lt; IF(_uom="lbs", 175, 80), 1.25, IF(_uom="lbs",5,2.5))))), "")</f>
        <v/>
      </c>
      <c r="AZ82" s="148"/>
      <c r="BA82" s="33"/>
      <c r="BB82" s="171"/>
      <c r="BC82" s="124" t="str">
        <f>IFERROR(__xludf.DUMMYFUNCTION("IF(AY82=MAX(FILTER(AY$10:AY$199,LOOKUP(ROW(AS$10:AS$199),FILTER(ROW(AS$10:AS$199),AS$10:AS$199&lt;&gt;AS$9:AS$198))=LOOKUP(ROW(AS82),FILTER(ROW(AS$10:AS$199),AS$10:AS$199&lt;&gt;AS$9:AS$198)))),AZ82,)"),"")</f>
        <v/>
      </c>
      <c r="BD82" s="122"/>
      <c r="BE82" s="33"/>
      <c r="BF82" s="143" t="str">
        <f t="shared" si="17"/>
        <v/>
      </c>
      <c r="BG82" s="38" t="str">
        <f>IFERROR(__xludf.DUMMYFUNCTION("""COMPUTED_VALUE"""),"")</f>
        <v/>
      </c>
      <c r="BH82" s="144">
        <v>46139.0</v>
      </c>
      <c r="BI82" s="167" t="str">
        <f t="shared" si="18"/>
        <v/>
      </c>
      <c r="BJ82" s="168" t="str">
        <f t="shared" si="297"/>
        <v/>
      </c>
      <c r="BK82" s="169" t="str">
        <f t="shared" si="298"/>
        <v/>
      </c>
      <c r="BL82" s="172" t="str">
        <f t="shared" si="299"/>
        <v/>
      </c>
      <c r="BM82" s="171" t="str">
        <f t="array" ref="BM82">IFERROR(IF(BG82="ac"+ISNUMBER(SEARCH("'",BL82))+BK82="","", IF(ISNUMBER(SEARCH("lw",BL82)), AY82 + SUBSTITUTE(BL82,"lw+",""), MROUND(SWITCH(BG82,"sq",BK$7,"bn",BL$7,"dl",BM$7,"")*IF(BL82&gt;10, BL82/100, VLOOKUP(BL82, _rpe,SUBSTITUTE(BK82,"+","")+1,0)), IF( SWITCH(BG82,"sq",BK$7,"bn",BL$7,"dl", BM$7,"")&lt; IF(_uom="lbs", 175, 80), 1.25, IF(_uom="lbs",5,2.5))))), "")</f>
        <v/>
      </c>
      <c r="BN82" s="148"/>
      <c r="BO82" s="33"/>
      <c r="BP82" s="171"/>
      <c r="BQ82" s="124" t="str">
        <f>IFERROR(__xludf.DUMMYFUNCTION("IF(BM82=MAX(FILTER(BM$10:BM$199,LOOKUP(ROW(BG$10:BG$199),FILTER(ROW(BG$10:BG$199),BG$10:BG$199&lt;&gt;BG$9:BG$198))=LOOKUP(ROW(BG82),FILTER(ROW(BG$10:BG$199),BG$10:BG$199&lt;&gt;BG$9:BG$198)))),BN82,)"),"")</f>
        <v/>
      </c>
      <c r="BR82" s="122"/>
      <c r="BS82" s="33"/>
      <c r="BT82" s="143" t="str">
        <f t="shared" si="19"/>
        <v/>
      </c>
      <c r="BU82" s="38" t="str">
        <f>IFERROR(__xludf.DUMMYFUNCTION("""COMPUTED_VALUE"""),"")</f>
        <v/>
      </c>
      <c r="BV82" s="144">
        <v>46146.0</v>
      </c>
      <c r="BW82" s="167" t="str">
        <f t="shared" si="20"/>
        <v/>
      </c>
      <c r="BX82" s="168" t="str">
        <f t="shared" si="300"/>
        <v/>
      </c>
      <c r="BY82" s="169" t="str">
        <f t="shared" si="301"/>
        <v/>
      </c>
      <c r="BZ82" s="172" t="str">
        <f t="shared" si="302"/>
        <v/>
      </c>
      <c r="CA82" s="171" t="str">
        <f t="array" ref="CA82">IFERROR(IF(BU82="ac"+ISNUMBER(SEARCH("'",BZ82))+BY82="","", IF(ISNUMBER(SEARCH("lw",BZ82)), BM82 + SUBSTITUTE(BZ82,"lw+",""), MROUND(SWITCH(BU82,"sq",BY$7,"bn",BZ$7,"dl",CA$7,"")*IF(BZ82&gt;10, BZ82/100, VLOOKUP(BZ82, _rpe,SUBSTITUTE(BY82,"+","")+1,0)), IF( SWITCH(BU82,"sq",BY$7,"bn",BZ$7,"dl", CA$7,"")&lt; IF(_uom="lbs", 175, 80), 1.25, IF(_uom="lbs",5,2.5))))), "")</f>
        <v/>
      </c>
      <c r="CB82" s="148"/>
      <c r="CC82" s="33"/>
      <c r="CD82" s="171"/>
      <c r="CE82" s="124" t="str">
        <f>IFERROR(__xludf.DUMMYFUNCTION("IF(CA82=MAX(FILTER(CA$10:CA$199,LOOKUP(ROW(BU$10:BU$199),FILTER(ROW(BU$10:BU$199),BU$10:BU$199&lt;&gt;BU$9:BU$198))=LOOKUP(ROW(BU82),FILTER(ROW(BU$10:BU$199),BU$10:BU$199&lt;&gt;BU$9:BU$198)))),CB82,)"),"")</f>
        <v/>
      </c>
      <c r="CF82" s="122"/>
      <c r="CG82" s="33"/>
      <c r="CH82" s="143" t="str">
        <f t="shared" si="21"/>
        <v/>
      </c>
      <c r="CI82" s="38" t="str">
        <f>IFERROR(__xludf.DUMMYFUNCTION("""COMPUTED_VALUE"""),"")</f>
        <v/>
      </c>
      <c r="CJ82" s="144">
        <v>46153.0</v>
      </c>
      <c r="CK82" s="167" t="str">
        <f t="shared" si="27"/>
        <v/>
      </c>
      <c r="CL82" s="168" t="str">
        <f t="shared" si="303"/>
        <v/>
      </c>
      <c r="CM82" s="169" t="str">
        <f t="shared" si="304"/>
        <v/>
      </c>
      <c r="CN82" s="172" t="str">
        <f t="shared" si="305"/>
        <v/>
      </c>
      <c r="CO82" s="171" t="str">
        <f t="array" ref="CO82">IFERROR(IF(CI82="ac"+ISNUMBER(SEARCH("'",CN82))+CM82="","", IF(ISNUMBER(SEARCH("lw",CN82)), CA82 + SUBSTITUTE(CN82,"lw+",""), MROUND(SWITCH(CI82,"sq",CM$7,"bn",CN$7,"dl",CO$7,"")*IF(CN82&gt;10, CN82/100, VLOOKUP(CN82, _rpe,SUBSTITUTE(CM82,"+","")+1,0)), IF( SWITCH(CI82,"sq",CM$7,"bn",CN$7,"dl", CO$7,"")&lt; IF(_uom="lbs", 175, 80), 1.25, IF(_uom="lbs",5,2.5))))), "")</f>
        <v/>
      </c>
      <c r="CP82" s="148"/>
      <c r="CQ82" s="33"/>
      <c r="CR82" s="171"/>
      <c r="CS82" s="124" t="str">
        <f>IFERROR(__xludf.DUMMYFUNCTION("IF(CO82=MAX(FILTER(CO$10:CO$199,LOOKUP(ROW(CI$10:CI$199),FILTER(ROW(CI$10:CI$199),CI$10:CI$199&lt;&gt;CI$9:CI$198))=LOOKUP(ROW(CI82),FILTER(ROW(CI$10:CI$199),CI$10:CI$199&lt;&gt;CI$9:CI$198)))),CP82,)"),"")</f>
        <v/>
      </c>
      <c r="CT82" s="122"/>
      <c r="CU82" s="33"/>
      <c r="CV82" s="143" t="str">
        <f t="shared" si="22"/>
        <v/>
      </c>
      <c r="CW82" s="38" t="str">
        <f>IFERROR(__xludf.DUMMYFUNCTION("""COMPUTED_VALUE"""),"")</f>
        <v/>
      </c>
      <c r="CX82" s="144">
        <v>46160.0</v>
      </c>
      <c r="CY82" s="167" t="str">
        <f t="shared" si="28"/>
        <v/>
      </c>
      <c r="CZ82" s="168" t="str">
        <f t="shared" si="288"/>
        <v/>
      </c>
      <c r="DA82" s="169" t="str">
        <f t="shared" si="306"/>
        <v/>
      </c>
      <c r="DB82" s="172" t="str">
        <f t="shared" si="289"/>
        <v/>
      </c>
      <c r="DC82" s="171" t="str">
        <f t="array" ref="DC82">IFERROR(IF(CW82="ac"+ISNUMBER(SEARCH("'",DB82))+DA82="","", IF(ISNUMBER(SEARCH("lw",DB82)), CO82 + SUBSTITUTE(DB82,"lw+",""), MROUND(SWITCH(CW82,"sq",DA$7,"bn",DB$7,"dl",DC$7,"")*IF(DB82&gt;10, DB82/100, VLOOKUP(DB82, _rpe,SUBSTITUTE(DA82,"+","")+1,0)), IF( SWITCH(CW82,"sq",DA$7,"bn",DB$7,"dl", DC$7,"")&lt; IF(_uom="lbs", 175, 80), 1.25, IF(_uom="lbs",5,2.5))))), "")</f>
        <v/>
      </c>
      <c r="DD82" s="148"/>
      <c r="DE82" s="33"/>
      <c r="DF82" s="171"/>
      <c r="DG82" s="124" t="str">
        <f>IFERROR(__xludf.DUMMYFUNCTION("IF(DC82=MAX(FILTER(DC$10:DC$199,LOOKUP(ROW(CW$10:CW$199),FILTER(ROW(CW$10:CW$199),CW$10:CW$199&lt;&gt;CW$9:CW$198))=LOOKUP(ROW(CW82),FILTER(ROW(CW$10:CW$199),CW$10:CW$199&lt;&gt;CW$9:CW$198)))),DD82,)"),"")</f>
        <v/>
      </c>
      <c r="DH82" s="122"/>
      <c r="DI82" s="33"/>
      <c r="DJ82" s="143" t="str">
        <f t="shared" si="23"/>
        <v/>
      </c>
      <c r="DK82" s="38" t="str">
        <f>IFERROR(__xludf.DUMMYFUNCTION("""COMPUTED_VALUE"""),"")</f>
        <v/>
      </c>
      <c r="DL82" s="144">
        <v>46167.0</v>
      </c>
      <c r="DM82" s="167"/>
      <c r="DN82" s="168"/>
      <c r="DO82" s="169"/>
      <c r="DP82" s="172"/>
      <c r="DQ82" s="171" t="str">
        <f t="array" ref="DQ82">IFERROR(IF(DK82="ac"+ISNUMBER(SEARCH("'",DP82))+DO82="","", IF(ISNUMBER(SEARCH("lw",DP82)), DC82 + SUBSTITUTE(DP82,"lw+",""), MROUND(SWITCH(DK82,"sq",DO$7,"bn",DP$7,"dl",DQ$7,"")*IF(DP82&gt;10, DP82/100, VLOOKUP(DP82, _rpe,SUBSTITUTE(DO82,"+","")+1,0)), IF( SWITCH(DK82,"sq",DO$7,"bn",DP$7,"dl", DQ$7,"")&lt; IF(_uom="lbs", 175, 80), 1.25, IF(_uom="lbs",5,2.5))))), "")</f>
        <v/>
      </c>
      <c r="DR82" s="148"/>
      <c r="DS82" s="33"/>
      <c r="DT82" s="171"/>
      <c r="DU82" s="124" t="str">
        <f>IFERROR(__xludf.DUMMYFUNCTION("IF(DQ82=MAX(FILTER(DQ$10:DQ$199,LOOKUP(ROW(DK$10:DK$199),FILTER(ROW(DK$10:DK$199),DK$10:DK$199&lt;&gt;DK$9:DK$198))=LOOKUP(ROW(DK82),FILTER(ROW(DK$10:DK$199),DK$10:DK$199&lt;&gt;DK$9:DK$198)))),DR82,)"),"")</f>
        <v/>
      </c>
      <c r="DV82" s="122"/>
      <c r="DW82" s="33"/>
      <c r="DX82" s="143"/>
      <c r="DY82" s="38"/>
      <c r="DZ82" s="144"/>
      <c r="EA82" s="150"/>
      <c r="EB82" s="174"/>
      <c r="EC82" s="175"/>
      <c r="ED82" s="176"/>
      <c r="EE82" s="155"/>
      <c r="EF82" s="148"/>
      <c r="EG82" s="33"/>
      <c r="EH82" s="155"/>
      <c r="EI82" s="148"/>
      <c r="EJ82" s="33"/>
      <c r="EK82" s="33"/>
      <c r="EL82" s="143"/>
      <c r="EM82" s="38"/>
      <c r="EN82" s="144"/>
      <c r="EO82" s="150"/>
      <c r="EP82" s="174"/>
      <c r="EQ82" s="175"/>
      <c r="ER82" s="176"/>
      <c r="ES82" s="155"/>
      <c r="ET82" s="148"/>
      <c r="EU82" s="33"/>
      <c r="EV82" s="155"/>
      <c r="EW82" s="148"/>
      <c r="EX82" s="33"/>
      <c r="EY82" s="33"/>
      <c r="EZ82" s="143"/>
      <c r="FA82" s="38"/>
      <c r="FB82" s="144"/>
      <c r="FC82" s="150"/>
      <c r="FD82" s="174"/>
      <c r="FE82" s="175"/>
      <c r="FF82" s="176"/>
      <c r="FG82" s="155"/>
      <c r="FH82" s="148"/>
      <c r="FI82" s="33"/>
      <c r="FJ82" s="155"/>
      <c r="FK82" s="148"/>
      <c r="FL82" s="33"/>
      <c r="FM82" s="33"/>
      <c r="FN82" s="143"/>
      <c r="FO82" s="38"/>
      <c r="FP82" s="144"/>
      <c r="FQ82" s="150"/>
      <c r="FR82" s="174"/>
      <c r="FS82" s="175"/>
      <c r="FT82" s="176"/>
      <c r="FU82" s="155"/>
      <c r="FV82" s="148"/>
      <c r="FW82" s="33"/>
      <c r="FX82" s="155"/>
      <c r="FY82" s="148"/>
      <c r="FZ82" s="33"/>
      <c r="GA82" s="33"/>
      <c r="GB82" s="143"/>
      <c r="GC82" s="38"/>
      <c r="GD82" s="144"/>
      <c r="GE82" s="150"/>
      <c r="GF82" s="174"/>
      <c r="GG82" s="175"/>
      <c r="GH82" s="176"/>
      <c r="GI82" s="155"/>
      <c r="GJ82" s="148"/>
      <c r="GK82" s="33"/>
      <c r="GL82" s="155"/>
      <c r="GM82" s="148"/>
      <c r="GN82" s="33"/>
      <c r="GO82" s="33"/>
      <c r="GP82" s="143"/>
      <c r="GQ82" s="38"/>
      <c r="GR82" s="144"/>
      <c r="GS82" s="150"/>
      <c r="GT82" s="174"/>
      <c r="GU82" s="175"/>
      <c r="GV82" s="176"/>
      <c r="GW82" s="155"/>
      <c r="GX82" s="148"/>
      <c r="GY82" s="33"/>
      <c r="GZ82" s="155"/>
      <c r="HA82" s="148"/>
      <c r="HB82" s="33"/>
      <c r="HC82" s="33"/>
      <c r="HD82" s="143"/>
      <c r="HE82" s="38"/>
      <c r="HF82" s="144"/>
      <c r="HG82" s="150"/>
      <c r="HH82" s="174"/>
      <c r="HI82" s="175"/>
      <c r="HJ82" s="176"/>
      <c r="HK82" s="155"/>
      <c r="HL82" s="148"/>
      <c r="HM82" s="33"/>
      <c r="HN82" s="155"/>
      <c r="HO82" s="148"/>
      <c r="HP82" s="33"/>
      <c r="HQ82" s="33"/>
      <c r="HR82" s="143"/>
      <c r="HS82" s="38"/>
      <c r="HT82" s="144"/>
      <c r="HU82" s="150"/>
      <c r="HV82" s="174"/>
      <c r="HW82" s="175"/>
      <c r="HX82" s="176"/>
      <c r="HY82" s="155"/>
      <c r="HZ82" s="148"/>
      <c r="IA82" s="33"/>
      <c r="IB82" s="155"/>
      <c r="IC82" s="148"/>
      <c r="ID82" s="33"/>
      <c r="IE82" s="33"/>
      <c r="IF82" s="143"/>
      <c r="IG82" s="38"/>
      <c r="IH82" s="144"/>
      <c r="II82" s="150"/>
      <c r="IJ82" s="174"/>
      <c r="IK82" s="175"/>
      <c r="IL82" s="176"/>
      <c r="IM82" s="155"/>
      <c r="IN82" s="148"/>
      <c r="IO82" s="33"/>
      <c r="IP82" s="155"/>
      <c r="IQ82" s="148"/>
      <c r="IR82" s="33"/>
      <c r="IS82" s="33"/>
      <c r="IT82" s="143"/>
      <c r="IU82" s="38"/>
      <c r="IV82" s="144"/>
      <c r="IW82" s="143" t="str">
        <f t="shared" si="24"/>
        <v>#REF!</v>
      </c>
      <c r="IX82" s="38"/>
      <c r="IY82" s="144" t="e">
        <v>#REF!</v>
      </c>
    </row>
    <row r="83" hidden="1" outlineLevel="1">
      <c r="A83" s="33"/>
      <c r="B83" s="181"/>
      <c r="C83" s="38" t="str">
        <f>IFERROR(__xludf.DUMMYFUNCTION("""COMPUTED_VALUE"""),"")</f>
        <v/>
      </c>
      <c r="D83" s="144">
        <v>46111.0</v>
      </c>
      <c r="E83" s="182"/>
      <c r="F83" s="168"/>
      <c r="G83" s="169"/>
      <c r="H83" s="170"/>
      <c r="I83" s="171" t="str">
        <f t="array" ref="I83">IFERROR(IF(C83="ac"+ISNUMBER(SEARCH("'",H83))+G83="","", MROUND(SWITCH(C83,"sq",'Personal Info'!$O$15,"bn",'Personal Info'!$S$15,"dl",'Personal Info'!$W$15,"")*IF(H83&gt;10, H83/100, VLOOKUP(H83, _rpe,SUBSTITUTE(G83,"+","")+1,0)), IF( SWITCH(C83:C210,"sq",'Personal Info'!$O$15,"bn",'Personal Info'!$S$15,"dl", 'Personal Info'!$W$15,"")&lt; IF(_uom="lbs", 175, 80), 1.25, IF(_uom="lbs",5,2.5)))),"")</f>
        <v/>
      </c>
      <c r="J83" s="148"/>
      <c r="K83" s="33"/>
      <c r="L83" s="171"/>
      <c r="M83" s="124" t="str">
        <f>IFERROR(__xludf.DUMMYFUNCTION("IF(I83=MAX(FILTER(I$10:I$199,LOOKUP(ROW(C$10:C$199),FILTER(ROW(C$10:C$199),C$10:C$199&lt;&gt;C$9:C$198))=LOOKUP(ROW(C83),FILTER(ROW(C$10:C$199),C$10:C$199&lt;&gt;C$9:C$198)))),J83,)"),"")</f>
        <v/>
      </c>
      <c r="N83" s="122"/>
      <c r="O83" s="33"/>
      <c r="P83" s="143" t="str">
        <f t="shared" si="12"/>
        <v/>
      </c>
      <c r="Q83" s="38" t="str">
        <f>IFERROR(__xludf.DUMMYFUNCTION("""COMPUTED_VALUE"""),"")</f>
        <v/>
      </c>
      <c r="R83" s="144">
        <v>46118.0</v>
      </c>
      <c r="S83" s="167" t="str">
        <f t="shared" si="13"/>
        <v/>
      </c>
      <c r="T83" s="168" t="str">
        <f t="shared" si="290"/>
        <v/>
      </c>
      <c r="U83" s="169" t="str">
        <f t="shared" si="291"/>
        <v/>
      </c>
      <c r="V83" s="172" t="str">
        <f t="shared" si="292"/>
        <v/>
      </c>
      <c r="W83" s="171" t="str">
        <f t="array" ref="W83">IFERROR(IF(Q83="ac"+ISNUMBER(SEARCH("'",V83))+U83="","", IF(ISNUMBER(SEARCH("lw",V83)), I83 + SUBSTITUTE(V83,"lw+",""), MROUND(SWITCH(Q83,"sq",U$7,"bn",V$7,"dl",W$7,"")*IF(V83&gt;10, V83/100, VLOOKUP(V83, _rpe,SUBSTITUTE(U83,"+","")+1,0)), IF( SWITCH(Q83,"sq",U$7,"bn",V$7,"dl", W$7,"")&lt; IF(_uom="lbs", 175, 80), 1.25, IF(_uom="lbs",5,2.5))))), "")</f>
        <v/>
      </c>
      <c r="X83" s="148"/>
      <c r="Y83" s="33"/>
      <c r="Z83" s="171"/>
      <c r="AA83" s="124" t="str">
        <f>IFERROR(__xludf.DUMMYFUNCTION("IF(W83=MAX(FILTER(W$10:W$199,LOOKUP(ROW(Q$10:Q$199),FILTER(ROW(Q$10:Q$199),Q$10:Q$199&lt;&gt;Q$9:Q$198))=LOOKUP(ROW(Q83),FILTER(ROW(Q$10:Q$199),Q$10:Q$199&lt;&gt;Q$9:Q$198)))),X83,)"),"")</f>
        <v/>
      </c>
      <c r="AB83" s="122"/>
      <c r="AC83" s="33"/>
      <c r="AD83" s="143" t="str">
        <f t="shared" si="14"/>
        <v/>
      </c>
      <c r="AE83" s="38" t="str">
        <f>IFERROR(__xludf.DUMMYFUNCTION("""COMPUTED_VALUE"""),"")</f>
        <v/>
      </c>
      <c r="AF83" s="144">
        <v>46125.0</v>
      </c>
      <c r="AG83" s="167" t="str">
        <f t="shared" si="54"/>
        <v/>
      </c>
      <c r="AH83" s="168" t="str">
        <f t="shared" si="293"/>
        <v/>
      </c>
      <c r="AI83" s="169" t="str">
        <f t="shared" si="294"/>
        <v/>
      </c>
      <c r="AJ83" s="172" t="str">
        <f t="shared" si="286"/>
        <v/>
      </c>
      <c r="AK83" s="171" t="str">
        <f t="array" ref="AK83">IFERROR(IF(AE83="ac"+ISNUMBER(SEARCH("'",AJ83))+AI83="","", IF(ISNUMBER(SEARCH("lw",AJ83)), W83 + SUBSTITUTE(AJ83,"lw+",""), MROUND(SWITCH(AE83,"sq",AI$7,"bn",AJ$7,"dl",AK$7,"")*IF(AJ83&gt;10, AJ83/100, VLOOKUP(AJ83, _rpe,SUBSTITUTE(AI83,"+","")+1,0)), IF( SWITCH(AE83,"sq",AI$7,"bn",AJ$7,"dl", AK$7,"")&lt; IF(_uom="lbs", 175, 80), 1.25, IF(_uom="lbs",5,2.5))))), "")</f>
        <v/>
      </c>
      <c r="AL83" s="148"/>
      <c r="AM83" s="33"/>
      <c r="AN83" s="171"/>
      <c r="AO83" s="124" t="str">
        <f>IFERROR(__xludf.DUMMYFUNCTION("IF(AK83=MAX(FILTER(AK$10:AK$199,LOOKUP(ROW(AE$10:AE$199),FILTER(ROW(AE$10:AE$199),AE$10:AE$199&lt;&gt;AE$9:AE$198))=LOOKUP(ROW(AE83),FILTER(ROW(AE$10:AE$199),AE$10:AE$199&lt;&gt;AE$9:AE$198)))),AL83,)"),"")</f>
        <v/>
      </c>
      <c r="AP83" s="122"/>
      <c r="AQ83" s="33"/>
      <c r="AR83" s="143" t="str">
        <f t="shared" si="16"/>
        <v/>
      </c>
      <c r="AS83" s="38" t="str">
        <f>IFERROR(__xludf.DUMMYFUNCTION("""COMPUTED_VALUE"""),"")</f>
        <v/>
      </c>
      <c r="AT83" s="144">
        <v>46132.0</v>
      </c>
      <c r="AU83" s="167" t="str">
        <f t="shared" si="26"/>
        <v/>
      </c>
      <c r="AV83" s="168" t="str">
        <f t="shared" si="295"/>
        <v/>
      </c>
      <c r="AW83" s="169" t="str">
        <f t="shared" si="296"/>
        <v/>
      </c>
      <c r="AX83" s="172" t="str">
        <f t="shared" si="287"/>
        <v/>
      </c>
      <c r="AY83" s="171" t="str">
        <f t="array" ref="AY83">IFERROR(IF(AS83="ac"+ISNUMBER(SEARCH("'",AX83))+AW83="","", IF(ISNUMBER(SEARCH("lw",AX83)), AK83 + SUBSTITUTE(AX83,"lw+",""), MROUND(SWITCH(AS83,"sq",AW$7,"bn",AX$7,"dl",AY$7,"")*IF(AX83&gt;10, AX83/100, VLOOKUP(AX83, _rpe,SUBSTITUTE(AW83,"+","")+1,0)), IF( SWITCH(AS83,"sq",AW$7,"bn",AX$7,"dl", AY$7,"")&lt; IF(_uom="lbs", 175, 80), 1.25, IF(_uom="lbs",5,2.5))))), "")</f>
        <v/>
      </c>
      <c r="AZ83" s="148"/>
      <c r="BA83" s="33"/>
      <c r="BB83" s="171"/>
      <c r="BC83" s="124" t="str">
        <f>IFERROR(__xludf.DUMMYFUNCTION("IF(AY83=MAX(FILTER(AY$10:AY$199,LOOKUP(ROW(AS$10:AS$199),FILTER(ROW(AS$10:AS$199),AS$10:AS$199&lt;&gt;AS$9:AS$198))=LOOKUP(ROW(AS83),FILTER(ROW(AS$10:AS$199),AS$10:AS$199&lt;&gt;AS$9:AS$198)))),AZ83,)"),"")</f>
        <v/>
      </c>
      <c r="BD83" s="122"/>
      <c r="BE83" s="33"/>
      <c r="BF83" s="143" t="str">
        <f t="shared" si="17"/>
        <v/>
      </c>
      <c r="BG83" s="38" t="str">
        <f>IFERROR(__xludf.DUMMYFUNCTION("""COMPUTED_VALUE"""),"")</f>
        <v/>
      </c>
      <c r="BH83" s="144">
        <v>46139.0</v>
      </c>
      <c r="BI83" s="167" t="str">
        <f t="shared" si="18"/>
        <v/>
      </c>
      <c r="BJ83" s="168" t="str">
        <f t="shared" si="297"/>
        <v/>
      </c>
      <c r="BK83" s="169" t="str">
        <f t="shared" si="298"/>
        <v/>
      </c>
      <c r="BL83" s="172" t="str">
        <f t="shared" si="299"/>
        <v/>
      </c>
      <c r="BM83" s="171" t="str">
        <f t="array" ref="BM83">IFERROR(IF(BG83="ac"+ISNUMBER(SEARCH("'",BL83))+BK83="","", IF(ISNUMBER(SEARCH("lw",BL83)), AY83 + SUBSTITUTE(BL83,"lw+",""), MROUND(SWITCH(BG83,"sq",BK$7,"bn",BL$7,"dl",BM$7,"")*IF(BL83&gt;10, BL83/100, VLOOKUP(BL83, _rpe,SUBSTITUTE(BK83,"+","")+1,0)), IF( SWITCH(BG83,"sq",BK$7,"bn",BL$7,"dl", BM$7,"")&lt; IF(_uom="lbs", 175, 80), 1.25, IF(_uom="lbs",5,2.5))))), "")</f>
        <v/>
      </c>
      <c r="BN83" s="148"/>
      <c r="BO83" s="33"/>
      <c r="BP83" s="171"/>
      <c r="BQ83" s="124" t="str">
        <f>IFERROR(__xludf.DUMMYFUNCTION("IF(BM83=MAX(FILTER(BM$10:BM$199,LOOKUP(ROW(BG$10:BG$199),FILTER(ROW(BG$10:BG$199),BG$10:BG$199&lt;&gt;BG$9:BG$198))=LOOKUP(ROW(BG83),FILTER(ROW(BG$10:BG$199),BG$10:BG$199&lt;&gt;BG$9:BG$198)))),BN83,)"),"")</f>
        <v/>
      </c>
      <c r="BR83" s="122"/>
      <c r="BS83" s="33"/>
      <c r="BT83" s="143" t="str">
        <f t="shared" si="19"/>
        <v/>
      </c>
      <c r="BU83" s="38" t="str">
        <f>IFERROR(__xludf.DUMMYFUNCTION("""COMPUTED_VALUE"""),"")</f>
        <v/>
      </c>
      <c r="BV83" s="144">
        <v>46146.0</v>
      </c>
      <c r="BW83" s="167" t="str">
        <f t="shared" si="20"/>
        <v/>
      </c>
      <c r="BX83" s="168" t="str">
        <f t="shared" si="300"/>
        <v/>
      </c>
      <c r="BY83" s="169" t="str">
        <f t="shared" si="301"/>
        <v/>
      </c>
      <c r="BZ83" s="172" t="str">
        <f t="shared" si="302"/>
        <v/>
      </c>
      <c r="CA83" s="171" t="str">
        <f t="array" ref="CA83">IFERROR(IF(BU83="ac"+ISNUMBER(SEARCH("'",BZ83))+BY83="","", IF(ISNUMBER(SEARCH("lw",BZ83)), BM83 + SUBSTITUTE(BZ83,"lw+",""), MROUND(SWITCH(BU83,"sq",BY$7,"bn",BZ$7,"dl",CA$7,"")*IF(BZ83&gt;10, BZ83/100, VLOOKUP(BZ83, _rpe,SUBSTITUTE(BY83,"+","")+1,0)), IF( SWITCH(BU83,"sq",BY$7,"bn",BZ$7,"dl", CA$7,"")&lt; IF(_uom="lbs", 175, 80), 1.25, IF(_uom="lbs",5,2.5))))), "")</f>
        <v/>
      </c>
      <c r="CB83" s="148"/>
      <c r="CC83" s="33"/>
      <c r="CD83" s="171"/>
      <c r="CE83" s="124" t="str">
        <f>IFERROR(__xludf.DUMMYFUNCTION("IF(CA83=MAX(FILTER(CA$10:CA$199,LOOKUP(ROW(BU$10:BU$199),FILTER(ROW(BU$10:BU$199),BU$10:BU$199&lt;&gt;BU$9:BU$198))=LOOKUP(ROW(BU83),FILTER(ROW(BU$10:BU$199),BU$10:BU$199&lt;&gt;BU$9:BU$198)))),CB83,)"),"")</f>
        <v/>
      </c>
      <c r="CF83" s="122"/>
      <c r="CG83" s="33"/>
      <c r="CH83" s="143" t="str">
        <f t="shared" si="21"/>
        <v/>
      </c>
      <c r="CI83" s="38" t="str">
        <f>IFERROR(__xludf.DUMMYFUNCTION("""COMPUTED_VALUE"""),"")</f>
        <v/>
      </c>
      <c r="CJ83" s="144">
        <v>46153.0</v>
      </c>
      <c r="CK83" s="167" t="str">
        <f t="shared" si="27"/>
        <v/>
      </c>
      <c r="CL83" s="168" t="str">
        <f t="shared" si="303"/>
        <v/>
      </c>
      <c r="CM83" s="169" t="str">
        <f t="shared" si="304"/>
        <v/>
      </c>
      <c r="CN83" s="172" t="str">
        <f t="shared" si="305"/>
        <v/>
      </c>
      <c r="CO83" s="171" t="str">
        <f t="array" ref="CO83">IFERROR(IF(CI83="ac"+ISNUMBER(SEARCH("'",CN83))+CM83="","", IF(ISNUMBER(SEARCH("lw",CN83)), CA83 + SUBSTITUTE(CN83,"lw+",""), MROUND(SWITCH(CI83,"sq",CM$7,"bn",CN$7,"dl",CO$7,"")*IF(CN83&gt;10, CN83/100, VLOOKUP(CN83, _rpe,SUBSTITUTE(CM83,"+","")+1,0)), IF( SWITCH(CI83,"sq",CM$7,"bn",CN$7,"dl", CO$7,"")&lt; IF(_uom="lbs", 175, 80), 1.25, IF(_uom="lbs",5,2.5))))), "")</f>
        <v/>
      </c>
      <c r="CP83" s="148"/>
      <c r="CQ83" s="33"/>
      <c r="CR83" s="171"/>
      <c r="CS83" s="124" t="str">
        <f>IFERROR(__xludf.DUMMYFUNCTION("IF(CO83=MAX(FILTER(CO$10:CO$199,LOOKUP(ROW(CI$10:CI$199),FILTER(ROW(CI$10:CI$199),CI$10:CI$199&lt;&gt;CI$9:CI$198))=LOOKUP(ROW(CI83),FILTER(ROW(CI$10:CI$199),CI$10:CI$199&lt;&gt;CI$9:CI$198)))),CP83,)"),"")</f>
        <v/>
      </c>
      <c r="CT83" s="122"/>
      <c r="CU83" s="33"/>
      <c r="CV83" s="143" t="str">
        <f t="shared" si="22"/>
        <v/>
      </c>
      <c r="CW83" s="38" t="str">
        <f>IFERROR(__xludf.DUMMYFUNCTION("""COMPUTED_VALUE"""),"")</f>
        <v/>
      </c>
      <c r="CX83" s="144">
        <v>46160.0</v>
      </c>
      <c r="CY83" s="167" t="str">
        <f t="shared" si="28"/>
        <v/>
      </c>
      <c r="CZ83" s="168" t="str">
        <f t="shared" si="288"/>
        <v/>
      </c>
      <c r="DA83" s="169" t="str">
        <f t="shared" si="306"/>
        <v/>
      </c>
      <c r="DB83" s="172" t="str">
        <f t="shared" si="289"/>
        <v/>
      </c>
      <c r="DC83" s="171" t="str">
        <f t="array" ref="DC83">IFERROR(IF(CW83="ac"+ISNUMBER(SEARCH("'",DB83))+DA83="","", IF(ISNUMBER(SEARCH("lw",DB83)), CO83 + SUBSTITUTE(DB83,"lw+",""), MROUND(SWITCH(CW83,"sq",DA$7,"bn",DB$7,"dl",DC$7,"")*IF(DB83&gt;10, DB83/100, VLOOKUP(DB83, _rpe,SUBSTITUTE(DA83,"+","")+1,0)), IF( SWITCH(CW83,"sq",DA$7,"bn",DB$7,"dl", DC$7,"")&lt; IF(_uom="lbs", 175, 80), 1.25, IF(_uom="lbs",5,2.5))))), "")</f>
        <v/>
      </c>
      <c r="DD83" s="148"/>
      <c r="DE83" s="33"/>
      <c r="DF83" s="171"/>
      <c r="DG83" s="124" t="str">
        <f>IFERROR(__xludf.DUMMYFUNCTION("IF(DC83=MAX(FILTER(DC$10:DC$199,LOOKUP(ROW(CW$10:CW$199),FILTER(ROW(CW$10:CW$199),CW$10:CW$199&lt;&gt;CW$9:CW$198))=LOOKUP(ROW(CW83),FILTER(ROW(CW$10:CW$199),CW$10:CW$199&lt;&gt;CW$9:CW$198)))),DD83,)"),"")</f>
        <v/>
      </c>
      <c r="DH83" s="122"/>
      <c r="DI83" s="33"/>
      <c r="DJ83" s="143" t="str">
        <f t="shared" si="23"/>
        <v/>
      </c>
      <c r="DK83" s="38" t="str">
        <f>IFERROR(__xludf.DUMMYFUNCTION("""COMPUTED_VALUE"""),"")</f>
        <v/>
      </c>
      <c r="DL83" s="144">
        <v>46167.0</v>
      </c>
      <c r="DM83" s="167"/>
      <c r="DN83" s="168"/>
      <c r="DO83" s="169"/>
      <c r="DP83" s="172"/>
      <c r="DQ83" s="171" t="str">
        <f t="array" ref="DQ83">IFERROR(IF(DK83="ac"+ISNUMBER(SEARCH("'",DP83))+DO83="","", IF(ISNUMBER(SEARCH("lw",DP83)), DC83 + SUBSTITUTE(DP83,"lw+",""), MROUND(SWITCH(DK83,"sq",DO$7,"bn",DP$7,"dl",DQ$7,"")*IF(DP83&gt;10, DP83/100, VLOOKUP(DP83, _rpe,SUBSTITUTE(DO83,"+","")+1,0)), IF( SWITCH(DK83,"sq",DO$7,"bn",DP$7,"dl", DQ$7,"")&lt; IF(_uom="lbs", 175, 80), 1.25, IF(_uom="lbs",5,2.5))))), "")</f>
        <v/>
      </c>
      <c r="DR83" s="148"/>
      <c r="DS83" s="33"/>
      <c r="DT83" s="171"/>
      <c r="DU83" s="124" t="str">
        <f>IFERROR(__xludf.DUMMYFUNCTION("IF(DQ83=MAX(FILTER(DQ$10:DQ$199,LOOKUP(ROW(DK$10:DK$199),FILTER(ROW(DK$10:DK$199),DK$10:DK$199&lt;&gt;DK$9:DK$198))=LOOKUP(ROW(DK83),FILTER(ROW(DK$10:DK$199),DK$10:DK$199&lt;&gt;DK$9:DK$198)))),DR83,)"),"")</f>
        <v/>
      </c>
      <c r="DV83" s="122"/>
      <c r="DW83" s="33"/>
      <c r="DX83" s="143"/>
      <c r="DY83" s="38"/>
      <c r="DZ83" s="144"/>
      <c r="EA83" s="150"/>
      <c r="EB83" s="174"/>
      <c r="EC83" s="175"/>
      <c r="ED83" s="176"/>
      <c r="EE83" s="155"/>
      <c r="EF83" s="148"/>
      <c r="EG83" s="33"/>
      <c r="EH83" s="155"/>
      <c r="EI83" s="148"/>
      <c r="EJ83" s="33"/>
      <c r="EK83" s="33"/>
      <c r="EL83" s="143"/>
      <c r="EM83" s="38"/>
      <c r="EN83" s="144"/>
      <c r="EO83" s="150"/>
      <c r="EP83" s="174"/>
      <c r="EQ83" s="175"/>
      <c r="ER83" s="176"/>
      <c r="ES83" s="155"/>
      <c r="ET83" s="148"/>
      <c r="EU83" s="33"/>
      <c r="EV83" s="155"/>
      <c r="EW83" s="148"/>
      <c r="EX83" s="33"/>
      <c r="EY83" s="33"/>
      <c r="EZ83" s="143"/>
      <c r="FA83" s="38"/>
      <c r="FB83" s="144"/>
      <c r="FC83" s="150"/>
      <c r="FD83" s="174"/>
      <c r="FE83" s="175"/>
      <c r="FF83" s="176"/>
      <c r="FG83" s="155"/>
      <c r="FH83" s="148"/>
      <c r="FI83" s="33"/>
      <c r="FJ83" s="155"/>
      <c r="FK83" s="148"/>
      <c r="FL83" s="33"/>
      <c r="FM83" s="33"/>
      <c r="FN83" s="143"/>
      <c r="FO83" s="38"/>
      <c r="FP83" s="144"/>
      <c r="FQ83" s="150"/>
      <c r="FR83" s="174"/>
      <c r="FS83" s="175"/>
      <c r="FT83" s="176"/>
      <c r="FU83" s="155"/>
      <c r="FV83" s="148"/>
      <c r="FW83" s="33"/>
      <c r="FX83" s="155"/>
      <c r="FY83" s="148"/>
      <c r="FZ83" s="33"/>
      <c r="GA83" s="33"/>
      <c r="GB83" s="143"/>
      <c r="GC83" s="38"/>
      <c r="GD83" s="144"/>
      <c r="GE83" s="150"/>
      <c r="GF83" s="174"/>
      <c r="GG83" s="175"/>
      <c r="GH83" s="176"/>
      <c r="GI83" s="155"/>
      <c r="GJ83" s="148"/>
      <c r="GK83" s="33"/>
      <c r="GL83" s="155"/>
      <c r="GM83" s="148"/>
      <c r="GN83" s="33"/>
      <c r="GO83" s="33"/>
      <c r="GP83" s="143"/>
      <c r="GQ83" s="38"/>
      <c r="GR83" s="144"/>
      <c r="GS83" s="150"/>
      <c r="GT83" s="174"/>
      <c r="GU83" s="175"/>
      <c r="GV83" s="176"/>
      <c r="GW83" s="155"/>
      <c r="GX83" s="148"/>
      <c r="GY83" s="33"/>
      <c r="GZ83" s="155"/>
      <c r="HA83" s="148"/>
      <c r="HB83" s="33"/>
      <c r="HC83" s="33"/>
      <c r="HD83" s="143"/>
      <c r="HE83" s="38"/>
      <c r="HF83" s="144"/>
      <c r="HG83" s="150"/>
      <c r="HH83" s="174"/>
      <c r="HI83" s="175"/>
      <c r="HJ83" s="176"/>
      <c r="HK83" s="155"/>
      <c r="HL83" s="148"/>
      <c r="HM83" s="33"/>
      <c r="HN83" s="155"/>
      <c r="HO83" s="148"/>
      <c r="HP83" s="33"/>
      <c r="HQ83" s="33"/>
      <c r="HR83" s="143"/>
      <c r="HS83" s="38"/>
      <c r="HT83" s="144"/>
      <c r="HU83" s="150"/>
      <c r="HV83" s="174"/>
      <c r="HW83" s="175"/>
      <c r="HX83" s="176"/>
      <c r="HY83" s="155"/>
      <c r="HZ83" s="148"/>
      <c r="IA83" s="33"/>
      <c r="IB83" s="155"/>
      <c r="IC83" s="148"/>
      <c r="ID83" s="33"/>
      <c r="IE83" s="33"/>
      <c r="IF83" s="143"/>
      <c r="IG83" s="38"/>
      <c r="IH83" s="144"/>
      <c r="II83" s="150"/>
      <c r="IJ83" s="174"/>
      <c r="IK83" s="175"/>
      <c r="IL83" s="176"/>
      <c r="IM83" s="155"/>
      <c r="IN83" s="148"/>
      <c r="IO83" s="33"/>
      <c r="IP83" s="155"/>
      <c r="IQ83" s="148"/>
      <c r="IR83" s="33"/>
      <c r="IS83" s="33"/>
      <c r="IT83" s="143"/>
      <c r="IU83" s="38"/>
      <c r="IV83" s="144"/>
      <c r="IW83" s="143" t="str">
        <f t="shared" si="24"/>
        <v>#REF!</v>
      </c>
      <c r="IX83" s="38"/>
      <c r="IY83" s="144" t="e">
        <v>#REF!</v>
      </c>
    </row>
    <row r="84" collapsed="1">
      <c r="A84" s="33"/>
      <c r="B84" s="143" t="s">
        <v>329</v>
      </c>
      <c r="C84" s="38" t="str">
        <f>IFERROR(__xludf.DUMMYFUNCTION("""COMPUTED_VALUE"""),"ac")</f>
        <v>ac</v>
      </c>
      <c r="D84" s="144">
        <v>46111.0</v>
      </c>
      <c r="E84" s="167" t="s">
        <v>349</v>
      </c>
      <c r="F84" s="168">
        <v>3.0</v>
      </c>
      <c r="G84" s="179" t="s">
        <v>316</v>
      </c>
      <c r="H84" s="173" t="s">
        <v>308</v>
      </c>
      <c r="I84" s="171" t="str">
        <f t="array" ref="I84">IFERROR(IF(C84="ac"+ISNUMBER(SEARCH("'",H84))+G84="","", MROUND(SWITCH(C84,"sq",'Personal Info'!$O$15,"bn",'Personal Info'!$S$15,"dl",'Personal Info'!$W$15,"")*IF(H84&gt;10, H84/100, VLOOKUP(H84, _rpe,SUBSTITUTE(G84,"+","")+1,0)), IF( SWITCH(C84:C210,"sq",'Personal Info'!$O$15,"bn",'Personal Info'!$S$15,"dl", 'Personal Info'!$W$15,"")&lt; IF(_uom="lbs", 175, 80), 1.25, IF(_uom="lbs",5,2.5)))),"")</f>
        <v/>
      </c>
      <c r="J84" s="148"/>
      <c r="K84" s="33"/>
      <c r="L84" s="171"/>
      <c r="M84" s="124" t="str">
        <f>IFERROR(__xludf.DUMMYFUNCTION("IF(I84=MAX(FILTER(I$10:I$199,LOOKUP(ROW(C$10:C$199),FILTER(ROW(C$10:C$199),C$10:C$199&lt;&gt;C$9:C$198))=LOOKUP(ROW(C84),FILTER(ROW(C$10:C$199),C$10:C$199&lt;&gt;C$9:C$198)))),J84,)"),"")</f>
        <v/>
      </c>
      <c r="N84" s="122"/>
      <c r="O84" s="33"/>
      <c r="P84" s="143" t="str">
        <f t="shared" si="12"/>
        <v>lats - v</v>
      </c>
      <c r="Q84" s="38" t="str">
        <f>IFERROR(__xludf.DUMMYFUNCTION("""COMPUTED_VALUE"""),"ac")</f>
        <v>ac</v>
      </c>
      <c r="R84" s="144">
        <v>46118.0</v>
      </c>
      <c r="S84" s="167" t="str">
        <f t="shared" si="13"/>
        <v>Neutral/Underhand Lat Pulldown</v>
      </c>
      <c r="T84" s="168">
        <v>3.0</v>
      </c>
      <c r="U84" s="179" t="s">
        <v>316</v>
      </c>
      <c r="V84" s="173" t="s">
        <v>308</v>
      </c>
      <c r="W84" s="171" t="str">
        <f t="array" ref="W84">IFERROR(IF(Q84="ac"+ISNUMBER(SEARCH("'",V84))+U84="","", IF(ISNUMBER(SEARCH("lw",V84)), I84 + SUBSTITUTE(V84,"lw+",""), MROUND(SWITCH(Q84,"sq",U$7,"bn",V$7,"dl",W$7,"")*IF(V84&gt;10, V84/100, VLOOKUP(V84, _rpe,SUBSTITUTE(U84,"+","")+1,0)), IF( SWITCH(Q84,"sq",U$7,"bn",V$7,"dl", W$7,"")&lt; IF(_uom="lbs", 175, 80), 1.25, IF(_uom="lbs",5,2.5))))), "")</f>
        <v/>
      </c>
      <c r="X84" s="148"/>
      <c r="Y84" s="33"/>
      <c r="Z84" s="171"/>
      <c r="AA84" s="124" t="str">
        <f>IFERROR(__xludf.DUMMYFUNCTION("IF(W84=MAX(FILTER(W$10:W$199,LOOKUP(ROW(Q$10:Q$199),FILTER(ROW(Q$10:Q$199),Q$10:Q$199&lt;&gt;Q$9:Q$198))=LOOKUP(ROW(Q84),FILTER(ROW(Q$10:Q$199),Q$10:Q$199&lt;&gt;Q$9:Q$198)))),X84,)"),"")</f>
        <v/>
      </c>
      <c r="AB84" s="122"/>
      <c r="AC84" s="33"/>
      <c r="AD84" s="143" t="str">
        <f t="shared" si="14"/>
        <v>lats - v</v>
      </c>
      <c r="AE84" s="38" t="str">
        <f>IFERROR(__xludf.DUMMYFUNCTION("""COMPUTED_VALUE"""),"ac")</f>
        <v>ac</v>
      </c>
      <c r="AF84" s="144">
        <v>46125.0</v>
      </c>
      <c r="AG84" s="167" t="str">
        <f t="shared" si="54"/>
        <v>Neutral/Underhand Lat Pulldown</v>
      </c>
      <c r="AH84" s="168">
        <f t="shared" si="293"/>
        <v>3</v>
      </c>
      <c r="AI84" s="179" t="s">
        <v>316</v>
      </c>
      <c r="AJ84" s="172" t="str">
        <f t="shared" si="286"/>
        <v>@8.5</v>
      </c>
      <c r="AK84" s="171" t="str">
        <f t="array" ref="AK84">IFERROR(IF(AE84="ac"+ISNUMBER(SEARCH("'",AJ84))+AI84="","", IF(ISNUMBER(SEARCH("lw",AJ84)), W84 + SUBSTITUTE(AJ84,"lw+",""), MROUND(SWITCH(AE84,"sq",AI$7,"bn",AJ$7,"dl",AK$7,"")*IF(AJ84&gt;10, AJ84/100, VLOOKUP(AJ84, _rpe,SUBSTITUTE(AI84,"+","")+1,0)), IF( SWITCH(AE84,"sq",AI$7,"bn",AJ$7,"dl", AK$7,"")&lt; IF(_uom="lbs", 175, 80), 1.25, IF(_uom="lbs",5,2.5))))), "")</f>
        <v/>
      </c>
      <c r="AL84" s="148"/>
      <c r="AM84" s="33"/>
      <c r="AN84" s="171"/>
      <c r="AO84" s="124" t="str">
        <f>IFERROR(__xludf.DUMMYFUNCTION("IF(AK84=MAX(FILTER(AK$10:AK$199,LOOKUP(ROW(AE$10:AE$199),FILTER(ROW(AE$10:AE$199),AE$10:AE$199&lt;&gt;AE$9:AE$198))=LOOKUP(ROW(AE84),FILTER(ROW(AE$10:AE$199),AE$10:AE$199&lt;&gt;AE$9:AE$198)))),AL84,)"),"")</f>
        <v/>
      </c>
      <c r="AP84" s="122"/>
      <c r="AQ84" s="33"/>
      <c r="AR84" s="143" t="str">
        <f t="shared" si="16"/>
        <v>lats - v</v>
      </c>
      <c r="AS84" s="38" t="str">
        <f>IFERROR(__xludf.DUMMYFUNCTION("""COMPUTED_VALUE"""),"ac")</f>
        <v>ac</v>
      </c>
      <c r="AT84" s="144">
        <v>46132.0</v>
      </c>
      <c r="AU84" s="167" t="str">
        <f t="shared" si="26"/>
        <v>Neutral/Underhand Lat Pulldown</v>
      </c>
      <c r="AV84" s="168">
        <f t="shared" si="295"/>
        <v>3</v>
      </c>
      <c r="AW84" s="179" t="s">
        <v>316</v>
      </c>
      <c r="AX84" s="172" t="str">
        <f t="shared" si="287"/>
        <v>@8.5</v>
      </c>
      <c r="AY84" s="171" t="str">
        <f t="array" ref="AY84">IFERROR(IF(AS84="ac"+ISNUMBER(SEARCH("'",AX84))+AW84="","", IF(ISNUMBER(SEARCH("lw",AX84)), AK84 + SUBSTITUTE(AX84,"lw+",""), MROUND(SWITCH(AS84,"sq",AW$7,"bn",AX$7,"dl",AY$7,"")*IF(AX84&gt;10, AX84/100, VLOOKUP(AX84, _rpe,SUBSTITUTE(AW84,"+","")+1,0)), IF( SWITCH(AS84,"sq",AW$7,"bn",AX$7,"dl", AY$7,"")&lt; IF(_uom="lbs", 175, 80), 1.25, IF(_uom="lbs",5,2.5))))), "")</f>
        <v/>
      </c>
      <c r="AZ84" s="148"/>
      <c r="BA84" s="33"/>
      <c r="BB84" s="171"/>
      <c r="BC84" s="124" t="str">
        <f>IFERROR(__xludf.DUMMYFUNCTION("IF(AY84=MAX(FILTER(AY$10:AY$199,LOOKUP(ROW(AS$10:AS$199),FILTER(ROW(AS$10:AS$199),AS$10:AS$199&lt;&gt;AS$9:AS$198))=LOOKUP(ROW(AS84),FILTER(ROW(AS$10:AS$199),AS$10:AS$199&lt;&gt;AS$9:AS$198)))),AZ84,)"),"")</f>
        <v/>
      </c>
      <c r="BD84" s="122"/>
      <c r="BE84" s="33"/>
      <c r="BF84" s="143" t="str">
        <f t="shared" si="17"/>
        <v>lats - v</v>
      </c>
      <c r="BG84" s="38" t="str">
        <f>IFERROR(__xludf.DUMMYFUNCTION("""COMPUTED_VALUE"""),"ac")</f>
        <v>ac</v>
      </c>
      <c r="BH84" s="144">
        <v>46139.0</v>
      </c>
      <c r="BI84" s="167" t="str">
        <f t="shared" si="18"/>
        <v>Neutral/Underhand Lat Pulldown</v>
      </c>
      <c r="BJ84" s="168">
        <v>3.0</v>
      </c>
      <c r="BK84" s="179" t="s">
        <v>317</v>
      </c>
      <c r="BL84" s="172" t="str">
        <f t="shared" si="299"/>
        <v>@8.5</v>
      </c>
      <c r="BM84" s="171" t="str">
        <f t="array" ref="BM84">IFERROR(IF(BG84="ac"+ISNUMBER(SEARCH("'",BL84))+BK84="","", IF(ISNUMBER(SEARCH("lw",BL84)), AY84 + SUBSTITUTE(BL84,"lw+",""), MROUND(SWITCH(BG84,"sq",BK$7,"bn",BL$7,"dl",BM$7,"")*IF(BL84&gt;10, BL84/100, VLOOKUP(BL84, _rpe,SUBSTITUTE(BK84,"+","")+1,0)), IF( SWITCH(BG84,"sq",BK$7,"bn",BL$7,"dl", BM$7,"")&lt; IF(_uom="lbs", 175, 80), 1.25, IF(_uom="lbs",5,2.5))))), "")</f>
        <v/>
      </c>
      <c r="BN84" s="148"/>
      <c r="BO84" s="33"/>
      <c r="BP84" s="171"/>
      <c r="BQ84" s="124" t="str">
        <f>IFERROR(__xludf.DUMMYFUNCTION("IF(BM84=MAX(FILTER(BM$10:BM$199,LOOKUP(ROW(BG$10:BG$199),FILTER(ROW(BG$10:BG$199),BG$10:BG$199&lt;&gt;BG$9:BG$198))=LOOKUP(ROW(BG84),FILTER(ROW(BG$10:BG$199),BG$10:BG$199&lt;&gt;BG$9:BG$198)))),BN84,)"),"")</f>
        <v/>
      </c>
      <c r="BR84" s="122"/>
      <c r="BS84" s="33"/>
      <c r="BT84" s="143" t="str">
        <f t="shared" si="19"/>
        <v>lats - v</v>
      </c>
      <c r="BU84" s="38" t="str">
        <f>IFERROR(__xludf.DUMMYFUNCTION("""COMPUTED_VALUE"""),"ac")</f>
        <v>ac</v>
      </c>
      <c r="BV84" s="144">
        <v>46146.0</v>
      </c>
      <c r="BW84" s="167" t="str">
        <f t="shared" si="20"/>
        <v>Neutral/Underhand Lat Pulldown</v>
      </c>
      <c r="BX84" s="168">
        <v>3.0</v>
      </c>
      <c r="BY84" s="179" t="s">
        <v>317</v>
      </c>
      <c r="BZ84" s="172" t="str">
        <f t="shared" si="302"/>
        <v>@8.5</v>
      </c>
      <c r="CA84" s="171" t="str">
        <f t="array" ref="CA84">IFERROR(IF(BU84="ac"+ISNUMBER(SEARCH("'",BZ84))+BY84="","", IF(ISNUMBER(SEARCH("lw",BZ84)), BM84 + SUBSTITUTE(BZ84,"lw+",""), MROUND(SWITCH(BU84,"sq",BY$7,"bn",BZ$7,"dl",CA$7,"")*IF(BZ84&gt;10, BZ84/100, VLOOKUP(BZ84, _rpe,SUBSTITUTE(BY84,"+","")+1,0)), IF( SWITCH(BU84,"sq",BY$7,"bn",BZ$7,"dl", CA$7,"")&lt; IF(_uom="lbs", 175, 80), 1.25, IF(_uom="lbs",5,2.5))))), "")</f>
        <v/>
      </c>
      <c r="CB84" s="148"/>
      <c r="CC84" s="33"/>
      <c r="CD84" s="171"/>
      <c r="CE84" s="124" t="str">
        <f>IFERROR(__xludf.DUMMYFUNCTION("IF(CA84=MAX(FILTER(CA$10:CA$199,LOOKUP(ROW(BU$10:BU$199),FILTER(ROW(BU$10:BU$199),BU$10:BU$199&lt;&gt;BU$9:BU$198))=LOOKUP(ROW(BU84),FILTER(ROW(BU$10:BU$199),BU$10:BU$199&lt;&gt;BU$9:BU$198)))),CB84,)"),"")</f>
        <v/>
      </c>
      <c r="CF84" s="122"/>
      <c r="CG84" s="33"/>
      <c r="CH84" s="143" t="str">
        <f t="shared" si="21"/>
        <v>lats - v</v>
      </c>
      <c r="CI84" s="38" t="str">
        <f>IFERROR(__xludf.DUMMYFUNCTION("""COMPUTED_VALUE"""),"ac")</f>
        <v>ac</v>
      </c>
      <c r="CJ84" s="144">
        <v>46153.0</v>
      </c>
      <c r="CK84" s="167" t="str">
        <f t="shared" si="27"/>
        <v>Neutral/Underhand Lat Pulldown</v>
      </c>
      <c r="CL84" s="168">
        <f t="shared" si="303"/>
        <v>3</v>
      </c>
      <c r="CM84" s="179" t="s">
        <v>317</v>
      </c>
      <c r="CN84" s="172" t="str">
        <f t="shared" si="305"/>
        <v>@8.5</v>
      </c>
      <c r="CO84" s="171" t="str">
        <f t="array" ref="CO84">IFERROR(IF(CI84="ac"+ISNUMBER(SEARCH("'",CN84))+CM84="","", IF(ISNUMBER(SEARCH("lw",CN84)), CA84 + SUBSTITUTE(CN84,"lw+",""), MROUND(SWITCH(CI84,"sq",CM$7,"bn",CN$7,"dl",CO$7,"")*IF(CN84&gt;10, CN84/100, VLOOKUP(CN84, _rpe,SUBSTITUTE(CM84,"+","")+1,0)), IF( SWITCH(CI84,"sq",CM$7,"bn",CN$7,"dl", CO$7,"")&lt; IF(_uom="lbs", 175, 80), 1.25, IF(_uom="lbs",5,2.5))))), "")</f>
        <v/>
      </c>
      <c r="CP84" s="148"/>
      <c r="CQ84" s="33"/>
      <c r="CR84" s="171"/>
      <c r="CS84" s="124" t="str">
        <f>IFERROR(__xludf.DUMMYFUNCTION("IF(CO84=MAX(FILTER(CO$10:CO$199,LOOKUP(ROW(CI$10:CI$199),FILTER(ROW(CI$10:CI$199),CI$10:CI$199&lt;&gt;CI$9:CI$198))=LOOKUP(ROW(CI84),FILTER(ROW(CI$10:CI$199),CI$10:CI$199&lt;&gt;CI$9:CI$198)))),CP84,)"),"")</f>
        <v/>
      </c>
      <c r="CT84" s="122"/>
      <c r="CU84" s="33"/>
      <c r="CV84" s="143" t="str">
        <f t="shared" si="22"/>
        <v>lats - v</v>
      </c>
      <c r="CW84" s="38" t="str">
        <f>IFERROR(__xludf.DUMMYFUNCTION("""COMPUTED_VALUE"""),"ac")</f>
        <v>ac</v>
      </c>
      <c r="CX84" s="144">
        <v>46160.0</v>
      </c>
      <c r="CY84" s="167" t="str">
        <f t="shared" si="28"/>
        <v>Neutral/Underhand Lat Pulldown</v>
      </c>
      <c r="CZ84" s="168">
        <f t="shared" si="288"/>
        <v>3</v>
      </c>
      <c r="DA84" s="179" t="s">
        <v>317</v>
      </c>
      <c r="DB84" s="172" t="str">
        <f t="shared" si="289"/>
        <v>@8.5</v>
      </c>
      <c r="DC84" s="171" t="str">
        <f t="array" ref="DC84">IFERROR(IF(CW84="ac"+ISNUMBER(SEARCH("'",DB84))+DA84="","", IF(ISNUMBER(SEARCH("lw",DB84)), CO84 + SUBSTITUTE(DB84,"lw+",""), MROUND(SWITCH(CW84,"sq",DA$7,"bn",DB$7,"dl",DC$7,"")*IF(DB84&gt;10, DB84/100, VLOOKUP(DB84, _rpe,SUBSTITUTE(DA84,"+","")+1,0)), IF( SWITCH(CW84,"sq",DA$7,"bn",DB$7,"dl", DC$7,"")&lt; IF(_uom="lbs", 175, 80), 1.25, IF(_uom="lbs",5,2.5))))), "")</f>
        <v/>
      </c>
      <c r="DD84" s="148"/>
      <c r="DE84" s="33"/>
      <c r="DF84" s="171"/>
      <c r="DG84" s="124" t="str">
        <f>IFERROR(__xludf.DUMMYFUNCTION("IF(DC84=MAX(FILTER(DC$10:DC$199,LOOKUP(ROW(CW$10:CW$199),FILTER(ROW(CW$10:CW$199),CW$10:CW$199&lt;&gt;CW$9:CW$198))=LOOKUP(ROW(CW84),FILTER(ROW(CW$10:CW$199),CW$10:CW$199&lt;&gt;CW$9:CW$198)))),DD84,)"),"")</f>
        <v/>
      </c>
      <c r="DH84" s="122"/>
      <c r="DI84" s="33"/>
      <c r="DJ84" s="143" t="str">
        <f t="shared" si="23"/>
        <v>lats - v</v>
      </c>
      <c r="DK84" s="38" t="str">
        <f>IFERROR(__xludf.DUMMYFUNCTION("""COMPUTED_VALUE"""),"")</f>
        <v/>
      </c>
      <c r="DL84" s="144">
        <v>46167.0</v>
      </c>
      <c r="DM84" s="167"/>
      <c r="DN84" s="168"/>
      <c r="DO84" s="169"/>
      <c r="DP84" s="172"/>
      <c r="DQ84" s="171" t="str">
        <f t="array" ref="DQ84">IFERROR(IF(DK84="ac"+ISNUMBER(SEARCH("'",DP84))+DO84="","", IF(ISNUMBER(SEARCH("lw",DP84)), DC84 + SUBSTITUTE(DP84,"lw+",""), MROUND(SWITCH(DK84,"sq",DO$7,"bn",DP$7,"dl",DQ$7,"")*IF(DP84&gt;10, DP84/100, VLOOKUP(DP84, _rpe,SUBSTITUTE(DO84,"+","")+1,0)), IF( SWITCH(DK84,"sq",DO$7,"bn",DP$7,"dl", DQ$7,"")&lt; IF(_uom="lbs", 175, 80), 1.25, IF(_uom="lbs",5,2.5))))), "")</f>
        <v/>
      </c>
      <c r="DR84" s="148"/>
      <c r="DS84" s="33"/>
      <c r="DT84" s="171"/>
      <c r="DU84" s="124" t="str">
        <f>IFERROR(__xludf.DUMMYFUNCTION("IF(DQ84=MAX(FILTER(DQ$10:DQ$199,LOOKUP(ROW(DK$10:DK$199),FILTER(ROW(DK$10:DK$199),DK$10:DK$199&lt;&gt;DK$9:DK$198))=LOOKUP(ROW(DK84),FILTER(ROW(DK$10:DK$199),DK$10:DK$199&lt;&gt;DK$9:DK$198)))),DR84,)"),"")</f>
        <v/>
      </c>
      <c r="DV84" s="122"/>
      <c r="DW84" s="33"/>
      <c r="DX84" s="143"/>
      <c r="DY84" s="38"/>
      <c r="DZ84" s="144"/>
      <c r="EA84" s="150"/>
      <c r="EB84" s="174"/>
      <c r="EC84" s="175"/>
      <c r="ED84" s="176"/>
      <c r="EE84" s="155"/>
      <c r="EF84" s="148"/>
      <c r="EG84" s="33"/>
      <c r="EH84" s="155"/>
      <c r="EI84" s="148"/>
      <c r="EJ84" s="33"/>
      <c r="EK84" s="33"/>
      <c r="EL84" s="143"/>
      <c r="EM84" s="38"/>
      <c r="EN84" s="144"/>
      <c r="EO84" s="150"/>
      <c r="EP84" s="174"/>
      <c r="EQ84" s="175"/>
      <c r="ER84" s="176"/>
      <c r="ES84" s="155"/>
      <c r="ET84" s="148"/>
      <c r="EU84" s="33"/>
      <c r="EV84" s="155"/>
      <c r="EW84" s="148"/>
      <c r="EX84" s="33"/>
      <c r="EY84" s="33"/>
      <c r="EZ84" s="143"/>
      <c r="FA84" s="38"/>
      <c r="FB84" s="144"/>
      <c r="FC84" s="150"/>
      <c r="FD84" s="174"/>
      <c r="FE84" s="175"/>
      <c r="FF84" s="176"/>
      <c r="FG84" s="155"/>
      <c r="FH84" s="148"/>
      <c r="FI84" s="33"/>
      <c r="FJ84" s="155"/>
      <c r="FK84" s="148"/>
      <c r="FL84" s="33"/>
      <c r="FM84" s="33"/>
      <c r="FN84" s="143"/>
      <c r="FO84" s="38"/>
      <c r="FP84" s="144"/>
      <c r="FQ84" s="150"/>
      <c r="FR84" s="174"/>
      <c r="FS84" s="175"/>
      <c r="FT84" s="176"/>
      <c r="FU84" s="155"/>
      <c r="FV84" s="148"/>
      <c r="FW84" s="33"/>
      <c r="FX84" s="155"/>
      <c r="FY84" s="148"/>
      <c r="FZ84" s="33"/>
      <c r="GA84" s="33"/>
      <c r="GB84" s="143"/>
      <c r="GC84" s="38"/>
      <c r="GD84" s="144"/>
      <c r="GE84" s="150"/>
      <c r="GF84" s="174"/>
      <c r="GG84" s="175"/>
      <c r="GH84" s="176"/>
      <c r="GI84" s="155"/>
      <c r="GJ84" s="148"/>
      <c r="GK84" s="33"/>
      <c r="GL84" s="155"/>
      <c r="GM84" s="148"/>
      <c r="GN84" s="33"/>
      <c r="GO84" s="33"/>
      <c r="GP84" s="143"/>
      <c r="GQ84" s="38"/>
      <c r="GR84" s="144"/>
      <c r="GS84" s="150"/>
      <c r="GT84" s="174"/>
      <c r="GU84" s="175"/>
      <c r="GV84" s="176"/>
      <c r="GW84" s="155"/>
      <c r="GX84" s="148"/>
      <c r="GY84" s="33"/>
      <c r="GZ84" s="155"/>
      <c r="HA84" s="148"/>
      <c r="HB84" s="33"/>
      <c r="HC84" s="33"/>
      <c r="HD84" s="143"/>
      <c r="HE84" s="38"/>
      <c r="HF84" s="144"/>
      <c r="HG84" s="150"/>
      <c r="HH84" s="174"/>
      <c r="HI84" s="175"/>
      <c r="HJ84" s="176"/>
      <c r="HK84" s="155"/>
      <c r="HL84" s="148"/>
      <c r="HM84" s="33"/>
      <c r="HN84" s="155"/>
      <c r="HO84" s="148"/>
      <c r="HP84" s="33"/>
      <c r="HQ84" s="33"/>
      <c r="HR84" s="143"/>
      <c r="HS84" s="38"/>
      <c r="HT84" s="144"/>
      <c r="HU84" s="150"/>
      <c r="HV84" s="174"/>
      <c r="HW84" s="175"/>
      <c r="HX84" s="176"/>
      <c r="HY84" s="155"/>
      <c r="HZ84" s="148"/>
      <c r="IA84" s="33"/>
      <c r="IB84" s="155"/>
      <c r="IC84" s="148"/>
      <c r="ID84" s="33"/>
      <c r="IE84" s="33"/>
      <c r="IF84" s="143"/>
      <c r="IG84" s="38"/>
      <c r="IH84" s="144"/>
      <c r="II84" s="150"/>
      <c r="IJ84" s="174"/>
      <c r="IK84" s="175"/>
      <c r="IL84" s="176"/>
      <c r="IM84" s="155"/>
      <c r="IN84" s="148"/>
      <c r="IO84" s="33"/>
      <c r="IP84" s="155"/>
      <c r="IQ84" s="148"/>
      <c r="IR84" s="33"/>
      <c r="IS84" s="33"/>
      <c r="IT84" s="143"/>
      <c r="IU84" s="38"/>
      <c r="IV84" s="144"/>
      <c r="IW84" s="143" t="str">
        <f t="shared" si="24"/>
        <v>#REF!</v>
      </c>
      <c r="IX84" s="38"/>
      <c r="IY84" s="144" t="e">
        <v>#REF!</v>
      </c>
    </row>
    <row r="85" hidden="1" outlineLevel="1">
      <c r="A85" s="33"/>
      <c r="B85" s="181"/>
      <c r="C85" s="38" t="str">
        <f>IFERROR(__xludf.DUMMYFUNCTION("""COMPUTED_VALUE"""),"")</f>
        <v/>
      </c>
      <c r="D85" s="144">
        <v>46111.0</v>
      </c>
      <c r="E85" s="182"/>
      <c r="F85" s="168"/>
      <c r="G85" s="169"/>
      <c r="H85" s="170"/>
      <c r="I85" s="171" t="str">
        <f t="array" ref="I85">IFERROR(IF(C85="ac"+ISNUMBER(SEARCH("'",H85))+G85="","", MROUND(SWITCH(C85,"sq",'Personal Info'!$O$15,"bn",'Personal Info'!$S$15,"dl",'Personal Info'!$W$15,"")*IF(H85&gt;10, H85/100, VLOOKUP(H85, _rpe,SUBSTITUTE(G85,"+","")+1,0)), IF( SWITCH(C85:C210,"sq",'Personal Info'!$O$15,"bn",'Personal Info'!$S$15,"dl", 'Personal Info'!$W$15,"")&lt; IF(_uom="lbs", 175, 80), 1.25, IF(_uom="lbs",5,2.5)))),"")</f>
        <v/>
      </c>
      <c r="J85" s="148"/>
      <c r="K85" s="33"/>
      <c r="L85" s="171"/>
      <c r="M85" s="124" t="str">
        <f>IFERROR(__xludf.DUMMYFUNCTION("IF(I85=MAX(FILTER(I$10:I$199,LOOKUP(ROW(C$10:C$199),FILTER(ROW(C$10:C$199),C$10:C$199&lt;&gt;C$9:C$198))=LOOKUP(ROW(C85),FILTER(ROW(C$10:C$199),C$10:C$199&lt;&gt;C$9:C$198)))),J85,)"),"")</f>
        <v/>
      </c>
      <c r="N85" s="122"/>
      <c r="O85" s="33"/>
      <c r="P85" s="143" t="str">
        <f t="shared" si="12"/>
        <v/>
      </c>
      <c r="Q85" s="38" t="str">
        <f>IFERROR(__xludf.DUMMYFUNCTION("""COMPUTED_VALUE"""),"")</f>
        <v/>
      </c>
      <c r="R85" s="144">
        <v>46118.0</v>
      </c>
      <c r="S85" s="167" t="str">
        <f t="shared" si="13"/>
        <v/>
      </c>
      <c r="T85" s="168" t="str">
        <f t="shared" ref="T85:T87" si="307">IF(ISBLANK(F85),"",F85)</f>
        <v/>
      </c>
      <c r="U85" s="169" t="str">
        <f t="shared" ref="U85:U87" si="308">IF( OR(ISBLANK(G85),G85=""),"", G85)</f>
        <v/>
      </c>
      <c r="V85" s="172" t="str">
        <f t="shared" ref="V85:V87" si="309">IF(ISBLANK(H85),"",H85)</f>
        <v/>
      </c>
      <c r="W85" s="171" t="str">
        <f t="array" ref="W85">IFERROR(IF(Q85="ac"+ISNUMBER(SEARCH("'",V85))+U85="","", IF(ISNUMBER(SEARCH("lw",V85)), I85 + SUBSTITUTE(V85,"lw+",""), MROUND(SWITCH(Q85,"sq",U$7,"bn",V$7,"dl",W$7,"")*IF(V85&gt;10, V85/100, VLOOKUP(V85, _rpe,SUBSTITUTE(U85,"+","")+1,0)), IF( SWITCH(Q85,"sq",U$7,"bn",V$7,"dl", W$7,"")&lt; IF(_uom="lbs", 175, 80), 1.25, IF(_uom="lbs",5,2.5))))), "")</f>
        <v/>
      </c>
      <c r="X85" s="148"/>
      <c r="Y85" s="33"/>
      <c r="Z85" s="171"/>
      <c r="AA85" s="124" t="str">
        <f>IFERROR(__xludf.DUMMYFUNCTION("IF(W85=MAX(FILTER(W$10:W$199,LOOKUP(ROW(Q$10:Q$199),FILTER(ROW(Q$10:Q$199),Q$10:Q$199&lt;&gt;Q$9:Q$198))=LOOKUP(ROW(Q85),FILTER(ROW(Q$10:Q$199),Q$10:Q$199&lt;&gt;Q$9:Q$198)))),X85,)"),"")</f>
        <v/>
      </c>
      <c r="AB85" s="122"/>
      <c r="AC85" s="33"/>
      <c r="AD85" s="143" t="str">
        <f t="shared" si="14"/>
        <v/>
      </c>
      <c r="AE85" s="38" t="str">
        <f>IFERROR(__xludf.DUMMYFUNCTION("""COMPUTED_VALUE"""),"")</f>
        <v/>
      </c>
      <c r="AF85" s="144">
        <v>46125.0</v>
      </c>
      <c r="AG85" s="167" t="str">
        <f t="shared" si="54"/>
        <v/>
      </c>
      <c r="AH85" s="168" t="str">
        <f t="shared" si="293"/>
        <v/>
      </c>
      <c r="AI85" s="169" t="str">
        <f t="shared" ref="AI85:AI87" si="310">IF( OR(ISBLANK(U85),U85=""),"", U85)</f>
        <v/>
      </c>
      <c r="AJ85" s="172" t="str">
        <f t="shared" si="286"/>
        <v/>
      </c>
      <c r="AK85" s="171" t="str">
        <f t="array" ref="AK85">IFERROR(IF(AE85="ac"+ISNUMBER(SEARCH("'",AJ85))+AI85="","", IF(ISNUMBER(SEARCH("lw",AJ85)), W85 + SUBSTITUTE(AJ85,"lw+",""), MROUND(SWITCH(AE85,"sq",AI$7,"bn",AJ$7,"dl",AK$7,"")*IF(AJ85&gt;10, AJ85/100, VLOOKUP(AJ85, _rpe,SUBSTITUTE(AI85,"+","")+1,0)), IF( SWITCH(AE85,"sq",AI$7,"bn",AJ$7,"dl", AK$7,"")&lt; IF(_uom="lbs", 175, 80), 1.25, IF(_uom="lbs",5,2.5))))), "")</f>
        <v/>
      </c>
      <c r="AL85" s="148"/>
      <c r="AM85" s="33"/>
      <c r="AN85" s="171"/>
      <c r="AO85" s="124" t="str">
        <f>IFERROR(__xludf.DUMMYFUNCTION("IF(AK85=MAX(FILTER(AK$10:AK$199,LOOKUP(ROW(AE$10:AE$199),FILTER(ROW(AE$10:AE$199),AE$10:AE$199&lt;&gt;AE$9:AE$198))=LOOKUP(ROW(AE85),FILTER(ROW(AE$10:AE$199),AE$10:AE$199&lt;&gt;AE$9:AE$198)))),AL85,)"),"")</f>
        <v/>
      </c>
      <c r="AP85" s="122"/>
      <c r="AQ85" s="33"/>
      <c r="AR85" s="143" t="str">
        <f t="shared" si="16"/>
        <v/>
      </c>
      <c r="AS85" s="38" t="str">
        <f>IFERROR(__xludf.DUMMYFUNCTION("""COMPUTED_VALUE"""),"")</f>
        <v/>
      </c>
      <c r="AT85" s="144">
        <v>46132.0</v>
      </c>
      <c r="AU85" s="167" t="str">
        <f t="shared" si="26"/>
        <v/>
      </c>
      <c r="AV85" s="168" t="str">
        <f t="shared" si="295"/>
        <v/>
      </c>
      <c r="AW85" s="169" t="str">
        <f t="shared" ref="AW85:AW87" si="311">IF( OR(ISBLANK(AI85),AI85=""),"", AI85)</f>
        <v/>
      </c>
      <c r="AX85" s="172" t="str">
        <f t="shared" si="287"/>
        <v/>
      </c>
      <c r="AY85" s="171" t="str">
        <f t="array" ref="AY85">IFERROR(IF(AS85="ac"+ISNUMBER(SEARCH("'",AX85))+AW85="","", IF(ISNUMBER(SEARCH("lw",AX85)), AK85 + SUBSTITUTE(AX85,"lw+",""), MROUND(SWITCH(AS85,"sq",AW$7,"bn",AX$7,"dl",AY$7,"")*IF(AX85&gt;10, AX85/100, VLOOKUP(AX85, _rpe,SUBSTITUTE(AW85,"+","")+1,0)), IF( SWITCH(AS85,"sq",AW$7,"bn",AX$7,"dl", AY$7,"")&lt; IF(_uom="lbs", 175, 80), 1.25, IF(_uom="lbs",5,2.5))))), "")</f>
        <v/>
      </c>
      <c r="AZ85" s="148"/>
      <c r="BA85" s="33"/>
      <c r="BB85" s="171"/>
      <c r="BC85" s="124" t="str">
        <f>IFERROR(__xludf.DUMMYFUNCTION("IF(AY85=MAX(FILTER(AY$10:AY$199,LOOKUP(ROW(AS$10:AS$199),FILTER(ROW(AS$10:AS$199),AS$10:AS$199&lt;&gt;AS$9:AS$198))=LOOKUP(ROW(AS85),FILTER(ROW(AS$10:AS$199),AS$10:AS$199&lt;&gt;AS$9:AS$198)))),AZ85,)"),"")</f>
        <v/>
      </c>
      <c r="BD85" s="122"/>
      <c r="BE85" s="33"/>
      <c r="BF85" s="143" t="str">
        <f t="shared" si="17"/>
        <v/>
      </c>
      <c r="BG85" s="38" t="str">
        <f>IFERROR(__xludf.DUMMYFUNCTION("""COMPUTED_VALUE"""),"")</f>
        <v/>
      </c>
      <c r="BH85" s="144">
        <v>46139.0</v>
      </c>
      <c r="BI85" s="167" t="str">
        <f t="shared" si="18"/>
        <v/>
      </c>
      <c r="BJ85" s="168" t="str">
        <f t="shared" ref="BJ85:BJ87" si="312">IF(ISBLANK(AV85),"",AV85)</f>
        <v/>
      </c>
      <c r="BK85" s="169" t="str">
        <f t="shared" ref="BK85:BK87" si="313">IF( OR(ISBLANK(AW85),AW85=""),"", AW85)</f>
        <v/>
      </c>
      <c r="BL85" s="172" t="str">
        <f t="shared" si="299"/>
        <v/>
      </c>
      <c r="BM85" s="171" t="str">
        <f t="array" ref="BM85">IFERROR(IF(BG85="ac"+ISNUMBER(SEARCH("'",BL85))+BK85="","", IF(ISNUMBER(SEARCH("lw",BL85)), AY85 + SUBSTITUTE(BL85,"lw+",""), MROUND(SWITCH(BG85,"sq",BK$7,"bn",BL$7,"dl",BM$7,"")*IF(BL85&gt;10, BL85/100, VLOOKUP(BL85, _rpe,SUBSTITUTE(BK85,"+","")+1,0)), IF( SWITCH(BG85,"sq",BK$7,"bn",BL$7,"dl", BM$7,"")&lt; IF(_uom="lbs", 175, 80), 1.25, IF(_uom="lbs",5,2.5))))), "")</f>
        <v/>
      </c>
      <c r="BN85" s="148"/>
      <c r="BO85" s="33"/>
      <c r="BP85" s="171"/>
      <c r="BQ85" s="124" t="str">
        <f>IFERROR(__xludf.DUMMYFUNCTION("IF(BM85=MAX(FILTER(BM$10:BM$199,LOOKUP(ROW(BG$10:BG$199),FILTER(ROW(BG$10:BG$199),BG$10:BG$199&lt;&gt;BG$9:BG$198))=LOOKUP(ROW(BG85),FILTER(ROW(BG$10:BG$199),BG$10:BG$199&lt;&gt;BG$9:BG$198)))),BN85,)"),"")</f>
        <v/>
      </c>
      <c r="BR85" s="122"/>
      <c r="BS85" s="33"/>
      <c r="BT85" s="143" t="str">
        <f t="shared" si="19"/>
        <v/>
      </c>
      <c r="BU85" s="38" t="str">
        <f>IFERROR(__xludf.DUMMYFUNCTION("""COMPUTED_VALUE"""),"")</f>
        <v/>
      </c>
      <c r="BV85" s="144">
        <v>46146.0</v>
      </c>
      <c r="BW85" s="167" t="str">
        <f t="shared" si="20"/>
        <v/>
      </c>
      <c r="BX85" s="168" t="str">
        <f t="shared" ref="BX85:BX87" si="314">IF(ISBLANK(BJ85),"",BJ85)</f>
        <v/>
      </c>
      <c r="BY85" s="169" t="str">
        <f t="shared" ref="BY85:BY87" si="315">IF( OR(ISBLANK(BK85),BK85=""),"", BK85)</f>
        <v/>
      </c>
      <c r="BZ85" s="172" t="str">
        <f t="shared" si="302"/>
        <v/>
      </c>
      <c r="CA85" s="171" t="str">
        <f t="array" ref="CA85">IFERROR(IF(BU85="ac"+ISNUMBER(SEARCH("'",BZ85))+BY85="","", IF(ISNUMBER(SEARCH("lw",BZ85)), BM85 + SUBSTITUTE(BZ85,"lw+",""), MROUND(SWITCH(BU85,"sq",BY$7,"bn",BZ$7,"dl",CA$7,"")*IF(BZ85&gt;10, BZ85/100, VLOOKUP(BZ85, _rpe,SUBSTITUTE(BY85,"+","")+1,0)), IF( SWITCH(BU85,"sq",BY$7,"bn",BZ$7,"dl", CA$7,"")&lt; IF(_uom="lbs", 175, 80), 1.25, IF(_uom="lbs",5,2.5))))), "")</f>
        <v/>
      </c>
      <c r="CB85" s="148"/>
      <c r="CC85" s="33"/>
      <c r="CD85" s="171"/>
      <c r="CE85" s="124" t="str">
        <f>IFERROR(__xludf.DUMMYFUNCTION("IF(CA85=MAX(FILTER(CA$10:CA$199,LOOKUP(ROW(BU$10:BU$199),FILTER(ROW(BU$10:BU$199),BU$10:BU$199&lt;&gt;BU$9:BU$198))=LOOKUP(ROW(BU85),FILTER(ROW(BU$10:BU$199),BU$10:BU$199&lt;&gt;BU$9:BU$198)))),CB85,)"),"")</f>
        <v/>
      </c>
      <c r="CF85" s="122"/>
      <c r="CG85" s="33"/>
      <c r="CH85" s="143" t="str">
        <f t="shared" si="21"/>
        <v/>
      </c>
      <c r="CI85" s="38" t="str">
        <f>IFERROR(__xludf.DUMMYFUNCTION("""COMPUTED_VALUE"""),"")</f>
        <v/>
      </c>
      <c r="CJ85" s="144">
        <v>46153.0</v>
      </c>
      <c r="CK85" s="167" t="str">
        <f t="shared" si="27"/>
        <v/>
      </c>
      <c r="CL85" s="168" t="str">
        <f t="shared" si="303"/>
        <v/>
      </c>
      <c r="CM85" s="169" t="str">
        <f t="shared" ref="CM85:CM87" si="316">IF( OR(ISBLANK(BY85),BY85=""),"", BY85)</f>
        <v/>
      </c>
      <c r="CN85" s="172" t="str">
        <f t="shared" si="305"/>
        <v/>
      </c>
      <c r="CO85" s="171" t="str">
        <f t="array" ref="CO85">IFERROR(IF(CI85="ac"+ISNUMBER(SEARCH("'",CN85))+CM85="","", IF(ISNUMBER(SEARCH("lw",CN85)), CA85 + SUBSTITUTE(CN85,"lw+",""), MROUND(SWITCH(CI85,"sq",CM$7,"bn",CN$7,"dl",CO$7,"")*IF(CN85&gt;10, CN85/100, VLOOKUP(CN85, _rpe,SUBSTITUTE(CM85,"+","")+1,0)), IF( SWITCH(CI85,"sq",CM$7,"bn",CN$7,"dl", CO$7,"")&lt; IF(_uom="lbs", 175, 80), 1.25, IF(_uom="lbs",5,2.5))))), "")</f>
        <v/>
      </c>
      <c r="CP85" s="148"/>
      <c r="CQ85" s="33"/>
      <c r="CR85" s="171"/>
      <c r="CS85" s="124" t="str">
        <f>IFERROR(__xludf.DUMMYFUNCTION("IF(CO85=MAX(FILTER(CO$10:CO$199,LOOKUP(ROW(CI$10:CI$199),FILTER(ROW(CI$10:CI$199),CI$10:CI$199&lt;&gt;CI$9:CI$198))=LOOKUP(ROW(CI85),FILTER(ROW(CI$10:CI$199),CI$10:CI$199&lt;&gt;CI$9:CI$198)))),CP85,)"),"")</f>
        <v/>
      </c>
      <c r="CT85" s="122"/>
      <c r="CU85" s="33"/>
      <c r="CV85" s="143" t="str">
        <f t="shared" si="22"/>
        <v/>
      </c>
      <c r="CW85" s="38" t="str">
        <f>IFERROR(__xludf.DUMMYFUNCTION("""COMPUTED_VALUE"""),"")</f>
        <v/>
      </c>
      <c r="CX85" s="144">
        <v>46160.0</v>
      </c>
      <c r="CY85" s="167" t="str">
        <f t="shared" si="28"/>
        <v/>
      </c>
      <c r="CZ85" s="168" t="str">
        <f t="shared" si="288"/>
        <v/>
      </c>
      <c r="DA85" s="169" t="str">
        <f t="shared" ref="DA85:DA87" si="317">IF( OR(ISBLANK(CM85),CM85=""),"", CM85)</f>
        <v/>
      </c>
      <c r="DB85" s="172" t="str">
        <f t="shared" si="289"/>
        <v/>
      </c>
      <c r="DC85" s="171" t="str">
        <f t="array" ref="DC85">IFERROR(IF(CW85="ac"+ISNUMBER(SEARCH("'",DB85))+DA85="","", IF(ISNUMBER(SEARCH("lw",DB85)), CO85 + SUBSTITUTE(DB85,"lw+",""), MROUND(SWITCH(CW85,"sq",DA$7,"bn",DB$7,"dl",DC$7,"")*IF(DB85&gt;10, DB85/100, VLOOKUP(DB85, _rpe,SUBSTITUTE(DA85,"+","")+1,0)), IF( SWITCH(CW85,"sq",DA$7,"bn",DB$7,"dl", DC$7,"")&lt; IF(_uom="lbs", 175, 80), 1.25, IF(_uom="lbs",5,2.5))))), "")</f>
        <v/>
      </c>
      <c r="DD85" s="148"/>
      <c r="DE85" s="33"/>
      <c r="DF85" s="171"/>
      <c r="DG85" s="124" t="str">
        <f>IFERROR(__xludf.DUMMYFUNCTION("IF(DC85=MAX(FILTER(DC$10:DC$199,LOOKUP(ROW(CW$10:CW$199),FILTER(ROW(CW$10:CW$199),CW$10:CW$199&lt;&gt;CW$9:CW$198))=LOOKUP(ROW(CW85),FILTER(ROW(CW$10:CW$199),CW$10:CW$199&lt;&gt;CW$9:CW$198)))),DD85,)"),"")</f>
        <v/>
      </c>
      <c r="DH85" s="122"/>
      <c r="DI85" s="33"/>
      <c r="DJ85" s="143" t="str">
        <f t="shared" si="23"/>
        <v/>
      </c>
      <c r="DK85" s="38" t="str">
        <f>IFERROR(__xludf.DUMMYFUNCTION("""COMPUTED_VALUE"""),"")</f>
        <v/>
      </c>
      <c r="DL85" s="144">
        <v>46167.0</v>
      </c>
      <c r="DM85" s="167"/>
      <c r="DN85" s="168"/>
      <c r="DO85" s="169"/>
      <c r="DP85" s="172"/>
      <c r="DQ85" s="171" t="str">
        <f t="array" ref="DQ85">IFERROR(IF(DK85="ac"+ISNUMBER(SEARCH("'",DP85))+DO85="","", IF(ISNUMBER(SEARCH("lw",DP85)), DC85 + SUBSTITUTE(DP85,"lw+",""), MROUND(SWITCH(DK85,"sq",DO$7,"bn",DP$7,"dl",DQ$7,"")*IF(DP85&gt;10, DP85/100, VLOOKUP(DP85, _rpe,SUBSTITUTE(DO85,"+","")+1,0)), IF( SWITCH(DK85,"sq",DO$7,"bn",DP$7,"dl", DQ$7,"")&lt; IF(_uom="lbs", 175, 80), 1.25, IF(_uom="lbs",5,2.5))))), "")</f>
        <v/>
      </c>
      <c r="DR85" s="148"/>
      <c r="DS85" s="33"/>
      <c r="DT85" s="171"/>
      <c r="DU85" s="124" t="str">
        <f>IFERROR(__xludf.DUMMYFUNCTION("IF(DQ85=MAX(FILTER(DQ$10:DQ$199,LOOKUP(ROW(DK$10:DK$199),FILTER(ROW(DK$10:DK$199),DK$10:DK$199&lt;&gt;DK$9:DK$198))=LOOKUP(ROW(DK85),FILTER(ROW(DK$10:DK$199),DK$10:DK$199&lt;&gt;DK$9:DK$198)))),DR85,)"),"")</f>
        <v/>
      </c>
      <c r="DV85" s="122"/>
      <c r="DW85" s="33"/>
      <c r="DX85" s="143"/>
      <c r="DY85" s="38"/>
      <c r="DZ85" s="144"/>
      <c r="EA85" s="150"/>
      <c r="EB85" s="174"/>
      <c r="EC85" s="175"/>
      <c r="ED85" s="176"/>
      <c r="EE85" s="155"/>
      <c r="EF85" s="148"/>
      <c r="EG85" s="33"/>
      <c r="EH85" s="155"/>
      <c r="EI85" s="148"/>
      <c r="EJ85" s="33"/>
      <c r="EK85" s="33"/>
      <c r="EL85" s="143"/>
      <c r="EM85" s="38"/>
      <c r="EN85" s="144"/>
      <c r="EO85" s="150"/>
      <c r="EP85" s="174"/>
      <c r="EQ85" s="175"/>
      <c r="ER85" s="176"/>
      <c r="ES85" s="155"/>
      <c r="ET85" s="148"/>
      <c r="EU85" s="33"/>
      <c r="EV85" s="155"/>
      <c r="EW85" s="148"/>
      <c r="EX85" s="33"/>
      <c r="EY85" s="33"/>
      <c r="EZ85" s="143"/>
      <c r="FA85" s="38"/>
      <c r="FB85" s="144"/>
      <c r="FC85" s="150"/>
      <c r="FD85" s="174"/>
      <c r="FE85" s="175"/>
      <c r="FF85" s="176"/>
      <c r="FG85" s="155"/>
      <c r="FH85" s="148"/>
      <c r="FI85" s="33"/>
      <c r="FJ85" s="155"/>
      <c r="FK85" s="148"/>
      <c r="FL85" s="33"/>
      <c r="FM85" s="33"/>
      <c r="FN85" s="143"/>
      <c r="FO85" s="38"/>
      <c r="FP85" s="144"/>
      <c r="FQ85" s="150"/>
      <c r="FR85" s="174"/>
      <c r="FS85" s="175"/>
      <c r="FT85" s="176"/>
      <c r="FU85" s="155"/>
      <c r="FV85" s="148"/>
      <c r="FW85" s="33"/>
      <c r="FX85" s="155"/>
      <c r="FY85" s="148"/>
      <c r="FZ85" s="33"/>
      <c r="GA85" s="33"/>
      <c r="GB85" s="143"/>
      <c r="GC85" s="38"/>
      <c r="GD85" s="144"/>
      <c r="GE85" s="150"/>
      <c r="GF85" s="174"/>
      <c r="GG85" s="175"/>
      <c r="GH85" s="176"/>
      <c r="GI85" s="155"/>
      <c r="GJ85" s="148"/>
      <c r="GK85" s="33"/>
      <c r="GL85" s="155"/>
      <c r="GM85" s="148"/>
      <c r="GN85" s="33"/>
      <c r="GO85" s="33"/>
      <c r="GP85" s="143"/>
      <c r="GQ85" s="38"/>
      <c r="GR85" s="144"/>
      <c r="GS85" s="150"/>
      <c r="GT85" s="174"/>
      <c r="GU85" s="175"/>
      <c r="GV85" s="176"/>
      <c r="GW85" s="155"/>
      <c r="GX85" s="148"/>
      <c r="GY85" s="33"/>
      <c r="GZ85" s="155"/>
      <c r="HA85" s="148"/>
      <c r="HB85" s="33"/>
      <c r="HC85" s="33"/>
      <c r="HD85" s="143"/>
      <c r="HE85" s="38"/>
      <c r="HF85" s="144"/>
      <c r="HG85" s="150"/>
      <c r="HH85" s="174"/>
      <c r="HI85" s="175"/>
      <c r="HJ85" s="176"/>
      <c r="HK85" s="155"/>
      <c r="HL85" s="148"/>
      <c r="HM85" s="33"/>
      <c r="HN85" s="155"/>
      <c r="HO85" s="148"/>
      <c r="HP85" s="33"/>
      <c r="HQ85" s="33"/>
      <c r="HR85" s="143"/>
      <c r="HS85" s="38"/>
      <c r="HT85" s="144"/>
      <c r="HU85" s="150"/>
      <c r="HV85" s="174"/>
      <c r="HW85" s="175"/>
      <c r="HX85" s="176"/>
      <c r="HY85" s="155"/>
      <c r="HZ85" s="148"/>
      <c r="IA85" s="33"/>
      <c r="IB85" s="155"/>
      <c r="IC85" s="148"/>
      <c r="ID85" s="33"/>
      <c r="IE85" s="33"/>
      <c r="IF85" s="143"/>
      <c r="IG85" s="38"/>
      <c r="IH85" s="144"/>
      <c r="II85" s="150"/>
      <c r="IJ85" s="174"/>
      <c r="IK85" s="175"/>
      <c r="IL85" s="176"/>
      <c r="IM85" s="155"/>
      <c r="IN85" s="148"/>
      <c r="IO85" s="33"/>
      <c r="IP85" s="155"/>
      <c r="IQ85" s="148"/>
      <c r="IR85" s="33"/>
      <c r="IS85" s="33"/>
      <c r="IT85" s="143"/>
      <c r="IU85" s="38"/>
      <c r="IV85" s="144"/>
      <c r="IW85" s="143" t="str">
        <f t="shared" si="24"/>
        <v>#REF!</v>
      </c>
      <c r="IX85" s="38"/>
      <c r="IY85" s="144" t="e">
        <v>#REF!</v>
      </c>
    </row>
    <row r="86" hidden="1" outlineLevel="1">
      <c r="A86" s="33"/>
      <c r="B86" s="181"/>
      <c r="C86" s="38" t="str">
        <f>IFERROR(__xludf.DUMMYFUNCTION("""COMPUTED_VALUE"""),"")</f>
        <v/>
      </c>
      <c r="D86" s="144">
        <v>46111.0</v>
      </c>
      <c r="E86" s="182"/>
      <c r="F86" s="168"/>
      <c r="G86" s="169"/>
      <c r="H86" s="170"/>
      <c r="I86" s="171" t="str">
        <f t="array" ref="I86">IFERROR(IF(C86="ac"+ISNUMBER(SEARCH("'",H86))+G86="","", MROUND(SWITCH(C86,"sq",'Personal Info'!$O$15,"bn",'Personal Info'!$S$15,"dl",'Personal Info'!$W$15,"")*IF(H86&gt;10, H86/100, VLOOKUP(H86, _rpe,SUBSTITUTE(G86,"+","")+1,0)), IF( SWITCH(C86:C210,"sq",'Personal Info'!$O$15,"bn",'Personal Info'!$S$15,"dl", 'Personal Info'!$W$15,"")&lt; IF(_uom="lbs", 175, 80), 1.25, IF(_uom="lbs",5,2.5)))),"")</f>
        <v/>
      </c>
      <c r="J86" s="148"/>
      <c r="K86" s="33"/>
      <c r="L86" s="171"/>
      <c r="M86" s="124" t="str">
        <f>IFERROR(__xludf.DUMMYFUNCTION("IF(I86=MAX(FILTER(I$10:I$199,LOOKUP(ROW(C$10:C$199),FILTER(ROW(C$10:C$199),C$10:C$199&lt;&gt;C$9:C$198))=LOOKUP(ROW(C86),FILTER(ROW(C$10:C$199),C$10:C$199&lt;&gt;C$9:C$198)))),J86,)"),"")</f>
        <v/>
      </c>
      <c r="N86" s="122"/>
      <c r="O86" s="33"/>
      <c r="P86" s="143" t="str">
        <f t="shared" si="12"/>
        <v/>
      </c>
      <c r="Q86" s="38" t="str">
        <f>IFERROR(__xludf.DUMMYFUNCTION("""COMPUTED_VALUE"""),"")</f>
        <v/>
      </c>
      <c r="R86" s="144">
        <v>46118.0</v>
      </c>
      <c r="S86" s="167" t="str">
        <f t="shared" si="13"/>
        <v/>
      </c>
      <c r="T86" s="168" t="str">
        <f t="shared" si="307"/>
        <v/>
      </c>
      <c r="U86" s="169" t="str">
        <f t="shared" si="308"/>
        <v/>
      </c>
      <c r="V86" s="172" t="str">
        <f t="shared" si="309"/>
        <v/>
      </c>
      <c r="W86" s="171" t="str">
        <f t="array" ref="W86">IFERROR(IF(Q86="ac"+ISNUMBER(SEARCH("'",V86))+U86="","", IF(ISNUMBER(SEARCH("lw",V86)), I86 + SUBSTITUTE(V86,"lw+",""), MROUND(SWITCH(Q86,"sq",U$7,"bn",V$7,"dl",W$7,"")*IF(V86&gt;10, V86/100, VLOOKUP(V86, _rpe,SUBSTITUTE(U86,"+","")+1,0)), IF( SWITCH(Q86,"sq",U$7,"bn",V$7,"dl", W$7,"")&lt; IF(_uom="lbs", 175, 80), 1.25, IF(_uom="lbs",5,2.5))))), "")</f>
        <v/>
      </c>
      <c r="X86" s="148"/>
      <c r="Y86" s="33"/>
      <c r="Z86" s="171"/>
      <c r="AA86" s="124" t="str">
        <f>IFERROR(__xludf.DUMMYFUNCTION("IF(W86=MAX(FILTER(W$10:W$199,LOOKUP(ROW(Q$10:Q$199),FILTER(ROW(Q$10:Q$199),Q$10:Q$199&lt;&gt;Q$9:Q$198))=LOOKUP(ROW(Q86),FILTER(ROW(Q$10:Q$199),Q$10:Q$199&lt;&gt;Q$9:Q$198)))),X86,)"),"")</f>
        <v/>
      </c>
      <c r="AB86" s="122"/>
      <c r="AC86" s="33"/>
      <c r="AD86" s="143" t="str">
        <f t="shared" si="14"/>
        <v/>
      </c>
      <c r="AE86" s="38" t="str">
        <f>IFERROR(__xludf.DUMMYFUNCTION("""COMPUTED_VALUE"""),"")</f>
        <v/>
      </c>
      <c r="AF86" s="144">
        <v>46125.0</v>
      </c>
      <c r="AG86" s="167" t="str">
        <f t="shared" si="54"/>
        <v/>
      </c>
      <c r="AH86" s="168" t="str">
        <f t="shared" si="293"/>
        <v/>
      </c>
      <c r="AI86" s="169" t="str">
        <f t="shared" si="310"/>
        <v/>
      </c>
      <c r="AJ86" s="172" t="str">
        <f t="shared" si="286"/>
        <v/>
      </c>
      <c r="AK86" s="171" t="str">
        <f t="array" ref="AK86">IFERROR(IF(AE86="ac"+ISNUMBER(SEARCH("'",AJ86))+AI86="","", IF(ISNUMBER(SEARCH("lw",AJ86)), W86 + SUBSTITUTE(AJ86,"lw+",""), MROUND(SWITCH(AE86,"sq",AI$7,"bn",AJ$7,"dl",AK$7,"")*IF(AJ86&gt;10, AJ86/100, VLOOKUP(AJ86, _rpe,SUBSTITUTE(AI86,"+","")+1,0)), IF( SWITCH(AE86,"sq",AI$7,"bn",AJ$7,"dl", AK$7,"")&lt; IF(_uom="lbs", 175, 80), 1.25, IF(_uom="lbs",5,2.5))))), "")</f>
        <v/>
      </c>
      <c r="AL86" s="148"/>
      <c r="AM86" s="33"/>
      <c r="AN86" s="171"/>
      <c r="AO86" s="124" t="str">
        <f>IFERROR(__xludf.DUMMYFUNCTION("IF(AK86=MAX(FILTER(AK$10:AK$199,LOOKUP(ROW(AE$10:AE$199),FILTER(ROW(AE$10:AE$199),AE$10:AE$199&lt;&gt;AE$9:AE$198))=LOOKUP(ROW(AE86),FILTER(ROW(AE$10:AE$199),AE$10:AE$199&lt;&gt;AE$9:AE$198)))),AL86,)"),"")</f>
        <v/>
      </c>
      <c r="AP86" s="122"/>
      <c r="AQ86" s="33"/>
      <c r="AR86" s="143" t="str">
        <f t="shared" si="16"/>
        <v/>
      </c>
      <c r="AS86" s="38" t="str">
        <f>IFERROR(__xludf.DUMMYFUNCTION("""COMPUTED_VALUE"""),"")</f>
        <v/>
      </c>
      <c r="AT86" s="144">
        <v>46132.0</v>
      </c>
      <c r="AU86" s="167" t="str">
        <f t="shared" si="26"/>
        <v/>
      </c>
      <c r="AV86" s="168" t="str">
        <f t="shared" si="295"/>
        <v/>
      </c>
      <c r="AW86" s="169" t="str">
        <f t="shared" si="311"/>
        <v/>
      </c>
      <c r="AX86" s="172" t="str">
        <f t="shared" si="287"/>
        <v/>
      </c>
      <c r="AY86" s="171" t="str">
        <f t="array" ref="AY86">IFERROR(IF(AS86="ac"+ISNUMBER(SEARCH("'",AX86))+AW86="","", IF(ISNUMBER(SEARCH("lw",AX86)), AK86 + SUBSTITUTE(AX86,"lw+",""), MROUND(SWITCH(AS86,"sq",AW$7,"bn",AX$7,"dl",AY$7,"")*IF(AX86&gt;10, AX86/100, VLOOKUP(AX86, _rpe,SUBSTITUTE(AW86,"+","")+1,0)), IF( SWITCH(AS86,"sq",AW$7,"bn",AX$7,"dl", AY$7,"")&lt; IF(_uom="lbs", 175, 80), 1.25, IF(_uom="lbs",5,2.5))))), "")</f>
        <v/>
      </c>
      <c r="AZ86" s="148"/>
      <c r="BA86" s="33"/>
      <c r="BB86" s="171"/>
      <c r="BC86" s="124" t="str">
        <f>IFERROR(__xludf.DUMMYFUNCTION("IF(AY86=MAX(FILTER(AY$10:AY$199,LOOKUP(ROW(AS$10:AS$199),FILTER(ROW(AS$10:AS$199),AS$10:AS$199&lt;&gt;AS$9:AS$198))=LOOKUP(ROW(AS86),FILTER(ROW(AS$10:AS$199),AS$10:AS$199&lt;&gt;AS$9:AS$198)))),AZ86,)"),"")</f>
        <v/>
      </c>
      <c r="BD86" s="122"/>
      <c r="BE86" s="33"/>
      <c r="BF86" s="143" t="str">
        <f t="shared" si="17"/>
        <v/>
      </c>
      <c r="BG86" s="38" t="str">
        <f>IFERROR(__xludf.DUMMYFUNCTION("""COMPUTED_VALUE"""),"")</f>
        <v/>
      </c>
      <c r="BH86" s="144">
        <v>46139.0</v>
      </c>
      <c r="BI86" s="167" t="str">
        <f t="shared" si="18"/>
        <v/>
      </c>
      <c r="BJ86" s="168" t="str">
        <f t="shared" si="312"/>
        <v/>
      </c>
      <c r="BK86" s="169" t="str">
        <f t="shared" si="313"/>
        <v/>
      </c>
      <c r="BL86" s="172" t="str">
        <f t="shared" si="299"/>
        <v/>
      </c>
      <c r="BM86" s="171" t="str">
        <f t="array" ref="BM86">IFERROR(IF(BG86="ac"+ISNUMBER(SEARCH("'",BL86))+BK86="","", IF(ISNUMBER(SEARCH("lw",BL86)), AY86 + SUBSTITUTE(BL86,"lw+",""), MROUND(SWITCH(BG86,"sq",BK$7,"bn",BL$7,"dl",BM$7,"")*IF(BL86&gt;10, BL86/100, VLOOKUP(BL86, _rpe,SUBSTITUTE(BK86,"+","")+1,0)), IF( SWITCH(BG86,"sq",BK$7,"bn",BL$7,"dl", BM$7,"")&lt; IF(_uom="lbs", 175, 80), 1.25, IF(_uom="lbs",5,2.5))))), "")</f>
        <v/>
      </c>
      <c r="BN86" s="148"/>
      <c r="BO86" s="33"/>
      <c r="BP86" s="171"/>
      <c r="BQ86" s="124" t="str">
        <f>IFERROR(__xludf.DUMMYFUNCTION("IF(BM86=MAX(FILTER(BM$10:BM$199,LOOKUP(ROW(BG$10:BG$199),FILTER(ROW(BG$10:BG$199),BG$10:BG$199&lt;&gt;BG$9:BG$198))=LOOKUP(ROW(BG86),FILTER(ROW(BG$10:BG$199),BG$10:BG$199&lt;&gt;BG$9:BG$198)))),BN86,)"),"")</f>
        <v/>
      </c>
      <c r="BR86" s="122"/>
      <c r="BS86" s="33"/>
      <c r="BT86" s="143" t="str">
        <f t="shared" si="19"/>
        <v/>
      </c>
      <c r="BU86" s="38" t="str">
        <f>IFERROR(__xludf.DUMMYFUNCTION("""COMPUTED_VALUE"""),"")</f>
        <v/>
      </c>
      <c r="BV86" s="144">
        <v>46146.0</v>
      </c>
      <c r="BW86" s="167" t="str">
        <f t="shared" si="20"/>
        <v/>
      </c>
      <c r="BX86" s="168" t="str">
        <f t="shared" si="314"/>
        <v/>
      </c>
      <c r="BY86" s="169" t="str">
        <f t="shared" si="315"/>
        <v/>
      </c>
      <c r="BZ86" s="172" t="str">
        <f t="shared" si="302"/>
        <v/>
      </c>
      <c r="CA86" s="171" t="str">
        <f t="array" ref="CA86">IFERROR(IF(BU86="ac"+ISNUMBER(SEARCH("'",BZ86))+BY86="","", IF(ISNUMBER(SEARCH("lw",BZ86)), BM86 + SUBSTITUTE(BZ86,"lw+",""), MROUND(SWITCH(BU86,"sq",BY$7,"bn",BZ$7,"dl",CA$7,"")*IF(BZ86&gt;10, BZ86/100, VLOOKUP(BZ86, _rpe,SUBSTITUTE(BY86,"+","")+1,0)), IF( SWITCH(BU86,"sq",BY$7,"bn",BZ$7,"dl", CA$7,"")&lt; IF(_uom="lbs", 175, 80), 1.25, IF(_uom="lbs",5,2.5))))), "")</f>
        <v/>
      </c>
      <c r="CB86" s="148"/>
      <c r="CC86" s="33"/>
      <c r="CD86" s="171"/>
      <c r="CE86" s="124" t="str">
        <f>IFERROR(__xludf.DUMMYFUNCTION("IF(CA86=MAX(FILTER(CA$10:CA$199,LOOKUP(ROW(BU$10:BU$199),FILTER(ROW(BU$10:BU$199),BU$10:BU$199&lt;&gt;BU$9:BU$198))=LOOKUP(ROW(BU86),FILTER(ROW(BU$10:BU$199),BU$10:BU$199&lt;&gt;BU$9:BU$198)))),CB86,)"),"")</f>
        <v/>
      </c>
      <c r="CF86" s="122"/>
      <c r="CG86" s="33"/>
      <c r="CH86" s="143" t="str">
        <f t="shared" si="21"/>
        <v/>
      </c>
      <c r="CI86" s="38" t="str">
        <f>IFERROR(__xludf.DUMMYFUNCTION("""COMPUTED_VALUE"""),"")</f>
        <v/>
      </c>
      <c r="CJ86" s="144">
        <v>46153.0</v>
      </c>
      <c r="CK86" s="167" t="str">
        <f t="shared" si="27"/>
        <v/>
      </c>
      <c r="CL86" s="168" t="str">
        <f t="shared" si="303"/>
        <v/>
      </c>
      <c r="CM86" s="169" t="str">
        <f t="shared" si="316"/>
        <v/>
      </c>
      <c r="CN86" s="172" t="str">
        <f t="shared" si="305"/>
        <v/>
      </c>
      <c r="CO86" s="171" t="str">
        <f t="array" ref="CO86">IFERROR(IF(CI86="ac"+ISNUMBER(SEARCH("'",CN86))+CM86="","", IF(ISNUMBER(SEARCH("lw",CN86)), CA86 + SUBSTITUTE(CN86,"lw+",""), MROUND(SWITCH(CI86,"sq",CM$7,"bn",CN$7,"dl",CO$7,"")*IF(CN86&gt;10, CN86/100, VLOOKUP(CN86, _rpe,SUBSTITUTE(CM86,"+","")+1,0)), IF( SWITCH(CI86,"sq",CM$7,"bn",CN$7,"dl", CO$7,"")&lt; IF(_uom="lbs", 175, 80), 1.25, IF(_uom="lbs",5,2.5))))), "")</f>
        <v/>
      </c>
      <c r="CP86" s="148"/>
      <c r="CQ86" s="33"/>
      <c r="CR86" s="171"/>
      <c r="CS86" s="124" t="str">
        <f>IFERROR(__xludf.DUMMYFUNCTION("IF(CO86=MAX(FILTER(CO$10:CO$199,LOOKUP(ROW(CI$10:CI$199),FILTER(ROW(CI$10:CI$199),CI$10:CI$199&lt;&gt;CI$9:CI$198))=LOOKUP(ROW(CI86),FILTER(ROW(CI$10:CI$199),CI$10:CI$199&lt;&gt;CI$9:CI$198)))),CP86,)"),"")</f>
        <v/>
      </c>
      <c r="CT86" s="122"/>
      <c r="CU86" s="33"/>
      <c r="CV86" s="143" t="str">
        <f t="shared" si="22"/>
        <v/>
      </c>
      <c r="CW86" s="38" t="str">
        <f>IFERROR(__xludf.DUMMYFUNCTION("""COMPUTED_VALUE"""),"")</f>
        <v/>
      </c>
      <c r="CX86" s="144">
        <v>46160.0</v>
      </c>
      <c r="CY86" s="167" t="str">
        <f t="shared" si="28"/>
        <v/>
      </c>
      <c r="CZ86" s="168" t="str">
        <f t="shared" si="288"/>
        <v/>
      </c>
      <c r="DA86" s="169" t="str">
        <f t="shared" si="317"/>
        <v/>
      </c>
      <c r="DB86" s="172" t="str">
        <f t="shared" si="289"/>
        <v/>
      </c>
      <c r="DC86" s="171" t="str">
        <f t="array" ref="DC86">IFERROR(IF(CW86="ac"+ISNUMBER(SEARCH("'",DB86))+DA86="","", IF(ISNUMBER(SEARCH("lw",DB86)), CO86 + SUBSTITUTE(DB86,"lw+",""), MROUND(SWITCH(CW86,"sq",DA$7,"bn",DB$7,"dl",DC$7,"")*IF(DB86&gt;10, DB86/100, VLOOKUP(DB86, _rpe,SUBSTITUTE(DA86,"+","")+1,0)), IF( SWITCH(CW86,"sq",DA$7,"bn",DB$7,"dl", DC$7,"")&lt; IF(_uom="lbs", 175, 80), 1.25, IF(_uom="lbs",5,2.5))))), "")</f>
        <v/>
      </c>
      <c r="DD86" s="148"/>
      <c r="DE86" s="33"/>
      <c r="DF86" s="171"/>
      <c r="DG86" s="124" t="str">
        <f>IFERROR(__xludf.DUMMYFUNCTION("IF(DC86=MAX(FILTER(DC$10:DC$199,LOOKUP(ROW(CW$10:CW$199),FILTER(ROW(CW$10:CW$199),CW$10:CW$199&lt;&gt;CW$9:CW$198))=LOOKUP(ROW(CW86),FILTER(ROW(CW$10:CW$199),CW$10:CW$199&lt;&gt;CW$9:CW$198)))),DD86,)"),"")</f>
        <v/>
      </c>
      <c r="DH86" s="122"/>
      <c r="DI86" s="33"/>
      <c r="DJ86" s="143" t="str">
        <f t="shared" si="23"/>
        <v/>
      </c>
      <c r="DK86" s="38" t="str">
        <f>IFERROR(__xludf.DUMMYFUNCTION("""COMPUTED_VALUE"""),"")</f>
        <v/>
      </c>
      <c r="DL86" s="144">
        <v>46167.0</v>
      </c>
      <c r="DM86" s="167"/>
      <c r="DN86" s="168"/>
      <c r="DO86" s="169"/>
      <c r="DP86" s="172"/>
      <c r="DQ86" s="171" t="str">
        <f t="array" ref="DQ86">IFERROR(IF(DK86="ac"+ISNUMBER(SEARCH("'",DP86))+DO86="","", IF(ISNUMBER(SEARCH("lw",DP86)), DC86 + SUBSTITUTE(DP86,"lw+",""), MROUND(SWITCH(DK86,"sq",DO$7,"bn",DP$7,"dl",DQ$7,"")*IF(DP86&gt;10, DP86/100, VLOOKUP(DP86, _rpe,SUBSTITUTE(DO86,"+","")+1,0)), IF( SWITCH(DK86,"sq",DO$7,"bn",DP$7,"dl", DQ$7,"")&lt; IF(_uom="lbs", 175, 80), 1.25, IF(_uom="lbs",5,2.5))))), "")</f>
        <v/>
      </c>
      <c r="DR86" s="148"/>
      <c r="DS86" s="33"/>
      <c r="DT86" s="171"/>
      <c r="DU86" s="124" t="str">
        <f>IFERROR(__xludf.DUMMYFUNCTION("IF(DQ86=MAX(FILTER(DQ$10:DQ$199,LOOKUP(ROW(DK$10:DK$199),FILTER(ROW(DK$10:DK$199),DK$10:DK$199&lt;&gt;DK$9:DK$198))=LOOKUP(ROW(DK86),FILTER(ROW(DK$10:DK$199),DK$10:DK$199&lt;&gt;DK$9:DK$198)))),DR86,)"),"")</f>
        <v/>
      </c>
      <c r="DV86" s="122"/>
      <c r="DW86" s="33"/>
      <c r="DX86" s="143"/>
      <c r="DY86" s="38"/>
      <c r="DZ86" s="144"/>
      <c r="EA86" s="150"/>
      <c r="EB86" s="174"/>
      <c r="EC86" s="175"/>
      <c r="ED86" s="176"/>
      <c r="EE86" s="155"/>
      <c r="EF86" s="148"/>
      <c r="EG86" s="33"/>
      <c r="EH86" s="155"/>
      <c r="EI86" s="148"/>
      <c r="EJ86" s="33"/>
      <c r="EK86" s="33"/>
      <c r="EL86" s="143"/>
      <c r="EM86" s="38"/>
      <c r="EN86" s="144"/>
      <c r="EO86" s="150"/>
      <c r="EP86" s="174"/>
      <c r="EQ86" s="175"/>
      <c r="ER86" s="176"/>
      <c r="ES86" s="155"/>
      <c r="ET86" s="148"/>
      <c r="EU86" s="33"/>
      <c r="EV86" s="155"/>
      <c r="EW86" s="148"/>
      <c r="EX86" s="33"/>
      <c r="EY86" s="33"/>
      <c r="EZ86" s="143"/>
      <c r="FA86" s="38"/>
      <c r="FB86" s="144"/>
      <c r="FC86" s="150"/>
      <c r="FD86" s="174"/>
      <c r="FE86" s="175"/>
      <c r="FF86" s="176"/>
      <c r="FG86" s="155"/>
      <c r="FH86" s="148"/>
      <c r="FI86" s="33"/>
      <c r="FJ86" s="155"/>
      <c r="FK86" s="148"/>
      <c r="FL86" s="33"/>
      <c r="FM86" s="33"/>
      <c r="FN86" s="143"/>
      <c r="FO86" s="38"/>
      <c r="FP86" s="144"/>
      <c r="FQ86" s="150"/>
      <c r="FR86" s="174"/>
      <c r="FS86" s="175"/>
      <c r="FT86" s="176"/>
      <c r="FU86" s="155"/>
      <c r="FV86" s="148"/>
      <c r="FW86" s="33"/>
      <c r="FX86" s="155"/>
      <c r="FY86" s="148"/>
      <c r="FZ86" s="33"/>
      <c r="GA86" s="33"/>
      <c r="GB86" s="143"/>
      <c r="GC86" s="38"/>
      <c r="GD86" s="144"/>
      <c r="GE86" s="150"/>
      <c r="GF86" s="174"/>
      <c r="GG86" s="175"/>
      <c r="GH86" s="176"/>
      <c r="GI86" s="155"/>
      <c r="GJ86" s="148"/>
      <c r="GK86" s="33"/>
      <c r="GL86" s="155"/>
      <c r="GM86" s="148"/>
      <c r="GN86" s="33"/>
      <c r="GO86" s="33"/>
      <c r="GP86" s="143"/>
      <c r="GQ86" s="38"/>
      <c r="GR86" s="144"/>
      <c r="GS86" s="150"/>
      <c r="GT86" s="174"/>
      <c r="GU86" s="175"/>
      <c r="GV86" s="176"/>
      <c r="GW86" s="155"/>
      <c r="GX86" s="148"/>
      <c r="GY86" s="33"/>
      <c r="GZ86" s="155"/>
      <c r="HA86" s="148"/>
      <c r="HB86" s="33"/>
      <c r="HC86" s="33"/>
      <c r="HD86" s="143"/>
      <c r="HE86" s="38"/>
      <c r="HF86" s="144"/>
      <c r="HG86" s="150"/>
      <c r="HH86" s="174"/>
      <c r="HI86" s="175"/>
      <c r="HJ86" s="176"/>
      <c r="HK86" s="155"/>
      <c r="HL86" s="148"/>
      <c r="HM86" s="33"/>
      <c r="HN86" s="155"/>
      <c r="HO86" s="148"/>
      <c r="HP86" s="33"/>
      <c r="HQ86" s="33"/>
      <c r="HR86" s="143"/>
      <c r="HS86" s="38"/>
      <c r="HT86" s="144"/>
      <c r="HU86" s="150"/>
      <c r="HV86" s="174"/>
      <c r="HW86" s="175"/>
      <c r="HX86" s="176"/>
      <c r="HY86" s="155"/>
      <c r="HZ86" s="148"/>
      <c r="IA86" s="33"/>
      <c r="IB86" s="155"/>
      <c r="IC86" s="148"/>
      <c r="ID86" s="33"/>
      <c r="IE86" s="33"/>
      <c r="IF86" s="143"/>
      <c r="IG86" s="38"/>
      <c r="IH86" s="144"/>
      <c r="II86" s="150"/>
      <c r="IJ86" s="174"/>
      <c r="IK86" s="175"/>
      <c r="IL86" s="176"/>
      <c r="IM86" s="155"/>
      <c r="IN86" s="148"/>
      <c r="IO86" s="33"/>
      <c r="IP86" s="155"/>
      <c r="IQ86" s="148"/>
      <c r="IR86" s="33"/>
      <c r="IS86" s="33"/>
      <c r="IT86" s="143"/>
      <c r="IU86" s="38"/>
      <c r="IV86" s="144"/>
      <c r="IW86" s="143" t="str">
        <f t="shared" si="24"/>
        <v>#REF!</v>
      </c>
      <c r="IX86" s="38"/>
      <c r="IY86" s="144" t="e">
        <v>#REF!</v>
      </c>
    </row>
    <row r="87" hidden="1" outlineLevel="1">
      <c r="A87" s="33"/>
      <c r="B87" s="181"/>
      <c r="C87" s="38" t="str">
        <f>IFERROR(__xludf.DUMMYFUNCTION("""COMPUTED_VALUE"""),"")</f>
        <v/>
      </c>
      <c r="D87" s="144">
        <v>46111.0</v>
      </c>
      <c r="E87" s="182"/>
      <c r="F87" s="168"/>
      <c r="G87" s="169"/>
      <c r="H87" s="170"/>
      <c r="I87" s="171" t="str">
        <f t="array" ref="I87">IFERROR(IF(C87="ac"+ISNUMBER(SEARCH("'",H87))+G87="","", MROUND(SWITCH(C87,"sq",'Personal Info'!$O$15,"bn",'Personal Info'!$S$15,"dl",'Personal Info'!$W$15,"")*IF(H87&gt;10, H87/100, VLOOKUP(H87, _rpe,SUBSTITUTE(G87,"+","")+1,0)), IF( SWITCH(C87:C210,"sq",'Personal Info'!$O$15,"bn",'Personal Info'!$S$15,"dl", 'Personal Info'!$W$15,"")&lt; IF(_uom="lbs", 175, 80), 1.25, IF(_uom="lbs",5,2.5)))),"")</f>
        <v/>
      </c>
      <c r="J87" s="148"/>
      <c r="K87" s="33"/>
      <c r="L87" s="171"/>
      <c r="M87" s="124" t="str">
        <f>IFERROR(__xludf.DUMMYFUNCTION("IF(I87=MAX(FILTER(I$10:I$199,LOOKUP(ROW(C$10:C$199),FILTER(ROW(C$10:C$199),C$10:C$199&lt;&gt;C$9:C$198))=LOOKUP(ROW(C87),FILTER(ROW(C$10:C$199),C$10:C$199&lt;&gt;C$9:C$198)))),J87,)"),"")</f>
        <v/>
      </c>
      <c r="N87" s="122"/>
      <c r="O87" s="33"/>
      <c r="P87" s="143" t="str">
        <f t="shared" si="12"/>
        <v/>
      </c>
      <c r="Q87" s="38" t="str">
        <f>IFERROR(__xludf.DUMMYFUNCTION("""COMPUTED_VALUE"""),"")</f>
        <v/>
      </c>
      <c r="R87" s="144">
        <v>46118.0</v>
      </c>
      <c r="S87" s="167" t="str">
        <f t="shared" si="13"/>
        <v/>
      </c>
      <c r="T87" s="168" t="str">
        <f t="shared" si="307"/>
        <v/>
      </c>
      <c r="U87" s="169" t="str">
        <f t="shared" si="308"/>
        <v/>
      </c>
      <c r="V87" s="172" t="str">
        <f t="shared" si="309"/>
        <v/>
      </c>
      <c r="W87" s="171" t="str">
        <f t="array" ref="W87">IFERROR(IF(Q87="ac"+ISNUMBER(SEARCH("'",V87))+U87="","", IF(ISNUMBER(SEARCH("lw",V87)), I87 + SUBSTITUTE(V87,"lw+",""), MROUND(SWITCH(Q87,"sq",U$7,"bn",V$7,"dl",W$7,"")*IF(V87&gt;10, V87/100, VLOOKUP(V87, _rpe,SUBSTITUTE(U87,"+","")+1,0)), IF( SWITCH(Q87,"sq",U$7,"bn",V$7,"dl", W$7,"")&lt; IF(_uom="lbs", 175, 80), 1.25, IF(_uom="lbs",5,2.5))))), "")</f>
        <v/>
      </c>
      <c r="X87" s="148"/>
      <c r="Y87" s="33"/>
      <c r="Z87" s="171"/>
      <c r="AA87" s="124" t="str">
        <f>IFERROR(__xludf.DUMMYFUNCTION("IF(W87=MAX(FILTER(W$10:W$199,LOOKUP(ROW(Q$10:Q$199),FILTER(ROW(Q$10:Q$199),Q$10:Q$199&lt;&gt;Q$9:Q$198))=LOOKUP(ROW(Q87),FILTER(ROW(Q$10:Q$199),Q$10:Q$199&lt;&gt;Q$9:Q$198)))),X87,)"),"")</f>
        <v/>
      </c>
      <c r="AB87" s="122"/>
      <c r="AC87" s="33"/>
      <c r="AD87" s="143" t="str">
        <f t="shared" si="14"/>
        <v/>
      </c>
      <c r="AE87" s="38" t="str">
        <f>IFERROR(__xludf.DUMMYFUNCTION("""COMPUTED_VALUE"""),"")</f>
        <v/>
      </c>
      <c r="AF87" s="144">
        <v>46125.0</v>
      </c>
      <c r="AG87" s="167" t="str">
        <f t="shared" si="54"/>
        <v/>
      </c>
      <c r="AH87" s="168" t="str">
        <f t="shared" si="293"/>
        <v/>
      </c>
      <c r="AI87" s="169" t="str">
        <f t="shared" si="310"/>
        <v/>
      </c>
      <c r="AJ87" s="172" t="str">
        <f t="shared" si="286"/>
        <v/>
      </c>
      <c r="AK87" s="171" t="str">
        <f t="array" ref="AK87">IFERROR(IF(AE87="ac"+ISNUMBER(SEARCH("'",AJ87))+AI87="","", IF(ISNUMBER(SEARCH("lw",AJ87)), W87 + SUBSTITUTE(AJ87,"lw+",""), MROUND(SWITCH(AE87,"sq",AI$7,"bn",AJ$7,"dl",AK$7,"")*IF(AJ87&gt;10, AJ87/100, VLOOKUP(AJ87, _rpe,SUBSTITUTE(AI87,"+","")+1,0)), IF( SWITCH(AE87,"sq",AI$7,"bn",AJ$7,"dl", AK$7,"")&lt; IF(_uom="lbs", 175, 80), 1.25, IF(_uom="lbs",5,2.5))))), "")</f>
        <v/>
      </c>
      <c r="AL87" s="148"/>
      <c r="AM87" s="33"/>
      <c r="AN87" s="171"/>
      <c r="AO87" s="124" t="str">
        <f>IFERROR(__xludf.DUMMYFUNCTION("IF(AK87=MAX(FILTER(AK$10:AK$199,LOOKUP(ROW(AE$10:AE$199),FILTER(ROW(AE$10:AE$199),AE$10:AE$199&lt;&gt;AE$9:AE$198))=LOOKUP(ROW(AE87),FILTER(ROW(AE$10:AE$199),AE$10:AE$199&lt;&gt;AE$9:AE$198)))),AL87,)"),"")</f>
        <v/>
      </c>
      <c r="AP87" s="122"/>
      <c r="AQ87" s="33"/>
      <c r="AR87" s="143" t="str">
        <f t="shared" si="16"/>
        <v/>
      </c>
      <c r="AS87" s="38" t="str">
        <f>IFERROR(__xludf.DUMMYFUNCTION("""COMPUTED_VALUE"""),"")</f>
        <v/>
      </c>
      <c r="AT87" s="144">
        <v>46132.0</v>
      </c>
      <c r="AU87" s="167" t="str">
        <f t="shared" si="26"/>
        <v/>
      </c>
      <c r="AV87" s="168" t="str">
        <f t="shared" si="295"/>
        <v/>
      </c>
      <c r="AW87" s="169" t="str">
        <f t="shared" si="311"/>
        <v/>
      </c>
      <c r="AX87" s="172" t="str">
        <f t="shared" si="287"/>
        <v/>
      </c>
      <c r="AY87" s="171" t="str">
        <f t="array" ref="AY87">IFERROR(IF(AS87="ac"+ISNUMBER(SEARCH("'",AX87))+AW87="","", IF(ISNUMBER(SEARCH("lw",AX87)), AK87 + SUBSTITUTE(AX87,"lw+",""), MROUND(SWITCH(AS87,"sq",AW$7,"bn",AX$7,"dl",AY$7,"")*IF(AX87&gt;10, AX87/100, VLOOKUP(AX87, _rpe,SUBSTITUTE(AW87,"+","")+1,0)), IF( SWITCH(AS87,"sq",AW$7,"bn",AX$7,"dl", AY$7,"")&lt; IF(_uom="lbs", 175, 80), 1.25, IF(_uom="lbs",5,2.5))))), "")</f>
        <v/>
      </c>
      <c r="AZ87" s="148"/>
      <c r="BA87" s="33"/>
      <c r="BB87" s="171"/>
      <c r="BC87" s="124" t="str">
        <f>IFERROR(__xludf.DUMMYFUNCTION("IF(AY87=MAX(FILTER(AY$10:AY$199,LOOKUP(ROW(AS$10:AS$199),FILTER(ROW(AS$10:AS$199),AS$10:AS$199&lt;&gt;AS$9:AS$198))=LOOKUP(ROW(AS87),FILTER(ROW(AS$10:AS$199),AS$10:AS$199&lt;&gt;AS$9:AS$198)))),AZ87,)"),"")</f>
        <v/>
      </c>
      <c r="BD87" s="122"/>
      <c r="BE87" s="33"/>
      <c r="BF87" s="143" t="str">
        <f t="shared" si="17"/>
        <v/>
      </c>
      <c r="BG87" s="38" t="str">
        <f>IFERROR(__xludf.DUMMYFUNCTION("""COMPUTED_VALUE"""),"")</f>
        <v/>
      </c>
      <c r="BH87" s="144">
        <v>46139.0</v>
      </c>
      <c r="BI87" s="167" t="str">
        <f t="shared" si="18"/>
        <v/>
      </c>
      <c r="BJ87" s="168" t="str">
        <f t="shared" si="312"/>
        <v/>
      </c>
      <c r="BK87" s="169" t="str">
        <f t="shared" si="313"/>
        <v/>
      </c>
      <c r="BL87" s="172" t="str">
        <f t="shared" si="299"/>
        <v/>
      </c>
      <c r="BM87" s="171" t="str">
        <f t="array" ref="BM87">IFERROR(IF(BG87="ac"+ISNUMBER(SEARCH("'",BL87))+BK87="","", IF(ISNUMBER(SEARCH("lw",BL87)), AY87 + SUBSTITUTE(BL87,"lw+",""), MROUND(SWITCH(BG87,"sq",BK$7,"bn",BL$7,"dl",BM$7,"")*IF(BL87&gt;10, BL87/100, VLOOKUP(BL87, _rpe,SUBSTITUTE(BK87,"+","")+1,0)), IF( SWITCH(BG87,"sq",BK$7,"bn",BL$7,"dl", BM$7,"")&lt; IF(_uom="lbs", 175, 80), 1.25, IF(_uom="lbs",5,2.5))))), "")</f>
        <v/>
      </c>
      <c r="BN87" s="148"/>
      <c r="BO87" s="33"/>
      <c r="BP87" s="171"/>
      <c r="BQ87" s="124" t="str">
        <f>IFERROR(__xludf.DUMMYFUNCTION("IF(BM87=MAX(FILTER(BM$10:BM$199,LOOKUP(ROW(BG$10:BG$199),FILTER(ROW(BG$10:BG$199),BG$10:BG$199&lt;&gt;BG$9:BG$198))=LOOKUP(ROW(BG87),FILTER(ROW(BG$10:BG$199),BG$10:BG$199&lt;&gt;BG$9:BG$198)))),BN87,)"),"")</f>
        <v/>
      </c>
      <c r="BR87" s="122"/>
      <c r="BS87" s="33"/>
      <c r="BT87" s="143" t="str">
        <f t="shared" si="19"/>
        <v/>
      </c>
      <c r="BU87" s="38" t="str">
        <f>IFERROR(__xludf.DUMMYFUNCTION("""COMPUTED_VALUE"""),"")</f>
        <v/>
      </c>
      <c r="BV87" s="144">
        <v>46146.0</v>
      </c>
      <c r="BW87" s="167" t="str">
        <f t="shared" si="20"/>
        <v/>
      </c>
      <c r="BX87" s="168" t="str">
        <f t="shared" si="314"/>
        <v/>
      </c>
      <c r="BY87" s="169" t="str">
        <f t="shared" si="315"/>
        <v/>
      </c>
      <c r="BZ87" s="172" t="str">
        <f t="shared" si="302"/>
        <v/>
      </c>
      <c r="CA87" s="171" t="str">
        <f t="array" ref="CA87">IFERROR(IF(BU87="ac"+ISNUMBER(SEARCH("'",BZ87))+BY87="","", IF(ISNUMBER(SEARCH("lw",BZ87)), BM87 + SUBSTITUTE(BZ87,"lw+",""), MROUND(SWITCH(BU87,"sq",BY$7,"bn",BZ$7,"dl",CA$7,"")*IF(BZ87&gt;10, BZ87/100, VLOOKUP(BZ87, _rpe,SUBSTITUTE(BY87,"+","")+1,0)), IF( SWITCH(BU87,"sq",BY$7,"bn",BZ$7,"dl", CA$7,"")&lt; IF(_uom="lbs", 175, 80), 1.25, IF(_uom="lbs",5,2.5))))), "")</f>
        <v/>
      </c>
      <c r="CB87" s="148"/>
      <c r="CC87" s="33"/>
      <c r="CD87" s="171"/>
      <c r="CE87" s="124" t="str">
        <f>IFERROR(__xludf.DUMMYFUNCTION("IF(CA87=MAX(FILTER(CA$10:CA$199,LOOKUP(ROW(BU$10:BU$199),FILTER(ROW(BU$10:BU$199),BU$10:BU$199&lt;&gt;BU$9:BU$198))=LOOKUP(ROW(BU87),FILTER(ROW(BU$10:BU$199),BU$10:BU$199&lt;&gt;BU$9:BU$198)))),CB87,)"),"")</f>
        <v/>
      </c>
      <c r="CF87" s="122"/>
      <c r="CG87" s="33"/>
      <c r="CH87" s="143" t="str">
        <f t="shared" si="21"/>
        <v/>
      </c>
      <c r="CI87" s="38" t="str">
        <f>IFERROR(__xludf.DUMMYFUNCTION("""COMPUTED_VALUE"""),"")</f>
        <v/>
      </c>
      <c r="CJ87" s="144">
        <v>46153.0</v>
      </c>
      <c r="CK87" s="167" t="str">
        <f t="shared" si="27"/>
        <v/>
      </c>
      <c r="CL87" s="168" t="str">
        <f t="shared" si="303"/>
        <v/>
      </c>
      <c r="CM87" s="169" t="str">
        <f t="shared" si="316"/>
        <v/>
      </c>
      <c r="CN87" s="172" t="str">
        <f t="shared" si="305"/>
        <v/>
      </c>
      <c r="CO87" s="171" t="str">
        <f t="array" ref="CO87">IFERROR(IF(CI87="ac"+ISNUMBER(SEARCH("'",CN87))+CM87="","", IF(ISNUMBER(SEARCH("lw",CN87)), CA87 + SUBSTITUTE(CN87,"lw+",""), MROUND(SWITCH(CI87,"sq",CM$7,"bn",CN$7,"dl",CO$7,"")*IF(CN87&gt;10, CN87/100, VLOOKUP(CN87, _rpe,SUBSTITUTE(CM87,"+","")+1,0)), IF( SWITCH(CI87,"sq",CM$7,"bn",CN$7,"dl", CO$7,"")&lt; IF(_uom="lbs", 175, 80), 1.25, IF(_uom="lbs",5,2.5))))), "")</f>
        <v/>
      </c>
      <c r="CP87" s="148"/>
      <c r="CQ87" s="33"/>
      <c r="CR87" s="171"/>
      <c r="CS87" s="124" t="str">
        <f>IFERROR(__xludf.DUMMYFUNCTION("IF(CO87=MAX(FILTER(CO$10:CO$199,LOOKUP(ROW(CI$10:CI$199),FILTER(ROW(CI$10:CI$199),CI$10:CI$199&lt;&gt;CI$9:CI$198))=LOOKUP(ROW(CI87),FILTER(ROW(CI$10:CI$199),CI$10:CI$199&lt;&gt;CI$9:CI$198)))),CP87,)"),"")</f>
        <v/>
      </c>
      <c r="CT87" s="122"/>
      <c r="CU87" s="33"/>
      <c r="CV87" s="143" t="str">
        <f t="shared" si="22"/>
        <v/>
      </c>
      <c r="CW87" s="38" t="str">
        <f>IFERROR(__xludf.DUMMYFUNCTION("""COMPUTED_VALUE"""),"")</f>
        <v/>
      </c>
      <c r="CX87" s="144">
        <v>46160.0</v>
      </c>
      <c r="CY87" s="167" t="str">
        <f t="shared" si="28"/>
        <v/>
      </c>
      <c r="CZ87" s="168" t="str">
        <f t="shared" si="288"/>
        <v/>
      </c>
      <c r="DA87" s="169" t="str">
        <f t="shared" si="317"/>
        <v/>
      </c>
      <c r="DB87" s="172" t="str">
        <f t="shared" si="289"/>
        <v/>
      </c>
      <c r="DC87" s="171" t="str">
        <f t="array" ref="DC87">IFERROR(IF(CW87="ac"+ISNUMBER(SEARCH("'",DB87))+DA87="","", IF(ISNUMBER(SEARCH("lw",DB87)), CO87 + SUBSTITUTE(DB87,"lw+",""), MROUND(SWITCH(CW87,"sq",DA$7,"bn",DB$7,"dl",DC$7,"")*IF(DB87&gt;10, DB87/100, VLOOKUP(DB87, _rpe,SUBSTITUTE(DA87,"+","")+1,0)), IF( SWITCH(CW87,"sq",DA$7,"bn",DB$7,"dl", DC$7,"")&lt; IF(_uom="lbs", 175, 80), 1.25, IF(_uom="lbs",5,2.5))))), "")</f>
        <v/>
      </c>
      <c r="DD87" s="148"/>
      <c r="DE87" s="33"/>
      <c r="DF87" s="171"/>
      <c r="DG87" s="124" t="str">
        <f>IFERROR(__xludf.DUMMYFUNCTION("IF(DC87=MAX(FILTER(DC$10:DC$199,LOOKUP(ROW(CW$10:CW$199),FILTER(ROW(CW$10:CW$199),CW$10:CW$199&lt;&gt;CW$9:CW$198))=LOOKUP(ROW(CW87),FILTER(ROW(CW$10:CW$199),CW$10:CW$199&lt;&gt;CW$9:CW$198)))),DD87,)"),"")</f>
        <v/>
      </c>
      <c r="DH87" s="122"/>
      <c r="DI87" s="33"/>
      <c r="DJ87" s="143" t="str">
        <f t="shared" si="23"/>
        <v/>
      </c>
      <c r="DK87" s="38" t="str">
        <f>IFERROR(__xludf.DUMMYFUNCTION("""COMPUTED_VALUE"""),"")</f>
        <v/>
      </c>
      <c r="DL87" s="144">
        <v>46167.0</v>
      </c>
      <c r="DM87" s="167"/>
      <c r="DN87" s="168"/>
      <c r="DO87" s="169"/>
      <c r="DP87" s="172"/>
      <c r="DQ87" s="171" t="str">
        <f t="array" ref="DQ87">IFERROR(IF(DK87="ac"+ISNUMBER(SEARCH("'",DP87))+DO87="","", IF(ISNUMBER(SEARCH("lw",DP87)), DC87 + SUBSTITUTE(DP87,"lw+",""), MROUND(SWITCH(DK87,"sq",DO$7,"bn",DP$7,"dl",DQ$7,"")*IF(DP87&gt;10, DP87/100, VLOOKUP(DP87, _rpe,SUBSTITUTE(DO87,"+","")+1,0)), IF( SWITCH(DK87,"sq",DO$7,"bn",DP$7,"dl", DQ$7,"")&lt; IF(_uom="lbs", 175, 80), 1.25, IF(_uom="lbs",5,2.5))))), "")</f>
        <v/>
      </c>
      <c r="DR87" s="148"/>
      <c r="DS87" s="33"/>
      <c r="DT87" s="171"/>
      <c r="DU87" s="124" t="str">
        <f>IFERROR(__xludf.DUMMYFUNCTION("IF(DQ87=MAX(FILTER(DQ$10:DQ$199,LOOKUP(ROW(DK$10:DK$199),FILTER(ROW(DK$10:DK$199),DK$10:DK$199&lt;&gt;DK$9:DK$198))=LOOKUP(ROW(DK87),FILTER(ROW(DK$10:DK$199),DK$10:DK$199&lt;&gt;DK$9:DK$198)))),DR87,)"),"")</f>
        <v/>
      </c>
      <c r="DV87" s="122"/>
      <c r="DW87" s="33"/>
      <c r="DX87" s="143"/>
      <c r="DY87" s="38"/>
      <c r="DZ87" s="144"/>
      <c r="EA87" s="150"/>
      <c r="EB87" s="174"/>
      <c r="EC87" s="175"/>
      <c r="ED87" s="176"/>
      <c r="EE87" s="155"/>
      <c r="EF87" s="148"/>
      <c r="EG87" s="33"/>
      <c r="EH87" s="155"/>
      <c r="EI87" s="148"/>
      <c r="EJ87" s="33"/>
      <c r="EK87" s="33"/>
      <c r="EL87" s="143"/>
      <c r="EM87" s="38"/>
      <c r="EN87" s="144"/>
      <c r="EO87" s="150"/>
      <c r="EP87" s="174"/>
      <c r="EQ87" s="175"/>
      <c r="ER87" s="176"/>
      <c r="ES87" s="155"/>
      <c r="ET87" s="148"/>
      <c r="EU87" s="33"/>
      <c r="EV87" s="155"/>
      <c r="EW87" s="148"/>
      <c r="EX87" s="33"/>
      <c r="EY87" s="33"/>
      <c r="EZ87" s="143"/>
      <c r="FA87" s="38"/>
      <c r="FB87" s="144"/>
      <c r="FC87" s="150"/>
      <c r="FD87" s="174"/>
      <c r="FE87" s="175"/>
      <c r="FF87" s="176"/>
      <c r="FG87" s="155"/>
      <c r="FH87" s="148"/>
      <c r="FI87" s="33"/>
      <c r="FJ87" s="155"/>
      <c r="FK87" s="148"/>
      <c r="FL87" s="33"/>
      <c r="FM87" s="33"/>
      <c r="FN87" s="143"/>
      <c r="FO87" s="38"/>
      <c r="FP87" s="144"/>
      <c r="FQ87" s="150"/>
      <c r="FR87" s="174"/>
      <c r="FS87" s="175"/>
      <c r="FT87" s="176"/>
      <c r="FU87" s="155"/>
      <c r="FV87" s="148"/>
      <c r="FW87" s="33"/>
      <c r="FX87" s="155"/>
      <c r="FY87" s="148"/>
      <c r="FZ87" s="33"/>
      <c r="GA87" s="33"/>
      <c r="GB87" s="143"/>
      <c r="GC87" s="38"/>
      <c r="GD87" s="144"/>
      <c r="GE87" s="150"/>
      <c r="GF87" s="174"/>
      <c r="GG87" s="175"/>
      <c r="GH87" s="176"/>
      <c r="GI87" s="155"/>
      <c r="GJ87" s="148"/>
      <c r="GK87" s="33"/>
      <c r="GL87" s="155"/>
      <c r="GM87" s="148"/>
      <c r="GN87" s="33"/>
      <c r="GO87" s="33"/>
      <c r="GP87" s="143"/>
      <c r="GQ87" s="38"/>
      <c r="GR87" s="144"/>
      <c r="GS87" s="150"/>
      <c r="GT87" s="174"/>
      <c r="GU87" s="175"/>
      <c r="GV87" s="176"/>
      <c r="GW87" s="155"/>
      <c r="GX87" s="148"/>
      <c r="GY87" s="33"/>
      <c r="GZ87" s="155"/>
      <c r="HA87" s="148"/>
      <c r="HB87" s="33"/>
      <c r="HC87" s="33"/>
      <c r="HD87" s="143"/>
      <c r="HE87" s="38"/>
      <c r="HF87" s="144"/>
      <c r="HG87" s="150"/>
      <c r="HH87" s="174"/>
      <c r="HI87" s="175"/>
      <c r="HJ87" s="176"/>
      <c r="HK87" s="155"/>
      <c r="HL87" s="148"/>
      <c r="HM87" s="33"/>
      <c r="HN87" s="155"/>
      <c r="HO87" s="148"/>
      <c r="HP87" s="33"/>
      <c r="HQ87" s="33"/>
      <c r="HR87" s="143"/>
      <c r="HS87" s="38"/>
      <c r="HT87" s="144"/>
      <c r="HU87" s="150"/>
      <c r="HV87" s="174"/>
      <c r="HW87" s="175"/>
      <c r="HX87" s="176"/>
      <c r="HY87" s="155"/>
      <c r="HZ87" s="148"/>
      <c r="IA87" s="33"/>
      <c r="IB87" s="155"/>
      <c r="IC87" s="148"/>
      <c r="ID87" s="33"/>
      <c r="IE87" s="33"/>
      <c r="IF87" s="143"/>
      <c r="IG87" s="38"/>
      <c r="IH87" s="144"/>
      <c r="II87" s="150"/>
      <c r="IJ87" s="174"/>
      <c r="IK87" s="175"/>
      <c r="IL87" s="176"/>
      <c r="IM87" s="155"/>
      <c r="IN87" s="148"/>
      <c r="IO87" s="33"/>
      <c r="IP87" s="155"/>
      <c r="IQ87" s="148"/>
      <c r="IR87" s="33"/>
      <c r="IS87" s="33"/>
      <c r="IT87" s="143"/>
      <c r="IU87" s="38"/>
      <c r="IV87" s="144"/>
      <c r="IW87" s="143" t="str">
        <f t="shared" si="24"/>
        <v>#REF!</v>
      </c>
      <c r="IX87" s="38"/>
      <c r="IY87" s="144" t="e">
        <v>#REF!</v>
      </c>
    </row>
    <row r="88">
      <c r="A88" s="33"/>
      <c r="B88" s="181"/>
      <c r="C88" s="38" t="str">
        <f>IFERROR(__xludf.DUMMYFUNCTION("""COMPUTED_VALUE"""),"ac")</f>
        <v>ac</v>
      </c>
      <c r="D88" s="144">
        <v>46111.0</v>
      </c>
      <c r="E88" s="167" t="s">
        <v>350</v>
      </c>
      <c r="F88" s="168"/>
      <c r="G88" s="169"/>
      <c r="H88" s="170"/>
      <c r="I88" s="171" t="str">
        <f t="array" ref="I88">IFERROR(IF(C88="ac"+ISNUMBER(SEARCH("'",H88))+G88="","", MROUND(SWITCH(C88,"sq",'Personal Info'!$O$15,"bn",'Personal Info'!$S$15,"dl",'Personal Info'!$W$15,"")*IF(H88&gt;10, H88/100, VLOOKUP(H88, _rpe,SUBSTITUTE(G88,"+","")+1,0)), IF( SWITCH(C88:C210,"sq",'Personal Info'!$O$15,"bn",'Personal Info'!$S$15,"dl", 'Personal Info'!$W$15,"")&lt; IF(_uom="lbs", 175, 80), 1.25, IF(_uom="lbs",5,2.5)))),"")</f>
        <v/>
      </c>
      <c r="J88" s="148"/>
      <c r="K88" s="33"/>
      <c r="L88" s="171"/>
      <c r="M88" s="124" t="str">
        <f>IFERROR(__xludf.DUMMYFUNCTION("IF(I88=MAX(FILTER(I$10:I$199,LOOKUP(ROW(C$10:C$199),FILTER(ROW(C$10:C$199),C$10:C$199&lt;&gt;C$9:C$198))=LOOKUP(ROW(C88),FILTER(ROW(C$10:C$199),C$10:C$199&lt;&gt;C$9:C$198)))),J88,)"),"")</f>
        <v/>
      </c>
      <c r="N88" s="122"/>
      <c r="O88" s="33"/>
      <c r="P88" s="143" t="str">
        <f t="shared" si="12"/>
        <v/>
      </c>
      <c r="Q88" s="38" t="str">
        <f>IFERROR(__xludf.DUMMYFUNCTION("""COMPUTED_VALUE"""),"ac")</f>
        <v>ac</v>
      </c>
      <c r="R88" s="144">
        <v>46118.0</v>
      </c>
      <c r="S88" s="167" t="str">
        <f t="shared" si="13"/>
        <v>note: pause deadlifts 1" off the floor</v>
      </c>
      <c r="T88" s="168"/>
      <c r="U88" s="169"/>
      <c r="V88" s="172"/>
      <c r="W88" s="171" t="str">
        <f t="array" ref="W88">IFERROR(IF(Q88="ac"+ISNUMBER(SEARCH("'",V88))+U88="","", IF(ISNUMBER(SEARCH("lw",V88)), I88 + SUBSTITUTE(V88,"lw+",""), MROUND(SWITCH(Q88,"sq",U$7,"bn",V$7,"dl",W$7,"")*IF(V88&gt;10, V88/100, VLOOKUP(V88, _rpe,SUBSTITUTE(U88,"+","")+1,0)), IF( SWITCH(Q88,"sq",U$7,"bn",V$7,"dl", W$7,"")&lt; IF(_uom="lbs", 175, 80), 1.25, IF(_uom="lbs",5,2.5))))), "")</f>
        <v/>
      </c>
      <c r="X88" s="148"/>
      <c r="Y88" s="33"/>
      <c r="Z88" s="171"/>
      <c r="AA88" s="124" t="str">
        <f>IFERROR(__xludf.DUMMYFUNCTION("IF(W88=MAX(FILTER(W$10:W$199,LOOKUP(ROW(Q$10:Q$199),FILTER(ROW(Q$10:Q$199),Q$10:Q$199&lt;&gt;Q$9:Q$198))=LOOKUP(ROW(Q88),FILTER(ROW(Q$10:Q$199),Q$10:Q$199&lt;&gt;Q$9:Q$198)))),X88,)"),"")</f>
        <v/>
      </c>
      <c r="AB88" s="122"/>
      <c r="AC88" s="33"/>
      <c r="AD88" s="143" t="str">
        <f t="shared" si="14"/>
        <v/>
      </c>
      <c r="AE88" s="38" t="str">
        <f>IFERROR(__xludf.DUMMYFUNCTION("""COMPUTED_VALUE"""),"ac")</f>
        <v>ac</v>
      </c>
      <c r="AF88" s="144">
        <v>46125.0</v>
      </c>
      <c r="AG88" s="167" t="str">
        <f t="shared" si="54"/>
        <v>note: pause deadlifts 1" off the floor</v>
      </c>
      <c r="AH88" s="168"/>
      <c r="AI88" s="169"/>
      <c r="AJ88" s="172"/>
      <c r="AK88" s="171" t="str">
        <f t="array" ref="AK88">IFERROR(IF(AE88="ac"+ISNUMBER(SEARCH("'",AJ88))+AI88="","", IF(ISNUMBER(SEARCH("lw",AJ88)), W88 + SUBSTITUTE(AJ88,"lw+",""), MROUND(SWITCH(AE88,"sq",AI$7,"bn",AJ$7,"dl",AK$7,"")*IF(AJ88&gt;10, AJ88/100, VLOOKUP(AJ88, _rpe,SUBSTITUTE(AI88,"+","")+1,0)), IF( SWITCH(AE88,"sq",AI$7,"bn",AJ$7,"dl", AK$7,"")&lt; IF(_uom="lbs", 175, 80), 1.25, IF(_uom="lbs",5,2.5))))), "")</f>
        <v/>
      </c>
      <c r="AL88" s="148"/>
      <c r="AM88" s="33"/>
      <c r="AN88" s="171"/>
      <c r="AO88" s="124" t="str">
        <f>IFERROR(__xludf.DUMMYFUNCTION("IF(AK88=MAX(FILTER(AK$10:AK$199,LOOKUP(ROW(AE$10:AE$199),FILTER(ROW(AE$10:AE$199),AE$10:AE$199&lt;&gt;AE$9:AE$198))=LOOKUP(ROW(AE88),FILTER(ROW(AE$10:AE$199),AE$10:AE$199&lt;&gt;AE$9:AE$198)))),AL88,)"),"")</f>
        <v/>
      </c>
      <c r="AP88" s="122"/>
      <c r="AQ88" s="33"/>
      <c r="AR88" s="143" t="str">
        <f t="shared" si="16"/>
        <v/>
      </c>
      <c r="AS88" s="38" t="str">
        <f>IFERROR(__xludf.DUMMYFUNCTION("""COMPUTED_VALUE"""),"ac")</f>
        <v>ac</v>
      </c>
      <c r="AT88" s="144">
        <v>46132.0</v>
      </c>
      <c r="AU88" s="167" t="str">
        <f t="shared" si="26"/>
        <v>note: pause deadlifts 1" off the floor</v>
      </c>
      <c r="AV88" s="168"/>
      <c r="AW88" s="169"/>
      <c r="AX88" s="172"/>
      <c r="AY88" s="171" t="str">
        <f t="array" ref="AY88">IFERROR(IF(AS88="ac"+ISNUMBER(SEARCH("'",AX88))+AW88="","", IF(ISNUMBER(SEARCH("lw",AX88)), AK88 + SUBSTITUTE(AX88,"lw+",""), MROUND(SWITCH(AS88,"sq",AW$7,"bn",AX$7,"dl",AY$7,"")*IF(AX88&gt;10, AX88/100, VLOOKUP(AX88, _rpe,SUBSTITUTE(AW88,"+","")+1,0)), IF( SWITCH(AS88,"sq",AW$7,"bn",AX$7,"dl", AY$7,"")&lt; IF(_uom="lbs", 175, 80), 1.25, IF(_uom="lbs",5,2.5))))), "")</f>
        <v/>
      </c>
      <c r="AZ88" s="148"/>
      <c r="BA88" s="33"/>
      <c r="BB88" s="171"/>
      <c r="BC88" s="124" t="str">
        <f>IFERROR(__xludf.DUMMYFUNCTION("IF(AY88=MAX(FILTER(AY$10:AY$199,LOOKUP(ROW(AS$10:AS$199),FILTER(ROW(AS$10:AS$199),AS$10:AS$199&lt;&gt;AS$9:AS$198))=LOOKUP(ROW(AS88),FILTER(ROW(AS$10:AS$199),AS$10:AS$199&lt;&gt;AS$9:AS$198)))),AZ88,)"),"")</f>
        <v/>
      </c>
      <c r="BD88" s="122"/>
      <c r="BE88" s="33"/>
      <c r="BF88" s="143" t="str">
        <f t="shared" si="17"/>
        <v/>
      </c>
      <c r="BG88" s="38" t="str">
        <f>IFERROR(__xludf.DUMMYFUNCTION("""COMPUTED_VALUE"""),"ac")</f>
        <v>ac</v>
      </c>
      <c r="BH88" s="144">
        <v>46139.0</v>
      </c>
      <c r="BI88" s="167" t="str">
        <f t="shared" si="18"/>
        <v>note: pause deadlifts 1" off the floor</v>
      </c>
      <c r="BJ88" s="168"/>
      <c r="BK88" s="169"/>
      <c r="BL88" s="172"/>
      <c r="BM88" s="171" t="str">
        <f t="array" ref="BM88">IFERROR(IF(BG88="ac"+ISNUMBER(SEARCH("'",BL88))+BK88="","", IF(ISNUMBER(SEARCH("lw",BL88)), AY88 + SUBSTITUTE(BL88,"lw+",""), MROUND(SWITCH(BG88,"sq",BK$7,"bn",BL$7,"dl",BM$7,"")*IF(BL88&gt;10, BL88/100, VLOOKUP(BL88, _rpe,SUBSTITUTE(BK88,"+","")+1,0)), IF( SWITCH(BG88,"sq",BK$7,"bn",BL$7,"dl", BM$7,"")&lt; IF(_uom="lbs", 175, 80), 1.25, IF(_uom="lbs",5,2.5))))), "")</f>
        <v/>
      </c>
      <c r="BN88" s="148"/>
      <c r="BO88" s="33"/>
      <c r="BP88" s="171"/>
      <c r="BQ88" s="124" t="str">
        <f>IFERROR(__xludf.DUMMYFUNCTION("IF(BM88=MAX(FILTER(BM$10:BM$199,LOOKUP(ROW(BG$10:BG$199),FILTER(ROW(BG$10:BG$199),BG$10:BG$199&lt;&gt;BG$9:BG$198))=LOOKUP(ROW(BG88),FILTER(ROW(BG$10:BG$199),BG$10:BG$199&lt;&gt;BG$9:BG$198)))),BN88,)"),"")</f>
        <v/>
      </c>
      <c r="BR88" s="122"/>
      <c r="BS88" s="33"/>
      <c r="BT88" s="143" t="str">
        <f t="shared" si="19"/>
        <v/>
      </c>
      <c r="BU88" s="38" t="str">
        <f>IFERROR(__xludf.DUMMYFUNCTION("""COMPUTED_VALUE"""),"ac")</f>
        <v>ac</v>
      </c>
      <c r="BV88" s="144">
        <v>46146.0</v>
      </c>
      <c r="BW88" s="167" t="str">
        <f t="shared" si="20"/>
        <v>note: pause deadlifts 1" off the floor</v>
      </c>
      <c r="BX88" s="168"/>
      <c r="BY88" s="169"/>
      <c r="BZ88" s="172"/>
      <c r="CA88" s="171" t="str">
        <f t="array" ref="CA88">IFERROR(IF(BU88="ac"+ISNUMBER(SEARCH("'",BZ88))+BY88="","", IF(ISNUMBER(SEARCH("lw",BZ88)), BM88 + SUBSTITUTE(BZ88,"lw+",""), MROUND(SWITCH(BU88,"sq",BY$7,"bn",BZ$7,"dl",CA$7,"")*IF(BZ88&gt;10, BZ88/100, VLOOKUP(BZ88, _rpe,SUBSTITUTE(BY88,"+","")+1,0)), IF( SWITCH(BU88,"sq",BY$7,"bn",BZ$7,"dl", CA$7,"")&lt; IF(_uom="lbs", 175, 80), 1.25, IF(_uom="lbs",5,2.5))))), "")</f>
        <v/>
      </c>
      <c r="CB88" s="148"/>
      <c r="CC88" s="33"/>
      <c r="CD88" s="171"/>
      <c r="CE88" s="124" t="str">
        <f>IFERROR(__xludf.DUMMYFUNCTION("IF(CA88=MAX(FILTER(CA$10:CA$199,LOOKUP(ROW(BU$10:BU$199),FILTER(ROW(BU$10:BU$199),BU$10:BU$199&lt;&gt;BU$9:BU$198))=LOOKUP(ROW(BU88),FILTER(ROW(BU$10:BU$199),BU$10:BU$199&lt;&gt;BU$9:BU$198)))),CB88,)"),"")</f>
        <v/>
      </c>
      <c r="CF88" s="122"/>
      <c r="CG88" s="33"/>
      <c r="CH88" s="143" t="str">
        <f t="shared" si="21"/>
        <v/>
      </c>
      <c r="CI88" s="38" t="str">
        <f>IFERROR(__xludf.DUMMYFUNCTION("""COMPUTED_VALUE"""),"ac")</f>
        <v>ac</v>
      </c>
      <c r="CJ88" s="144">
        <v>46153.0</v>
      </c>
      <c r="CK88" s="167" t="str">
        <f t="shared" si="27"/>
        <v>note: pause deadlifts 1" off the floor</v>
      </c>
      <c r="CL88" s="168"/>
      <c r="CM88" s="169"/>
      <c r="CN88" s="172"/>
      <c r="CO88" s="171" t="str">
        <f t="array" ref="CO88">IFERROR(IF(CI88="ac"+ISNUMBER(SEARCH("'",CN88))+CM88="","", IF(ISNUMBER(SEARCH("lw",CN88)), CA88 + SUBSTITUTE(CN88,"lw+",""), MROUND(SWITCH(CI88,"sq",CM$7,"bn",CN$7,"dl",CO$7,"")*IF(CN88&gt;10, CN88/100, VLOOKUP(CN88, _rpe,SUBSTITUTE(CM88,"+","")+1,0)), IF( SWITCH(CI88,"sq",CM$7,"bn",CN$7,"dl", CO$7,"")&lt; IF(_uom="lbs", 175, 80), 1.25, IF(_uom="lbs",5,2.5))))), "")</f>
        <v/>
      </c>
      <c r="CP88" s="148"/>
      <c r="CQ88" s="33"/>
      <c r="CR88" s="171"/>
      <c r="CS88" s="124" t="str">
        <f>IFERROR(__xludf.DUMMYFUNCTION("IF(CO88=MAX(FILTER(CO$10:CO$199,LOOKUP(ROW(CI$10:CI$199),FILTER(ROW(CI$10:CI$199),CI$10:CI$199&lt;&gt;CI$9:CI$198))=LOOKUP(ROW(CI88),FILTER(ROW(CI$10:CI$199),CI$10:CI$199&lt;&gt;CI$9:CI$198)))),CP88,)"),"")</f>
        <v/>
      </c>
      <c r="CT88" s="122"/>
      <c r="CU88" s="33"/>
      <c r="CV88" s="143" t="str">
        <f t="shared" si="22"/>
        <v/>
      </c>
      <c r="CW88" s="38" t="str">
        <f>IFERROR(__xludf.DUMMYFUNCTION("""COMPUTED_VALUE"""),"ac")</f>
        <v>ac</v>
      </c>
      <c r="CX88" s="144">
        <v>46160.0</v>
      </c>
      <c r="CY88" s="167" t="str">
        <f t="shared" si="28"/>
        <v>note: pause deadlifts 1" off the floor</v>
      </c>
      <c r="CZ88" s="168"/>
      <c r="DA88" s="169"/>
      <c r="DB88" s="172"/>
      <c r="DC88" s="171" t="str">
        <f t="array" ref="DC88">IFERROR(IF(CW88="ac"+ISNUMBER(SEARCH("'",DB88))+DA88="","", IF(ISNUMBER(SEARCH("lw",DB88)), CO88 + SUBSTITUTE(DB88,"lw+",""), MROUND(SWITCH(CW88,"sq",DA$7,"bn",DB$7,"dl",DC$7,"")*IF(DB88&gt;10, DB88/100, VLOOKUP(DB88, _rpe,SUBSTITUTE(DA88,"+","")+1,0)), IF( SWITCH(CW88,"sq",DA$7,"bn",DB$7,"dl", DC$7,"")&lt; IF(_uom="lbs", 175, 80), 1.25, IF(_uom="lbs",5,2.5))))), "")</f>
        <v/>
      </c>
      <c r="DD88" s="148"/>
      <c r="DE88" s="33"/>
      <c r="DF88" s="171"/>
      <c r="DG88" s="124" t="str">
        <f>IFERROR(__xludf.DUMMYFUNCTION("IF(DC88=MAX(FILTER(DC$10:DC$199,LOOKUP(ROW(CW$10:CW$199),FILTER(ROW(CW$10:CW$199),CW$10:CW$199&lt;&gt;CW$9:CW$198))=LOOKUP(ROW(CW88),FILTER(ROW(CW$10:CW$199),CW$10:CW$199&lt;&gt;CW$9:CW$198)))),DD88,)"),"")</f>
        <v/>
      </c>
      <c r="DH88" s="122"/>
      <c r="DI88" s="33"/>
      <c r="DJ88" s="143" t="str">
        <f t="shared" si="23"/>
        <v/>
      </c>
      <c r="DK88" s="38" t="str">
        <f>IFERROR(__xludf.DUMMYFUNCTION("""COMPUTED_VALUE"""),"")</f>
        <v/>
      </c>
      <c r="DL88" s="144">
        <v>46167.0</v>
      </c>
      <c r="DM88" s="167"/>
      <c r="DN88" s="168"/>
      <c r="DO88" s="169"/>
      <c r="DP88" s="172"/>
      <c r="DQ88" s="171" t="str">
        <f t="array" ref="DQ88">IFERROR(IF(DK88="ac"+ISNUMBER(SEARCH("'",DP88))+DO88="","", IF(ISNUMBER(SEARCH("lw",DP88)), DC88 + SUBSTITUTE(DP88,"lw+",""), MROUND(SWITCH(DK88,"sq",DO$7,"bn",DP$7,"dl",DQ$7,"")*IF(DP88&gt;10, DP88/100, VLOOKUP(DP88, _rpe,SUBSTITUTE(DO88,"+","")+1,0)), IF( SWITCH(DK88,"sq",DO$7,"bn",DP$7,"dl", DQ$7,"")&lt; IF(_uom="lbs", 175, 80), 1.25, IF(_uom="lbs",5,2.5))))), "")</f>
        <v/>
      </c>
      <c r="DR88" s="148"/>
      <c r="DS88" s="33"/>
      <c r="DT88" s="171"/>
      <c r="DU88" s="124" t="str">
        <f>IFERROR(__xludf.DUMMYFUNCTION("IF(DQ88=MAX(FILTER(DQ$10:DQ$199,LOOKUP(ROW(DK$10:DK$199),FILTER(ROW(DK$10:DK$199),DK$10:DK$199&lt;&gt;DK$9:DK$198))=LOOKUP(ROW(DK88),FILTER(ROW(DK$10:DK$199),DK$10:DK$199&lt;&gt;DK$9:DK$198)))),DR88,)"),"")</f>
        <v/>
      </c>
      <c r="DV88" s="122"/>
      <c r="DW88" s="33"/>
      <c r="DX88" s="143"/>
      <c r="DY88" s="38"/>
      <c r="DZ88" s="144"/>
      <c r="EA88" s="150"/>
      <c r="EB88" s="174"/>
      <c r="EC88" s="175"/>
      <c r="ED88" s="176"/>
      <c r="EE88" s="155"/>
      <c r="EF88" s="148"/>
      <c r="EG88" s="33"/>
      <c r="EH88" s="155"/>
      <c r="EI88" s="148"/>
      <c r="EJ88" s="33"/>
      <c r="EK88" s="33"/>
      <c r="EL88" s="143"/>
      <c r="EM88" s="38"/>
      <c r="EN88" s="144"/>
      <c r="EO88" s="150"/>
      <c r="EP88" s="174"/>
      <c r="EQ88" s="175"/>
      <c r="ER88" s="176"/>
      <c r="ES88" s="155"/>
      <c r="ET88" s="148"/>
      <c r="EU88" s="33"/>
      <c r="EV88" s="155"/>
      <c r="EW88" s="148"/>
      <c r="EX88" s="33"/>
      <c r="EY88" s="33"/>
      <c r="EZ88" s="143"/>
      <c r="FA88" s="38"/>
      <c r="FB88" s="144"/>
      <c r="FC88" s="150"/>
      <c r="FD88" s="174"/>
      <c r="FE88" s="175"/>
      <c r="FF88" s="176"/>
      <c r="FG88" s="155"/>
      <c r="FH88" s="148"/>
      <c r="FI88" s="33"/>
      <c r="FJ88" s="155"/>
      <c r="FK88" s="148"/>
      <c r="FL88" s="33"/>
      <c r="FM88" s="33"/>
      <c r="FN88" s="143"/>
      <c r="FO88" s="38"/>
      <c r="FP88" s="144"/>
      <c r="FQ88" s="150"/>
      <c r="FR88" s="174"/>
      <c r="FS88" s="175"/>
      <c r="FT88" s="176"/>
      <c r="FU88" s="155"/>
      <c r="FV88" s="148"/>
      <c r="FW88" s="33"/>
      <c r="FX88" s="155"/>
      <c r="FY88" s="148"/>
      <c r="FZ88" s="33"/>
      <c r="GA88" s="33"/>
      <c r="GB88" s="143"/>
      <c r="GC88" s="38"/>
      <c r="GD88" s="144"/>
      <c r="GE88" s="150"/>
      <c r="GF88" s="174"/>
      <c r="GG88" s="175"/>
      <c r="GH88" s="176"/>
      <c r="GI88" s="155"/>
      <c r="GJ88" s="148"/>
      <c r="GK88" s="33"/>
      <c r="GL88" s="155"/>
      <c r="GM88" s="148"/>
      <c r="GN88" s="33"/>
      <c r="GO88" s="33"/>
      <c r="GP88" s="143"/>
      <c r="GQ88" s="38"/>
      <c r="GR88" s="144"/>
      <c r="GS88" s="150"/>
      <c r="GT88" s="174"/>
      <c r="GU88" s="175"/>
      <c r="GV88" s="176"/>
      <c r="GW88" s="155"/>
      <c r="GX88" s="148"/>
      <c r="GY88" s="33"/>
      <c r="GZ88" s="155"/>
      <c r="HA88" s="148"/>
      <c r="HB88" s="33"/>
      <c r="HC88" s="33"/>
      <c r="HD88" s="143"/>
      <c r="HE88" s="38"/>
      <c r="HF88" s="144"/>
      <c r="HG88" s="150"/>
      <c r="HH88" s="174"/>
      <c r="HI88" s="175"/>
      <c r="HJ88" s="176"/>
      <c r="HK88" s="155"/>
      <c r="HL88" s="148"/>
      <c r="HM88" s="33"/>
      <c r="HN88" s="155"/>
      <c r="HO88" s="148"/>
      <c r="HP88" s="33"/>
      <c r="HQ88" s="33"/>
      <c r="HR88" s="143"/>
      <c r="HS88" s="38"/>
      <c r="HT88" s="144"/>
      <c r="HU88" s="150"/>
      <c r="HV88" s="174"/>
      <c r="HW88" s="175"/>
      <c r="HX88" s="176"/>
      <c r="HY88" s="155"/>
      <c r="HZ88" s="148"/>
      <c r="IA88" s="33"/>
      <c r="IB88" s="155"/>
      <c r="IC88" s="148"/>
      <c r="ID88" s="33"/>
      <c r="IE88" s="33"/>
      <c r="IF88" s="143"/>
      <c r="IG88" s="38"/>
      <c r="IH88" s="144"/>
      <c r="II88" s="150"/>
      <c r="IJ88" s="174"/>
      <c r="IK88" s="175"/>
      <c r="IL88" s="176"/>
      <c r="IM88" s="155"/>
      <c r="IN88" s="148"/>
      <c r="IO88" s="33"/>
      <c r="IP88" s="155"/>
      <c r="IQ88" s="148"/>
      <c r="IR88" s="33"/>
      <c r="IS88" s="33"/>
      <c r="IT88" s="143"/>
      <c r="IU88" s="38"/>
      <c r="IV88" s="144"/>
      <c r="IW88" s="143" t="str">
        <f t="shared" si="24"/>
        <v>#REF!</v>
      </c>
      <c r="IX88" s="38"/>
      <c r="IY88" s="144" t="e">
        <v>#REF!</v>
      </c>
    </row>
    <row r="89">
      <c r="A89" s="33"/>
      <c r="B89" s="181"/>
      <c r="C89" s="38" t="str">
        <f>IFERROR(__xludf.DUMMYFUNCTION("""COMPUTED_VALUE"""),"")</f>
        <v/>
      </c>
      <c r="D89" s="144">
        <v>46111.0</v>
      </c>
      <c r="E89" s="167"/>
      <c r="F89" s="168"/>
      <c r="G89" s="169"/>
      <c r="H89" s="170"/>
      <c r="I89" s="171" t="str">
        <f t="array" ref="I89">IFERROR(IF(C89="ac"+ISNUMBER(SEARCH("'",H89))+G89="","", MROUND(SWITCH(C89,"sq",'Personal Info'!$O$15,"bn",'Personal Info'!$S$15,"dl",'Personal Info'!$W$15,"")*IF(H89&gt;10, H89/100, VLOOKUP(H89, _rpe,SUBSTITUTE(G89,"+","")+1,0)), IF( SWITCH(C89:C210,"sq",'Personal Info'!$O$15,"bn",'Personal Info'!$S$15,"dl", 'Personal Info'!$W$15,"")&lt; IF(_uom="lbs", 175, 80), 1.25, IF(_uom="lbs",5,2.5)))),"")</f>
        <v/>
      </c>
      <c r="J89" s="148"/>
      <c r="K89" s="33"/>
      <c r="L89" s="171"/>
      <c r="M89" s="124" t="str">
        <f>IFERROR(__xludf.DUMMYFUNCTION("IF(I89=MAX(FILTER(I$10:I$199,LOOKUP(ROW(C$10:C$199),FILTER(ROW(C$10:C$199),C$10:C$199&lt;&gt;C$9:C$198))=LOOKUP(ROW(C89),FILTER(ROW(C$10:C$199),C$10:C$199&lt;&gt;C$9:C$198)))),J89,)"),"")</f>
        <v/>
      </c>
      <c r="N89" s="122"/>
      <c r="O89" s="33"/>
      <c r="P89" s="143" t="str">
        <f t="shared" si="12"/>
        <v/>
      </c>
      <c r="Q89" s="38" t="str">
        <f>IFERROR(__xludf.DUMMYFUNCTION("""COMPUTED_VALUE"""),"")</f>
        <v/>
      </c>
      <c r="R89" s="144">
        <v>46118.0</v>
      </c>
      <c r="S89" s="167" t="str">
        <f t="shared" si="13"/>
        <v/>
      </c>
      <c r="T89" s="168" t="str">
        <f t="shared" ref="T89:T199" si="319">IF(ISBLANK(F89),"",F89)</f>
        <v/>
      </c>
      <c r="U89" s="169" t="str">
        <f t="shared" ref="U89:U199" si="320">IF( OR(ISBLANK(G89),G89=""),"", G89)</f>
        <v/>
      </c>
      <c r="V89" s="172" t="str">
        <f t="shared" ref="V89:V199" si="321">IF(ISBLANK(H89),"",H89)</f>
        <v/>
      </c>
      <c r="W89" s="171" t="str">
        <f t="array" ref="W89">IFERROR(IF(Q89="ac"+ISNUMBER(SEARCH("'",V89))+U89="","", IF(ISNUMBER(SEARCH("lw",V89)), I89 + SUBSTITUTE(V89,"lw+",""), MROUND(SWITCH(Q89,"sq",U$7,"bn",V$7,"dl",W$7,"")*IF(V89&gt;10, V89/100, VLOOKUP(V89, _rpe,SUBSTITUTE(U89,"+","")+1,0)), IF( SWITCH(Q89,"sq",U$7,"bn",V$7,"dl", W$7,"")&lt; IF(_uom="lbs", 175, 80), 1.25, IF(_uom="lbs",5,2.5))))), "")</f>
        <v/>
      </c>
      <c r="X89" s="148"/>
      <c r="Y89" s="33"/>
      <c r="Z89" s="171"/>
      <c r="AA89" s="124" t="str">
        <f>IFERROR(__xludf.DUMMYFUNCTION("IF(W89=MAX(FILTER(W$10:W$199,LOOKUP(ROW(Q$10:Q$199),FILTER(ROW(Q$10:Q$199),Q$10:Q$199&lt;&gt;Q$9:Q$198))=LOOKUP(ROW(Q89),FILTER(ROW(Q$10:Q$199),Q$10:Q$199&lt;&gt;Q$9:Q$198)))),X89,)"),"")</f>
        <v/>
      </c>
      <c r="AB89" s="122"/>
      <c r="AC89" s="33"/>
      <c r="AD89" s="143" t="str">
        <f t="shared" si="14"/>
        <v/>
      </c>
      <c r="AE89" s="38" t="str">
        <f>IFERROR(__xludf.DUMMYFUNCTION("""COMPUTED_VALUE"""),"")</f>
        <v/>
      </c>
      <c r="AF89" s="144">
        <v>46125.0</v>
      </c>
      <c r="AG89" s="167" t="str">
        <f t="shared" si="54"/>
        <v/>
      </c>
      <c r="AH89" s="168" t="str">
        <f t="shared" ref="AH89:AH199" si="322">IF(ISBLANK(T89),"",T89)</f>
        <v/>
      </c>
      <c r="AI89" s="169" t="str">
        <f t="shared" ref="AI89:AI199" si="323">IF( OR(ISBLANK(U89),U89=""),"", U89)</f>
        <v/>
      </c>
      <c r="AJ89" s="172" t="str">
        <f t="shared" ref="AJ89:AJ199" si="324">IF(ISBLANK(V89),"",V89)</f>
        <v/>
      </c>
      <c r="AK89" s="171" t="str">
        <f t="array" ref="AK89">IFERROR(IF(AE89="ac"+ISNUMBER(SEARCH("'",AJ89))+AI89="","", IF(ISNUMBER(SEARCH("lw",AJ89)), W89 + SUBSTITUTE(AJ89,"lw+",""), MROUND(SWITCH(AE89,"sq",AI$7,"bn",AJ$7,"dl",AK$7,"")*IF(AJ89&gt;10, AJ89/100, VLOOKUP(AJ89, _rpe,SUBSTITUTE(AI89,"+","")+1,0)), IF( SWITCH(AE89,"sq",AI$7,"bn",AJ$7,"dl", AK$7,"")&lt; IF(_uom="lbs", 175, 80), 1.25, IF(_uom="lbs",5,2.5))))), "")</f>
        <v/>
      </c>
      <c r="AL89" s="148"/>
      <c r="AM89" s="33"/>
      <c r="AN89" s="171"/>
      <c r="AO89" s="124" t="str">
        <f>IFERROR(__xludf.DUMMYFUNCTION("IF(AK89=MAX(FILTER(AK$10:AK$199,LOOKUP(ROW(AE$10:AE$199),FILTER(ROW(AE$10:AE$199),AE$10:AE$199&lt;&gt;AE$9:AE$198))=LOOKUP(ROW(AE89),FILTER(ROW(AE$10:AE$199),AE$10:AE$199&lt;&gt;AE$9:AE$198)))),AL89,)"),"")</f>
        <v/>
      </c>
      <c r="AP89" s="122"/>
      <c r="AQ89" s="33"/>
      <c r="AR89" s="143" t="str">
        <f t="shared" si="16"/>
        <v/>
      </c>
      <c r="AS89" s="38" t="str">
        <f>IFERROR(__xludf.DUMMYFUNCTION("""COMPUTED_VALUE"""),"")</f>
        <v/>
      </c>
      <c r="AT89" s="144">
        <v>46132.0</v>
      </c>
      <c r="AU89" s="167" t="str">
        <f t="shared" si="26"/>
        <v/>
      </c>
      <c r="AV89" s="168" t="str">
        <f t="shared" ref="AV89:AV199" si="325">IF(ISBLANK(AH89),"",AH89)</f>
        <v/>
      </c>
      <c r="AW89" s="169" t="str">
        <f t="shared" ref="AW89:AW199" si="326">IF( OR(ISBLANK(AI89),AI89=""),"", AI89)</f>
        <v/>
      </c>
      <c r="AX89" s="172" t="str">
        <f t="shared" ref="AX89:AX199" si="327">IF(ISBLANK(AJ89),"",AJ89)</f>
        <v/>
      </c>
      <c r="AY89" s="171" t="str">
        <f t="array" ref="AY89">IFERROR(IF(AS89="ac"+ISNUMBER(SEARCH("'",AX89))+AW89="","", IF(ISNUMBER(SEARCH("lw",AX89)), AK89 + SUBSTITUTE(AX89,"lw+",""), MROUND(SWITCH(AS89,"sq",AW$7,"bn",AX$7,"dl",AY$7,"")*IF(AX89&gt;10, AX89/100, VLOOKUP(AX89, _rpe,SUBSTITUTE(AW89,"+","")+1,0)), IF( SWITCH(AS89,"sq",AW$7,"bn",AX$7,"dl", AY$7,"")&lt; IF(_uom="lbs", 175, 80), 1.25, IF(_uom="lbs",5,2.5))))), "")</f>
        <v/>
      </c>
      <c r="AZ89" s="148"/>
      <c r="BA89" s="33"/>
      <c r="BB89" s="171"/>
      <c r="BC89" s="124" t="str">
        <f>IFERROR(__xludf.DUMMYFUNCTION("IF(AY89=MAX(FILTER(AY$10:AY$199,LOOKUP(ROW(AS$10:AS$199),FILTER(ROW(AS$10:AS$199),AS$10:AS$199&lt;&gt;AS$9:AS$198))=LOOKUP(ROW(AS89),FILTER(ROW(AS$10:AS$199),AS$10:AS$199&lt;&gt;AS$9:AS$198)))),AZ89,)"),"")</f>
        <v/>
      </c>
      <c r="BD89" s="122"/>
      <c r="BE89" s="33"/>
      <c r="BF89" s="143" t="str">
        <f t="shared" si="17"/>
        <v/>
      </c>
      <c r="BG89" s="38" t="str">
        <f>IFERROR(__xludf.DUMMYFUNCTION("""COMPUTED_VALUE"""),"")</f>
        <v/>
      </c>
      <c r="BH89" s="144">
        <v>46139.0</v>
      </c>
      <c r="BI89" s="167" t="str">
        <f t="shared" si="18"/>
        <v/>
      </c>
      <c r="BJ89" s="168" t="str">
        <f t="shared" ref="BJ89:BJ199" si="328">IF(ISBLANK(AV89),"",AV89)</f>
        <v/>
      </c>
      <c r="BK89" s="169" t="str">
        <f t="shared" ref="BK89:BK199" si="329">IF( OR(ISBLANK(AW89),AW89=""),"", AW89)</f>
        <v/>
      </c>
      <c r="BL89" s="172" t="str">
        <f t="shared" ref="BL89:BL199" si="330">IF(ISBLANK(AX89),"",AX89)</f>
        <v/>
      </c>
      <c r="BM89" s="171" t="str">
        <f t="array" ref="BM89">IFERROR(IF(BG89="ac"+ISNUMBER(SEARCH("'",BL89))+BK89="","", IF(ISNUMBER(SEARCH("lw",BL89)), AY89 + SUBSTITUTE(BL89,"lw+",""), MROUND(SWITCH(BG89,"sq",BK$7,"bn",BL$7,"dl",BM$7,"")*IF(BL89&gt;10, BL89/100, VLOOKUP(BL89, _rpe,SUBSTITUTE(BK89,"+","")+1,0)), IF( SWITCH(BG89,"sq",BK$7,"bn",BL$7,"dl", BM$7,"")&lt; IF(_uom="lbs", 175, 80), 1.25, IF(_uom="lbs",5,2.5))))), "")</f>
        <v/>
      </c>
      <c r="BN89" s="148"/>
      <c r="BO89" s="33"/>
      <c r="BP89" s="171"/>
      <c r="BQ89" s="124" t="str">
        <f>IFERROR(__xludf.DUMMYFUNCTION("IF(BM89=MAX(FILTER(BM$10:BM$199,LOOKUP(ROW(BG$10:BG$199),FILTER(ROW(BG$10:BG$199),BG$10:BG$199&lt;&gt;BG$9:BG$198))=LOOKUP(ROW(BG89),FILTER(ROW(BG$10:BG$199),BG$10:BG$199&lt;&gt;BG$9:BG$198)))),BN89,)"),"")</f>
        <v/>
      </c>
      <c r="BR89" s="122"/>
      <c r="BS89" s="33"/>
      <c r="BT89" s="143" t="str">
        <f t="shared" si="19"/>
        <v/>
      </c>
      <c r="BU89" s="38" t="str">
        <f>IFERROR(__xludf.DUMMYFUNCTION("""COMPUTED_VALUE"""),"")</f>
        <v/>
      </c>
      <c r="BV89" s="144">
        <v>46146.0</v>
      </c>
      <c r="BW89" s="167" t="str">
        <f t="shared" si="20"/>
        <v/>
      </c>
      <c r="BX89" s="168" t="str">
        <f t="shared" ref="BX89:BX199" si="331">IF(ISBLANK(BJ89),"",BJ89)</f>
        <v/>
      </c>
      <c r="BY89" s="169" t="str">
        <f t="shared" ref="BY89:BY199" si="332">IF( OR(ISBLANK(BK89),BK89=""),"", BK89)</f>
        <v/>
      </c>
      <c r="BZ89" s="172" t="str">
        <f t="shared" ref="BZ89:BZ199" si="333">IF(ISBLANK(BL89),"",BL89)</f>
        <v/>
      </c>
      <c r="CA89" s="171" t="str">
        <f t="array" ref="CA89">IFERROR(IF(BU89="ac"+ISNUMBER(SEARCH("'",BZ89))+BY89="","", IF(ISNUMBER(SEARCH("lw",BZ89)), BM89 + SUBSTITUTE(BZ89,"lw+",""), MROUND(SWITCH(BU89,"sq",BY$7,"bn",BZ$7,"dl",CA$7,"")*IF(BZ89&gt;10, BZ89/100, VLOOKUP(BZ89, _rpe,SUBSTITUTE(BY89,"+","")+1,0)), IF( SWITCH(BU89,"sq",BY$7,"bn",BZ$7,"dl", CA$7,"")&lt; IF(_uom="lbs", 175, 80), 1.25, IF(_uom="lbs",5,2.5))))), "")</f>
        <v/>
      </c>
      <c r="CB89" s="148"/>
      <c r="CC89" s="33"/>
      <c r="CD89" s="171"/>
      <c r="CE89" s="124" t="str">
        <f>IFERROR(__xludf.DUMMYFUNCTION("IF(CA89=MAX(FILTER(CA$10:CA$199,LOOKUP(ROW(BU$10:BU$199),FILTER(ROW(BU$10:BU$199),BU$10:BU$199&lt;&gt;BU$9:BU$198))=LOOKUP(ROW(BU89),FILTER(ROW(BU$10:BU$199),BU$10:BU$199&lt;&gt;BU$9:BU$198)))),CB89,)"),"")</f>
        <v/>
      </c>
      <c r="CF89" s="122"/>
      <c r="CG89" s="33"/>
      <c r="CH89" s="143" t="str">
        <f t="shared" si="21"/>
        <v/>
      </c>
      <c r="CI89" s="38" t="str">
        <f>IFERROR(__xludf.DUMMYFUNCTION("""COMPUTED_VALUE"""),"")</f>
        <v/>
      </c>
      <c r="CJ89" s="144">
        <v>46153.0</v>
      </c>
      <c r="CK89" s="167" t="str">
        <f t="shared" si="27"/>
        <v/>
      </c>
      <c r="CL89" s="168" t="str">
        <f t="shared" ref="CL89:CL199" si="334">IF(ISBLANK(BX89),"",BX89)</f>
        <v/>
      </c>
      <c r="CM89" s="169" t="str">
        <f t="shared" ref="CM89:CM199" si="335">IF( OR(ISBLANK(BY89),BY89=""),"", BY89)</f>
        <v/>
      </c>
      <c r="CN89" s="172" t="str">
        <f t="shared" ref="CN89:CN199" si="336">IF(ISBLANK(BZ89),"",BZ89)</f>
        <v/>
      </c>
      <c r="CO89" s="171" t="str">
        <f t="array" ref="CO89">IFERROR(IF(CI89="ac"+ISNUMBER(SEARCH("'",CN89))+CM89="","", IF(ISNUMBER(SEARCH("lw",CN89)), CA89 + SUBSTITUTE(CN89,"lw+",""), MROUND(SWITCH(CI89,"sq",CM$7,"bn",CN$7,"dl",CO$7,"")*IF(CN89&gt;10, CN89/100, VLOOKUP(CN89, _rpe,SUBSTITUTE(CM89,"+","")+1,0)), IF( SWITCH(CI89,"sq",CM$7,"bn",CN$7,"dl", CO$7,"")&lt; IF(_uom="lbs", 175, 80), 1.25, IF(_uom="lbs",5,2.5))))), "")</f>
        <v/>
      </c>
      <c r="CP89" s="148"/>
      <c r="CQ89" s="33"/>
      <c r="CR89" s="171"/>
      <c r="CS89" s="124" t="str">
        <f>IFERROR(__xludf.DUMMYFUNCTION("IF(CO89=MAX(FILTER(CO$10:CO$199,LOOKUP(ROW(CI$10:CI$199),FILTER(ROW(CI$10:CI$199),CI$10:CI$199&lt;&gt;CI$9:CI$198))=LOOKUP(ROW(CI89),FILTER(ROW(CI$10:CI$199),CI$10:CI$199&lt;&gt;CI$9:CI$198)))),CP89,)"),"")</f>
        <v/>
      </c>
      <c r="CT89" s="122"/>
      <c r="CU89" s="33"/>
      <c r="CV89" s="143" t="str">
        <f t="shared" si="22"/>
        <v/>
      </c>
      <c r="CW89" s="38" t="str">
        <f>IFERROR(__xludf.DUMMYFUNCTION("""COMPUTED_VALUE"""),"")</f>
        <v/>
      </c>
      <c r="CX89" s="144">
        <v>46160.0</v>
      </c>
      <c r="CY89" s="167" t="str">
        <f t="shared" si="28"/>
        <v/>
      </c>
      <c r="CZ89" s="168" t="str">
        <f t="shared" ref="CZ89:CZ199" si="337">IF(ISBLANK(CL89),"",CL89)</f>
        <v/>
      </c>
      <c r="DA89" s="169" t="str">
        <f t="shared" ref="DA89:DA199" si="338">IF( OR(ISBLANK(CM89),CM89=""),"", CM89)</f>
        <v/>
      </c>
      <c r="DB89" s="172" t="str">
        <f t="shared" ref="DB89:DB199" si="339">IF(ISBLANK(CN89),"",CN89)</f>
        <v/>
      </c>
      <c r="DC89" s="171" t="str">
        <f t="array" ref="DC89">IFERROR(IF(CW89="ac"+ISNUMBER(SEARCH("'",DB89))+DA89="","", IF(ISNUMBER(SEARCH("lw",DB89)), CO89 + SUBSTITUTE(DB89,"lw+",""), MROUND(SWITCH(CW89,"sq",DA$7,"bn",DB$7,"dl",DC$7,"")*IF(DB89&gt;10, DB89/100, VLOOKUP(DB89, _rpe,SUBSTITUTE(DA89,"+","")+1,0)), IF( SWITCH(CW89,"sq",DA$7,"bn",DB$7,"dl", DC$7,"")&lt; IF(_uom="lbs", 175, 80), 1.25, IF(_uom="lbs",5,2.5))))), "")</f>
        <v/>
      </c>
      <c r="DD89" s="148"/>
      <c r="DE89" s="33"/>
      <c r="DF89" s="171"/>
      <c r="DG89" s="124" t="str">
        <f>IFERROR(__xludf.DUMMYFUNCTION("IF(DC89=MAX(FILTER(DC$10:DC$199,LOOKUP(ROW(CW$10:CW$199),FILTER(ROW(CW$10:CW$199),CW$10:CW$199&lt;&gt;CW$9:CW$198))=LOOKUP(ROW(CW89),FILTER(ROW(CW$10:CW$199),CW$10:CW$199&lt;&gt;CW$9:CW$198)))),DD89,)"),"")</f>
        <v/>
      </c>
      <c r="DH89" s="122"/>
      <c r="DI89" s="33"/>
      <c r="DJ89" s="143" t="str">
        <f t="shared" si="23"/>
        <v/>
      </c>
      <c r="DK89" s="38" t="str">
        <f>IFERROR(__xludf.DUMMYFUNCTION("""COMPUTED_VALUE"""),"")</f>
        <v/>
      </c>
      <c r="DL89" s="144">
        <v>46167.0</v>
      </c>
      <c r="DM89" s="167" t="str">
        <f t="shared" ref="DM89:DN89" si="318">IF(ISBLANK(CY89),"",CY89)</f>
        <v/>
      </c>
      <c r="DN89" s="168" t="str">
        <f t="shared" si="318"/>
        <v/>
      </c>
      <c r="DO89" s="169" t="str">
        <f t="shared" ref="DO89:DO199" si="341">IF( OR(ISBLANK(DA89),DA89=""),"", DA89)</f>
        <v/>
      </c>
      <c r="DP89" s="172" t="str">
        <f t="shared" ref="DP89:DP199" si="342">IF(ISBLANK(DB89),"",DB89)</f>
        <v/>
      </c>
      <c r="DQ89" s="171" t="str">
        <f t="array" ref="DQ89">IFERROR(IF(DK89="ac"+ISNUMBER(SEARCH("'",DP89))+DO89="","", IF(ISNUMBER(SEARCH("lw",DP89)), DC89 + SUBSTITUTE(DP89,"lw+",""), MROUND(SWITCH(DK89,"sq",DO$7,"bn",DP$7,"dl",DQ$7,"")*IF(DP89&gt;10, DP89/100, VLOOKUP(DP89, _rpe,SUBSTITUTE(DO89,"+","")+1,0)), IF( SWITCH(DK89,"sq",DO$7,"bn",DP$7,"dl", DQ$7,"")&lt; IF(_uom="lbs", 175, 80), 1.25, IF(_uom="lbs",5,2.5))))), "")</f>
        <v/>
      </c>
      <c r="DR89" s="148"/>
      <c r="DS89" s="33"/>
      <c r="DT89" s="171"/>
      <c r="DU89" s="124" t="str">
        <f>IFERROR(__xludf.DUMMYFUNCTION("IF(DQ89=MAX(FILTER(DQ$10:DQ$199,LOOKUP(ROW(DK$10:DK$199),FILTER(ROW(DK$10:DK$199),DK$10:DK$199&lt;&gt;DK$9:DK$198))=LOOKUP(ROW(DK89),FILTER(ROW(DK$10:DK$199),DK$10:DK$199&lt;&gt;DK$9:DK$198)))),DR89,)"),"")</f>
        <v/>
      </c>
      <c r="DV89" s="122"/>
      <c r="DW89" s="33"/>
      <c r="DX89" s="143"/>
      <c r="DY89" s="38"/>
      <c r="DZ89" s="144"/>
      <c r="EA89" s="150"/>
      <c r="EB89" s="174"/>
      <c r="EC89" s="175"/>
      <c r="ED89" s="176"/>
      <c r="EE89" s="155"/>
      <c r="EF89" s="148"/>
      <c r="EG89" s="33"/>
      <c r="EH89" s="155"/>
      <c r="EI89" s="148"/>
      <c r="EJ89" s="33"/>
      <c r="EK89" s="33"/>
      <c r="EL89" s="143"/>
      <c r="EM89" s="38"/>
      <c r="EN89" s="144"/>
      <c r="EO89" s="150"/>
      <c r="EP89" s="174"/>
      <c r="EQ89" s="175"/>
      <c r="ER89" s="176"/>
      <c r="ES89" s="155"/>
      <c r="ET89" s="148"/>
      <c r="EU89" s="33"/>
      <c r="EV89" s="155"/>
      <c r="EW89" s="148"/>
      <c r="EX89" s="33"/>
      <c r="EY89" s="33"/>
      <c r="EZ89" s="143"/>
      <c r="FA89" s="38"/>
      <c r="FB89" s="144"/>
      <c r="FC89" s="150"/>
      <c r="FD89" s="174"/>
      <c r="FE89" s="175"/>
      <c r="FF89" s="176"/>
      <c r="FG89" s="155"/>
      <c r="FH89" s="148"/>
      <c r="FI89" s="33"/>
      <c r="FJ89" s="155"/>
      <c r="FK89" s="148"/>
      <c r="FL89" s="33"/>
      <c r="FM89" s="33"/>
      <c r="FN89" s="143"/>
      <c r="FO89" s="38"/>
      <c r="FP89" s="144"/>
      <c r="FQ89" s="150"/>
      <c r="FR89" s="174"/>
      <c r="FS89" s="175"/>
      <c r="FT89" s="176"/>
      <c r="FU89" s="155"/>
      <c r="FV89" s="148"/>
      <c r="FW89" s="33"/>
      <c r="FX89" s="155"/>
      <c r="FY89" s="148"/>
      <c r="FZ89" s="33"/>
      <c r="GA89" s="33"/>
      <c r="GB89" s="143"/>
      <c r="GC89" s="38"/>
      <c r="GD89" s="144"/>
      <c r="GE89" s="150"/>
      <c r="GF89" s="174"/>
      <c r="GG89" s="175"/>
      <c r="GH89" s="176"/>
      <c r="GI89" s="155"/>
      <c r="GJ89" s="148"/>
      <c r="GK89" s="33"/>
      <c r="GL89" s="155"/>
      <c r="GM89" s="148"/>
      <c r="GN89" s="33"/>
      <c r="GO89" s="33"/>
      <c r="GP89" s="143"/>
      <c r="GQ89" s="38"/>
      <c r="GR89" s="144"/>
      <c r="GS89" s="150"/>
      <c r="GT89" s="174"/>
      <c r="GU89" s="175"/>
      <c r="GV89" s="176"/>
      <c r="GW89" s="155"/>
      <c r="GX89" s="148"/>
      <c r="GY89" s="33"/>
      <c r="GZ89" s="155"/>
      <c r="HA89" s="148"/>
      <c r="HB89" s="33"/>
      <c r="HC89" s="33"/>
      <c r="HD89" s="143"/>
      <c r="HE89" s="38"/>
      <c r="HF89" s="144"/>
      <c r="HG89" s="150"/>
      <c r="HH89" s="174"/>
      <c r="HI89" s="175"/>
      <c r="HJ89" s="176"/>
      <c r="HK89" s="155"/>
      <c r="HL89" s="148"/>
      <c r="HM89" s="33"/>
      <c r="HN89" s="155"/>
      <c r="HO89" s="148"/>
      <c r="HP89" s="33"/>
      <c r="HQ89" s="33"/>
      <c r="HR89" s="143"/>
      <c r="HS89" s="38"/>
      <c r="HT89" s="144"/>
      <c r="HU89" s="150"/>
      <c r="HV89" s="174"/>
      <c r="HW89" s="175"/>
      <c r="HX89" s="176"/>
      <c r="HY89" s="155"/>
      <c r="HZ89" s="148"/>
      <c r="IA89" s="33"/>
      <c r="IB89" s="155"/>
      <c r="IC89" s="148"/>
      <c r="ID89" s="33"/>
      <c r="IE89" s="33"/>
      <c r="IF89" s="143"/>
      <c r="IG89" s="38"/>
      <c r="IH89" s="144"/>
      <c r="II89" s="150"/>
      <c r="IJ89" s="174"/>
      <c r="IK89" s="175"/>
      <c r="IL89" s="176"/>
      <c r="IM89" s="155"/>
      <c r="IN89" s="148"/>
      <c r="IO89" s="33"/>
      <c r="IP89" s="155"/>
      <c r="IQ89" s="148"/>
      <c r="IR89" s="33"/>
      <c r="IS89" s="33"/>
      <c r="IT89" s="143"/>
      <c r="IU89" s="38"/>
      <c r="IV89" s="144"/>
      <c r="IW89" s="143"/>
      <c r="IX89" s="38"/>
      <c r="IY89" s="144" t="e">
        <v>#REF!</v>
      </c>
    </row>
    <row r="90">
      <c r="A90" s="33"/>
      <c r="B90" s="181"/>
      <c r="C90" s="38" t="str">
        <f>IFERROR(__xludf.DUMMYFUNCTION("""COMPUTED_VALUE"""),"")</f>
        <v/>
      </c>
      <c r="D90" s="144">
        <v>46111.0</v>
      </c>
      <c r="E90" s="167"/>
      <c r="F90" s="168"/>
      <c r="G90" s="169"/>
      <c r="H90" s="170"/>
      <c r="I90" s="171" t="str">
        <f t="array" ref="I90">IFERROR(IF(C90="ac"+ISNUMBER(SEARCH("'",H90))+G90="","", MROUND(SWITCH(C90,"sq",'Personal Info'!$O$15,"bn",'Personal Info'!$S$15,"dl",'Personal Info'!$W$15,"")*IF(H90&gt;10, H90/100, VLOOKUP(H90, _rpe,SUBSTITUTE(G90,"+","")+1,0)), IF( SWITCH(C90:C210,"sq",'Personal Info'!$O$15,"bn",'Personal Info'!$S$15,"dl", 'Personal Info'!$W$15,"")&lt; IF(_uom="lbs", 175, 80), 1.25, IF(_uom="lbs",5,2.5)))),"")</f>
        <v/>
      </c>
      <c r="J90" s="148"/>
      <c r="K90" s="33"/>
      <c r="L90" s="171"/>
      <c r="M90" s="124" t="str">
        <f>IFERROR(__xludf.DUMMYFUNCTION("IF(I90=MAX(FILTER(I$10:I$199,LOOKUP(ROW(C$10:C$199),FILTER(ROW(C$10:C$199),C$10:C$199&lt;&gt;C$9:C$198))=LOOKUP(ROW(C90),FILTER(ROW(C$10:C$199),C$10:C$199&lt;&gt;C$9:C$198)))),J90,)"),"")</f>
        <v/>
      </c>
      <c r="N90" s="122"/>
      <c r="O90" s="33"/>
      <c r="P90" s="143" t="str">
        <f t="shared" si="12"/>
        <v/>
      </c>
      <c r="Q90" s="38" t="str">
        <f>IFERROR(__xludf.DUMMYFUNCTION("""COMPUTED_VALUE"""),"")</f>
        <v/>
      </c>
      <c r="R90" s="144">
        <v>46118.0</v>
      </c>
      <c r="S90" s="167" t="str">
        <f t="shared" si="13"/>
        <v/>
      </c>
      <c r="T90" s="168" t="str">
        <f t="shared" si="319"/>
        <v/>
      </c>
      <c r="U90" s="169" t="str">
        <f t="shared" si="320"/>
        <v/>
      </c>
      <c r="V90" s="172" t="str">
        <f t="shared" si="321"/>
        <v/>
      </c>
      <c r="W90" s="171" t="str">
        <f t="array" ref="W90">IFERROR(IF(Q90="ac"+ISNUMBER(SEARCH("'",V90))+U90="","", IF(ISNUMBER(SEARCH("lw",V90)), I90 + SUBSTITUTE(V90,"lw+",""), MROUND(SWITCH(Q90,"sq",U$7,"bn",V$7,"dl",W$7,"")*IF(V90&gt;10, V90/100, VLOOKUP(V90, _rpe,SUBSTITUTE(U90,"+","")+1,0)), IF( SWITCH(Q90,"sq",U$7,"bn",V$7,"dl", W$7,"")&lt; IF(_uom="lbs", 175, 80), 1.25, IF(_uom="lbs",5,2.5))))), "")</f>
        <v/>
      </c>
      <c r="X90" s="148"/>
      <c r="Y90" s="33"/>
      <c r="Z90" s="171"/>
      <c r="AA90" s="124" t="str">
        <f>IFERROR(__xludf.DUMMYFUNCTION("IF(W90=MAX(FILTER(W$10:W$199,LOOKUP(ROW(Q$10:Q$199),FILTER(ROW(Q$10:Q$199),Q$10:Q$199&lt;&gt;Q$9:Q$198))=LOOKUP(ROW(Q90),FILTER(ROW(Q$10:Q$199),Q$10:Q$199&lt;&gt;Q$9:Q$198)))),X90,)"),"")</f>
        <v/>
      </c>
      <c r="AB90" s="122"/>
      <c r="AC90" s="33"/>
      <c r="AD90" s="143" t="str">
        <f t="shared" si="14"/>
        <v/>
      </c>
      <c r="AE90" s="38" t="str">
        <f>IFERROR(__xludf.DUMMYFUNCTION("""COMPUTED_VALUE"""),"")</f>
        <v/>
      </c>
      <c r="AF90" s="144">
        <v>46125.0</v>
      </c>
      <c r="AG90" s="167" t="str">
        <f t="shared" si="54"/>
        <v/>
      </c>
      <c r="AH90" s="168" t="str">
        <f t="shared" si="322"/>
        <v/>
      </c>
      <c r="AI90" s="169" t="str">
        <f t="shared" si="323"/>
        <v/>
      </c>
      <c r="AJ90" s="172" t="str">
        <f t="shared" si="324"/>
        <v/>
      </c>
      <c r="AK90" s="171" t="str">
        <f t="array" ref="AK90">IFERROR(IF(AE90="ac"+ISNUMBER(SEARCH("'",AJ90))+AI90="","", IF(ISNUMBER(SEARCH("lw",AJ90)), W90 + SUBSTITUTE(AJ90,"lw+",""), MROUND(SWITCH(AE90,"sq",AI$7,"bn",AJ$7,"dl",AK$7,"")*IF(AJ90&gt;10, AJ90/100, VLOOKUP(AJ90, _rpe,SUBSTITUTE(AI90,"+","")+1,0)), IF( SWITCH(AE90,"sq",AI$7,"bn",AJ$7,"dl", AK$7,"")&lt; IF(_uom="lbs", 175, 80), 1.25, IF(_uom="lbs",5,2.5))))), "")</f>
        <v/>
      </c>
      <c r="AL90" s="148"/>
      <c r="AM90" s="33"/>
      <c r="AN90" s="171"/>
      <c r="AO90" s="124" t="str">
        <f>IFERROR(__xludf.DUMMYFUNCTION("IF(AK90=MAX(FILTER(AK$10:AK$199,LOOKUP(ROW(AE$10:AE$199),FILTER(ROW(AE$10:AE$199),AE$10:AE$199&lt;&gt;AE$9:AE$198))=LOOKUP(ROW(AE90),FILTER(ROW(AE$10:AE$199),AE$10:AE$199&lt;&gt;AE$9:AE$198)))),AL90,)"),"")</f>
        <v/>
      </c>
      <c r="AP90" s="122"/>
      <c r="AQ90" s="33"/>
      <c r="AR90" s="143" t="str">
        <f t="shared" si="16"/>
        <v/>
      </c>
      <c r="AS90" s="38" t="str">
        <f>IFERROR(__xludf.DUMMYFUNCTION("""COMPUTED_VALUE"""),"")</f>
        <v/>
      </c>
      <c r="AT90" s="144">
        <v>46132.0</v>
      </c>
      <c r="AU90" s="167" t="str">
        <f t="shared" si="26"/>
        <v/>
      </c>
      <c r="AV90" s="168" t="str">
        <f t="shared" si="325"/>
        <v/>
      </c>
      <c r="AW90" s="169" t="str">
        <f t="shared" si="326"/>
        <v/>
      </c>
      <c r="AX90" s="172" t="str">
        <f t="shared" si="327"/>
        <v/>
      </c>
      <c r="AY90" s="171" t="str">
        <f t="array" ref="AY90">IFERROR(IF(AS90="ac"+ISNUMBER(SEARCH("'",AX90))+AW90="","", IF(ISNUMBER(SEARCH("lw",AX90)), AK90 + SUBSTITUTE(AX90,"lw+",""), MROUND(SWITCH(AS90,"sq",AW$7,"bn",AX$7,"dl",AY$7,"")*IF(AX90&gt;10, AX90/100, VLOOKUP(AX90, _rpe,SUBSTITUTE(AW90,"+","")+1,0)), IF( SWITCH(AS90,"sq",AW$7,"bn",AX$7,"dl", AY$7,"")&lt; IF(_uom="lbs", 175, 80), 1.25, IF(_uom="lbs",5,2.5))))), "")</f>
        <v/>
      </c>
      <c r="AZ90" s="148"/>
      <c r="BA90" s="33"/>
      <c r="BB90" s="171"/>
      <c r="BC90" s="124" t="str">
        <f>IFERROR(__xludf.DUMMYFUNCTION("IF(AY90=MAX(FILTER(AY$10:AY$199,LOOKUP(ROW(AS$10:AS$199),FILTER(ROW(AS$10:AS$199),AS$10:AS$199&lt;&gt;AS$9:AS$198))=LOOKUP(ROW(AS90),FILTER(ROW(AS$10:AS$199),AS$10:AS$199&lt;&gt;AS$9:AS$198)))),AZ90,)"),"")</f>
        <v/>
      </c>
      <c r="BD90" s="122"/>
      <c r="BE90" s="33"/>
      <c r="BF90" s="143" t="str">
        <f t="shared" si="17"/>
        <v/>
      </c>
      <c r="BG90" s="38" t="str">
        <f>IFERROR(__xludf.DUMMYFUNCTION("""COMPUTED_VALUE"""),"")</f>
        <v/>
      </c>
      <c r="BH90" s="144">
        <v>46139.0</v>
      </c>
      <c r="BI90" s="167" t="str">
        <f t="shared" si="18"/>
        <v/>
      </c>
      <c r="BJ90" s="168" t="str">
        <f t="shared" si="328"/>
        <v/>
      </c>
      <c r="BK90" s="169" t="str">
        <f t="shared" si="329"/>
        <v/>
      </c>
      <c r="BL90" s="172" t="str">
        <f t="shared" si="330"/>
        <v/>
      </c>
      <c r="BM90" s="171" t="str">
        <f t="array" ref="BM90">IFERROR(IF(BG90="ac"+ISNUMBER(SEARCH("'",BL90))+BK90="","", IF(ISNUMBER(SEARCH("lw",BL90)), AY90 + SUBSTITUTE(BL90,"lw+",""), MROUND(SWITCH(BG90,"sq",BK$7,"bn",BL$7,"dl",BM$7,"")*IF(BL90&gt;10, BL90/100, VLOOKUP(BL90, _rpe,SUBSTITUTE(BK90,"+","")+1,0)), IF( SWITCH(BG90,"sq",BK$7,"bn",BL$7,"dl", BM$7,"")&lt; IF(_uom="lbs", 175, 80), 1.25, IF(_uom="lbs",5,2.5))))), "")</f>
        <v/>
      </c>
      <c r="BN90" s="148"/>
      <c r="BO90" s="33"/>
      <c r="BP90" s="171"/>
      <c r="BQ90" s="124" t="str">
        <f>IFERROR(__xludf.DUMMYFUNCTION("IF(BM90=MAX(FILTER(BM$10:BM$199,LOOKUP(ROW(BG$10:BG$199),FILTER(ROW(BG$10:BG$199),BG$10:BG$199&lt;&gt;BG$9:BG$198))=LOOKUP(ROW(BG90),FILTER(ROW(BG$10:BG$199),BG$10:BG$199&lt;&gt;BG$9:BG$198)))),BN90,)"),"")</f>
        <v/>
      </c>
      <c r="BR90" s="122"/>
      <c r="BS90" s="33"/>
      <c r="BT90" s="143" t="str">
        <f t="shared" si="19"/>
        <v/>
      </c>
      <c r="BU90" s="38" t="str">
        <f>IFERROR(__xludf.DUMMYFUNCTION("""COMPUTED_VALUE"""),"")</f>
        <v/>
      </c>
      <c r="BV90" s="144">
        <v>46146.0</v>
      </c>
      <c r="BW90" s="167" t="str">
        <f t="shared" si="20"/>
        <v/>
      </c>
      <c r="BX90" s="168" t="str">
        <f t="shared" si="331"/>
        <v/>
      </c>
      <c r="BY90" s="169" t="str">
        <f t="shared" si="332"/>
        <v/>
      </c>
      <c r="BZ90" s="172" t="str">
        <f t="shared" si="333"/>
        <v/>
      </c>
      <c r="CA90" s="171" t="str">
        <f t="array" ref="CA90">IFERROR(IF(BU90="ac"+ISNUMBER(SEARCH("'",BZ90))+BY90="","", IF(ISNUMBER(SEARCH("lw",BZ90)), BM90 + SUBSTITUTE(BZ90,"lw+",""), MROUND(SWITCH(BU90,"sq",BY$7,"bn",BZ$7,"dl",CA$7,"")*IF(BZ90&gt;10, BZ90/100, VLOOKUP(BZ90, _rpe,SUBSTITUTE(BY90,"+","")+1,0)), IF( SWITCH(BU90,"sq",BY$7,"bn",BZ$7,"dl", CA$7,"")&lt; IF(_uom="lbs", 175, 80), 1.25, IF(_uom="lbs",5,2.5))))), "")</f>
        <v/>
      </c>
      <c r="CB90" s="148"/>
      <c r="CC90" s="33"/>
      <c r="CD90" s="171"/>
      <c r="CE90" s="124" t="str">
        <f>IFERROR(__xludf.DUMMYFUNCTION("IF(CA90=MAX(FILTER(CA$10:CA$199,LOOKUP(ROW(BU$10:BU$199),FILTER(ROW(BU$10:BU$199),BU$10:BU$199&lt;&gt;BU$9:BU$198))=LOOKUP(ROW(BU90),FILTER(ROW(BU$10:BU$199),BU$10:BU$199&lt;&gt;BU$9:BU$198)))),CB90,)"),"")</f>
        <v/>
      </c>
      <c r="CF90" s="122"/>
      <c r="CG90" s="33"/>
      <c r="CH90" s="143" t="str">
        <f t="shared" si="21"/>
        <v/>
      </c>
      <c r="CI90" s="38" t="str">
        <f>IFERROR(__xludf.DUMMYFUNCTION("""COMPUTED_VALUE"""),"")</f>
        <v/>
      </c>
      <c r="CJ90" s="144">
        <v>46153.0</v>
      </c>
      <c r="CK90" s="167" t="str">
        <f t="shared" si="27"/>
        <v/>
      </c>
      <c r="CL90" s="168" t="str">
        <f t="shared" si="334"/>
        <v/>
      </c>
      <c r="CM90" s="169" t="str">
        <f t="shared" si="335"/>
        <v/>
      </c>
      <c r="CN90" s="172" t="str">
        <f t="shared" si="336"/>
        <v/>
      </c>
      <c r="CO90" s="171" t="str">
        <f t="array" ref="CO90">IFERROR(IF(CI90="ac"+ISNUMBER(SEARCH("'",CN90))+CM90="","", IF(ISNUMBER(SEARCH("lw",CN90)), CA90 + SUBSTITUTE(CN90,"lw+",""), MROUND(SWITCH(CI90,"sq",CM$7,"bn",CN$7,"dl",CO$7,"")*IF(CN90&gt;10, CN90/100, VLOOKUP(CN90, _rpe,SUBSTITUTE(CM90,"+","")+1,0)), IF( SWITCH(CI90,"sq",CM$7,"bn",CN$7,"dl", CO$7,"")&lt; IF(_uom="lbs", 175, 80), 1.25, IF(_uom="lbs",5,2.5))))), "")</f>
        <v/>
      </c>
      <c r="CP90" s="148"/>
      <c r="CQ90" s="33"/>
      <c r="CR90" s="171"/>
      <c r="CS90" s="124" t="str">
        <f>IFERROR(__xludf.DUMMYFUNCTION("IF(CO90=MAX(FILTER(CO$10:CO$199,LOOKUP(ROW(CI$10:CI$199),FILTER(ROW(CI$10:CI$199),CI$10:CI$199&lt;&gt;CI$9:CI$198))=LOOKUP(ROW(CI90),FILTER(ROW(CI$10:CI$199),CI$10:CI$199&lt;&gt;CI$9:CI$198)))),CP90,)"),"")</f>
        <v/>
      </c>
      <c r="CT90" s="122"/>
      <c r="CU90" s="33"/>
      <c r="CV90" s="143" t="str">
        <f t="shared" si="22"/>
        <v/>
      </c>
      <c r="CW90" s="38" t="str">
        <f>IFERROR(__xludf.DUMMYFUNCTION("""COMPUTED_VALUE"""),"")</f>
        <v/>
      </c>
      <c r="CX90" s="144">
        <v>46160.0</v>
      </c>
      <c r="CY90" s="167" t="str">
        <f t="shared" si="28"/>
        <v/>
      </c>
      <c r="CZ90" s="168" t="str">
        <f t="shared" si="337"/>
        <v/>
      </c>
      <c r="DA90" s="169" t="str">
        <f t="shared" si="338"/>
        <v/>
      </c>
      <c r="DB90" s="172" t="str">
        <f t="shared" si="339"/>
        <v/>
      </c>
      <c r="DC90" s="171" t="str">
        <f t="array" ref="DC90">IFERROR(IF(CW90="ac"+ISNUMBER(SEARCH("'",DB90))+DA90="","", IF(ISNUMBER(SEARCH("lw",DB90)), CO90 + SUBSTITUTE(DB90,"lw+",""), MROUND(SWITCH(CW90,"sq",DA$7,"bn",DB$7,"dl",DC$7,"")*IF(DB90&gt;10, DB90/100, VLOOKUP(DB90, _rpe,SUBSTITUTE(DA90,"+","")+1,0)), IF( SWITCH(CW90,"sq",DA$7,"bn",DB$7,"dl", DC$7,"")&lt; IF(_uom="lbs", 175, 80), 1.25, IF(_uom="lbs",5,2.5))))), "")</f>
        <v/>
      </c>
      <c r="DD90" s="148"/>
      <c r="DE90" s="33"/>
      <c r="DF90" s="171"/>
      <c r="DG90" s="124" t="str">
        <f>IFERROR(__xludf.DUMMYFUNCTION("IF(DC90=MAX(FILTER(DC$10:DC$199,LOOKUP(ROW(CW$10:CW$199),FILTER(ROW(CW$10:CW$199),CW$10:CW$199&lt;&gt;CW$9:CW$198))=LOOKUP(ROW(CW90),FILTER(ROW(CW$10:CW$199),CW$10:CW$199&lt;&gt;CW$9:CW$198)))),DD90,)"),"")</f>
        <v/>
      </c>
      <c r="DH90" s="122"/>
      <c r="DI90" s="33"/>
      <c r="DJ90" s="143" t="str">
        <f t="shared" si="23"/>
        <v/>
      </c>
      <c r="DK90" s="38" t="str">
        <f>IFERROR(__xludf.DUMMYFUNCTION("""COMPUTED_VALUE"""),"")</f>
        <v/>
      </c>
      <c r="DL90" s="144">
        <v>46167.0</v>
      </c>
      <c r="DM90" s="167" t="str">
        <f t="shared" ref="DM90:DN90" si="340">IF(ISBLANK(CY90),"",CY90)</f>
        <v/>
      </c>
      <c r="DN90" s="168" t="str">
        <f t="shared" si="340"/>
        <v/>
      </c>
      <c r="DO90" s="169" t="str">
        <f t="shared" si="341"/>
        <v/>
      </c>
      <c r="DP90" s="172" t="str">
        <f t="shared" si="342"/>
        <v/>
      </c>
      <c r="DQ90" s="171" t="str">
        <f t="array" ref="DQ90">IFERROR(IF(DK90="ac"+ISNUMBER(SEARCH("'",DP90))+DO90="","", IF(ISNUMBER(SEARCH("lw",DP90)), DC90 + SUBSTITUTE(DP90,"lw+",""), MROUND(SWITCH(DK90,"sq",DO$7,"bn",DP$7,"dl",DQ$7,"")*IF(DP90&gt;10, DP90/100, VLOOKUP(DP90, _rpe,SUBSTITUTE(DO90,"+","")+1,0)), IF( SWITCH(DK90,"sq",DO$7,"bn",DP$7,"dl", DQ$7,"")&lt; IF(_uom="lbs", 175, 80), 1.25, IF(_uom="lbs",5,2.5))))), "")</f>
        <v/>
      </c>
      <c r="DR90" s="148"/>
      <c r="DS90" s="33"/>
      <c r="DT90" s="171"/>
      <c r="DU90" s="124" t="str">
        <f>IFERROR(__xludf.DUMMYFUNCTION("IF(DQ90=MAX(FILTER(DQ$10:DQ$199,LOOKUP(ROW(DK$10:DK$199),FILTER(ROW(DK$10:DK$199),DK$10:DK$199&lt;&gt;DK$9:DK$198))=LOOKUP(ROW(DK90),FILTER(ROW(DK$10:DK$199),DK$10:DK$199&lt;&gt;DK$9:DK$198)))),DR90,)"),"")</f>
        <v/>
      </c>
      <c r="DV90" s="122"/>
      <c r="DW90" s="33"/>
      <c r="DX90" s="143"/>
      <c r="DY90" s="38"/>
      <c r="DZ90" s="144"/>
      <c r="EA90" s="150"/>
      <c r="EB90" s="174"/>
      <c r="EC90" s="175"/>
      <c r="ED90" s="176"/>
      <c r="EE90" s="155"/>
      <c r="EF90" s="148"/>
      <c r="EG90" s="33"/>
      <c r="EH90" s="155"/>
      <c r="EI90" s="148"/>
      <c r="EJ90" s="33"/>
      <c r="EK90" s="33"/>
      <c r="EL90" s="143"/>
      <c r="EM90" s="38"/>
      <c r="EN90" s="144"/>
      <c r="EO90" s="150"/>
      <c r="EP90" s="174"/>
      <c r="EQ90" s="175"/>
      <c r="ER90" s="176"/>
      <c r="ES90" s="155"/>
      <c r="ET90" s="148"/>
      <c r="EU90" s="33"/>
      <c r="EV90" s="155"/>
      <c r="EW90" s="148"/>
      <c r="EX90" s="33"/>
      <c r="EY90" s="33"/>
      <c r="EZ90" s="143"/>
      <c r="FA90" s="38"/>
      <c r="FB90" s="144"/>
      <c r="FC90" s="150"/>
      <c r="FD90" s="174"/>
      <c r="FE90" s="175"/>
      <c r="FF90" s="176"/>
      <c r="FG90" s="155"/>
      <c r="FH90" s="148"/>
      <c r="FI90" s="33"/>
      <c r="FJ90" s="155"/>
      <c r="FK90" s="148"/>
      <c r="FL90" s="33"/>
      <c r="FM90" s="33"/>
      <c r="FN90" s="143"/>
      <c r="FO90" s="38"/>
      <c r="FP90" s="144"/>
      <c r="FQ90" s="150"/>
      <c r="FR90" s="174"/>
      <c r="FS90" s="175"/>
      <c r="FT90" s="176"/>
      <c r="FU90" s="155"/>
      <c r="FV90" s="148"/>
      <c r="FW90" s="33"/>
      <c r="FX90" s="155"/>
      <c r="FY90" s="148"/>
      <c r="FZ90" s="33"/>
      <c r="GA90" s="33"/>
      <c r="GB90" s="143"/>
      <c r="GC90" s="38"/>
      <c r="GD90" s="144"/>
      <c r="GE90" s="150"/>
      <c r="GF90" s="174"/>
      <c r="GG90" s="175"/>
      <c r="GH90" s="176"/>
      <c r="GI90" s="155"/>
      <c r="GJ90" s="148"/>
      <c r="GK90" s="33"/>
      <c r="GL90" s="155"/>
      <c r="GM90" s="148"/>
      <c r="GN90" s="33"/>
      <c r="GO90" s="33"/>
      <c r="GP90" s="143"/>
      <c r="GQ90" s="38"/>
      <c r="GR90" s="144"/>
      <c r="GS90" s="150"/>
      <c r="GT90" s="174"/>
      <c r="GU90" s="175"/>
      <c r="GV90" s="176"/>
      <c r="GW90" s="155"/>
      <c r="GX90" s="148"/>
      <c r="GY90" s="33"/>
      <c r="GZ90" s="155"/>
      <c r="HA90" s="148"/>
      <c r="HB90" s="33"/>
      <c r="HC90" s="33"/>
      <c r="HD90" s="143"/>
      <c r="HE90" s="38"/>
      <c r="HF90" s="144"/>
      <c r="HG90" s="150"/>
      <c r="HH90" s="174"/>
      <c r="HI90" s="175"/>
      <c r="HJ90" s="176"/>
      <c r="HK90" s="155"/>
      <c r="HL90" s="148"/>
      <c r="HM90" s="33"/>
      <c r="HN90" s="155"/>
      <c r="HO90" s="148"/>
      <c r="HP90" s="33"/>
      <c r="HQ90" s="33"/>
      <c r="HR90" s="143"/>
      <c r="HS90" s="38"/>
      <c r="HT90" s="144"/>
      <c r="HU90" s="150"/>
      <c r="HV90" s="174"/>
      <c r="HW90" s="175"/>
      <c r="HX90" s="176"/>
      <c r="HY90" s="155"/>
      <c r="HZ90" s="148"/>
      <c r="IA90" s="33"/>
      <c r="IB90" s="155"/>
      <c r="IC90" s="148"/>
      <c r="ID90" s="33"/>
      <c r="IE90" s="33"/>
      <c r="IF90" s="143"/>
      <c r="IG90" s="38"/>
      <c r="IH90" s="144"/>
      <c r="II90" s="150"/>
      <c r="IJ90" s="174"/>
      <c r="IK90" s="175"/>
      <c r="IL90" s="176"/>
      <c r="IM90" s="155"/>
      <c r="IN90" s="148"/>
      <c r="IO90" s="33"/>
      <c r="IP90" s="155"/>
      <c r="IQ90" s="148"/>
      <c r="IR90" s="33"/>
      <c r="IS90" s="33"/>
      <c r="IT90" s="143"/>
      <c r="IU90" s="38"/>
      <c r="IV90" s="144"/>
      <c r="IW90" s="143"/>
      <c r="IX90" s="38"/>
      <c r="IY90" s="144" t="e">
        <v>#REF!</v>
      </c>
    </row>
    <row r="91">
      <c r="A91" s="33"/>
      <c r="B91" s="181"/>
      <c r="C91" s="38" t="str">
        <f>IFERROR(__xludf.DUMMYFUNCTION("""COMPUTED_VALUE"""),"")</f>
        <v/>
      </c>
      <c r="D91" s="144">
        <v>46111.0</v>
      </c>
      <c r="E91" s="167"/>
      <c r="F91" s="168"/>
      <c r="G91" s="169"/>
      <c r="H91" s="170"/>
      <c r="I91" s="171" t="str">
        <f t="array" ref="I91">IFERROR(IF(C91="ac"+ISNUMBER(SEARCH("'",H91))+G91="","", MROUND(SWITCH(C91,"sq",'Personal Info'!$O$15,"bn",'Personal Info'!$S$15,"dl",'Personal Info'!$W$15,"")*IF(H91&gt;10, H91/100, VLOOKUP(H91, _rpe,SUBSTITUTE(G91,"+","")+1,0)), IF( SWITCH(C91:C210,"sq",'Personal Info'!$O$15,"bn",'Personal Info'!$S$15,"dl", 'Personal Info'!$W$15,"")&lt; IF(_uom="lbs", 175, 80), 1.25, IF(_uom="lbs",5,2.5)))),"")</f>
        <v/>
      </c>
      <c r="J91" s="148"/>
      <c r="K91" s="33"/>
      <c r="L91" s="171"/>
      <c r="M91" s="124" t="str">
        <f>IFERROR(__xludf.DUMMYFUNCTION("IF(I91=MAX(FILTER(I$10:I$199,LOOKUP(ROW(C$10:C$199),FILTER(ROW(C$10:C$199),C$10:C$199&lt;&gt;C$9:C$198))=LOOKUP(ROW(C91),FILTER(ROW(C$10:C$199),C$10:C$199&lt;&gt;C$9:C$198)))),J91,)"),"")</f>
        <v/>
      </c>
      <c r="N91" s="122"/>
      <c r="O91" s="33"/>
      <c r="P91" s="143" t="str">
        <f t="shared" si="12"/>
        <v/>
      </c>
      <c r="Q91" s="38" t="str">
        <f>IFERROR(__xludf.DUMMYFUNCTION("""COMPUTED_VALUE"""),"")</f>
        <v/>
      </c>
      <c r="R91" s="144">
        <v>46118.0</v>
      </c>
      <c r="S91" s="167" t="str">
        <f t="shared" si="13"/>
        <v/>
      </c>
      <c r="T91" s="168" t="str">
        <f t="shared" si="319"/>
        <v/>
      </c>
      <c r="U91" s="169" t="str">
        <f t="shared" si="320"/>
        <v/>
      </c>
      <c r="V91" s="172" t="str">
        <f t="shared" si="321"/>
        <v/>
      </c>
      <c r="W91" s="171" t="str">
        <f t="array" ref="W91">IFERROR(IF(Q91="ac"+ISNUMBER(SEARCH("'",V91))+U91="","", IF(ISNUMBER(SEARCH("lw",V91)), I91 + SUBSTITUTE(V91,"lw+",""), MROUND(SWITCH(Q91,"sq",U$7,"bn",V$7,"dl",W$7,"")*IF(V91&gt;10, V91/100, VLOOKUP(V91, _rpe,SUBSTITUTE(U91,"+","")+1,0)), IF( SWITCH(Q91,"sq",U$7,"bn",V$7,"dl", W$7,"")&lt; IF(_uom="lbs", 175, 80), 1.25, IF(_uom="lbs",5,2.5))))), "")</f>
        <v/>
      </c>
      <c r="X91" s="148"/>
      <c r="Y91" s="33"/>
      <c r="Z91" s="171"/>
      <c r="AA91" s="124" t="str">
        <f>IFERROR(__xludf.DUMMYFUNCTION("IF(W91=MAX(FILTER(W$10:W$199,LOOKUP(ROW(Q$10:Q$199),FILTER(ROW(Q$10:Q$199),Q$10:Q$199&lt;&gt;Q$9:Q$198))=LOOKUP(ROW(Q91),FILTER(ROW(Q$10:Q$199),Q$10:Q$199&lt;&gt;Q$9:Q$198)))),X91,)"),"")</f>
        <v/>
      </c>
      <c r="AB91" s="122"/>
      <c r="AC91" s="33"/>
      <c r="AD91" s="143" t="str">
        <f t="shared" si="14"/>
        <v/>
      </c>
      <c r="AE91" s="38" t="str">
        <f>IFERROR(__xludf.DUMMYFUNCTION("""COMPUTED_VALUE"""),"")</f>
        <v/>
      </c>
      <c r="AF91" s="144">
        <v>46125.0</v>
      </c>
      <c r="AG91" s="167" t="str">
        <f t="shared" si="54"/>
        <v/>
      </c>
      <c r="AH91" s="168" t="str">
        <f t="shared" si="322"/>
        <v/>
      </c>
      <c r="AI91" s="169" t="str">
        <f t="shared" si="323"/>
        <v/>
      </c>
      <c r="AJ91" s="172" t="str">
        <f t="shared" si="324"/>
        <v/>
      </c>
      <c r="AK91" s="171" t="str">
        <f t="array" ref="AK91">IFERROR(IF(AE91="ac"+ISNUMBER(SEARCH("'",AJ91))+AI91="","", IF(ISNUMBER(SEARCH("lw",AJ91)), W91 + SUBSTITUTE(AJ91,"lw+",""), MROUND(SWITCH(AE91,"sq",AI$7,"bn",AJ$7,"dl",AK$7,"")*IF(AJ91&gt;10, AJ91/100, VLOOKUP(AJ91, _rpe,SUBSTITUTE(AI91,"+","")+1,0)), IF( SWITCH(AE91,"sq",AI$7,"bn",AJ$7,"dl", AK$7,"")&lt; IF(_uom="lbs", 175, 80), 1.25, IF(_uom="lbs",5,2.5))))), "")</f>
        <v/>
      </c>
      <c r="AL91" s="148"/>
      <c r="AM91" s="33"/>
      <c r="AN91" s="171"/>
      <c r="AO91" s="124" t="str">
        <f>IFERROR(__xludf.DUMMYFUNCTION("IF(AK91=MAX(FILTER(AK$10:AK$199,LOOKUP(ROW(AE$10:AE$199),FILTER(ROW(AE$10:AE$199),AE$10:AE$199&lt;&gt;AE$9:AE$198))=LOOKUP(ROW(AE91),FILTER(ROW(AE$10:AE$199),AE$10:AE$199&lt;&gt;AE$9:AE$198)))),AL91,)"),"")</f>
        <v/>
      </c>
      <c r="AP91" s="122"/>
      <c r="AQ91" s="33"/>
      <c r="AR91" s="143" t="str">
        <f t="shared" si="16"/>
        <v/>
      </c>
      <c r="AS91" s="38" t="str">
        <f>IFERROR(__xludf.DUMMYFUNCTION("""COMPUTED_VALUE"""),"")</f>
        <v/>
      </c>
      <c r="AT91" s="144">
        <v>46132.0</v>
      </c>
      <c r="AU91" s="167" t="str">
        <f t="shared" si="26"/>
        <v/>
      </c>
      <c r="AV91" s="168" t="str">
        <f t="shared" si="325"/>
        <v/>
      </c>
      <c r="AW91" s="169" t="str">
        <f t="shared" si="326"/>
        <v/>
      </c>
      <c r="AX91" s="172" t="str">
        <f t="shared" si="327"/>
        <v/>
      </c>
      <c r="AY91" s="171" t="str">
        <f t="array" ref="AY91">IFERROR(IF(AS91="ac"+ISNUMBER(SEARCH("'",AX91))+AW91="","", IF(ISNUMBER(SEARCH("lw",AX91)), AK91 + SUBSTITUTE(AX91,"lw+",""), MROUND(SWITCH(AS91,"sq",AW$7,"bn",AX$7,"dl",AY$7,"")*IF(AX91&gt;10, AX91/100, VLOOKUP(AX91, _rpe,SUBSTITUTE(AW91,"+","")+1,0)), IF( SWITCH(AS91,"sq",AW$7,"bn",AX$7,"dl", AY$7,"")&lt; IF(_uom="lbs", 175, 80), 1.25, IF(_uom="lbs",5,2.5))))), "")</f>
        <v/>
      </c>
      <c r="AZ91" s="148"/>
      <c r="BA91" s="33"/>
      <c r="BB91" s="171"/>
      <c r="BC91" s="124" t="str">
        <f>IFERROR(__xludf.DUMMYFUNCTION("IF(AY91=MAX(FILTER(AY$10:AY$199,LOOKUP(ROW(AS$10:AS$199),FILTER(ROW(AS$10:AS$199),AS$10:AS$199&lt;&gt;AS$9:AS$198))=LOOKUP(ROW(AS91),FILTER(ROW(AS$10:AS$199),AS$10:AS$199&lt;&gt;AS$9:AS$198)))),AZ91,)"),"")</f>
        <v/>
      </c>
      <c r="BD91" s="122"/>
      <c r="BE91" s="33"/>
      <c r="BF91" s="143" t="str">
        <f t="shared" si="17"/>
        <v/>
      </c>
      <c r="BG91" s="38" t="str">
        <f>IFERROR(__xludf.DUMMYFUNCTION("""COMPUTED_VALUE"""),"")</f>
        <v/>
      </c>
      <c r="BH91" s="144">
        <v>46139.0</v>
      </c>
      <c r="BI91" s="167" t="str">
        <f t="shared" si="18"/>
        <v/>
      </c>
      <c r="BJ91" s="168" t="str">
        <f t="shared" si="328"/>
        <v/>
      </c>
      <c r="BK91" s="169" t="str">
        <f t="shared" si="329"/>
        <v/>
      </c>
      <c r="BL91" s="172" t="str">
        <f t="shared" si="330"/>
        <v/>
      </c>
      <c r="BM91" s="171" t="str">
        <f t="array" ref="BM91">IFERROR(IF(BG91="ac"+ISNUMBER(SEARCH("'",BL91))+BK91="","", IF(ISNUMBER(SEARCH("lw",BL91)), AY91 + SUBSTITUTE(BL91,"lw+",""), MROUND(SWITCH(BG91,"sq",BK$7,"bn",BL$7,"dl",BM$7,"")*IF(BL91&gt;10, BL91/100, VLOOKUP(BL91, _rpe,SUBSTITUTE(BK91,"+","")+1,0)), IF( SWITCH(BG91,"sq",BK$7,"bn",BL$7,"dl", BM$7,"")&lt; IF(_uom="lbs", 175, 80), 1.25, IF(_uom="lbs",5,2.5))))), "")</f>
        <v/>
      </c>
      <c r="BN91" s="148"/>
      <c r="BO91" s="33"/>
      <c r="BP91" s="171"/>
      <c r="BQ91" s="124" t="str">
        <f>IFERROR(__xludf.DUMMYFUNCTION("IF(BM91=MAX(FILTER(BM$10:BM$199,LOOKUP(ROW(BG$10:BG$199),FILTER(ROW(BG$10:BG$199),BG$10:BG$199&lt;&gt;BG$9:BG$198))=LOOKUP(ROW(BG91),FILTER(ROW(BG$10:BG$199),BG$10:BG$199&lt;&gt;BG$9:BG$198)))),BN91,)"),"")</f>
        <v/>
      </c>
      <c r="BR91" s="122"/>
      <c r="BS91" s="33"/>
      <c r="BT91" s="143" t="str">
        <f t="shared" si="19"/>
        <v/>
      </c>
      <c r="BU91" s="38" t="str">
        <f>IFERROR(__xludf.DUMMYFUNCTION("""COMPUTED_VALUE"""),"")</f>
        <v/>
      </c>
      <c r="BV91" s="144">
        <v>46146.0</v>
      </c>
      <c r="BW91" s="167" t="str">
        <f t="shared" si="20"/>
        <v/>
      </c>
      <c r="BX91" s="168" t="str">
        <f t="shared" si="331"/>
        <v/>
      </c>
      <c r="BY91" s="169" t="str">
        <f t="shared" si="332"/>
        <v/>
      </c>
      <c r="BZ91" s="172" t="str">
        <f t="shared" si="333"/>
        <v/>
      </c>
      <c r="CA91" s="171" t="str">
        <f t="array" ref="CA91">IFERROR(IF(BU91="ac"+ISNUMBER(SEARCH("'",BZ91))+BY91="","", IF(ISNUMBER(SEARCH("lw",BZ91)), BM91 + SUBSTITUTE(BZ91,"lw+",""), MROUND(SWITCH(BU91,"sq",BY$7,"bn",BZ$7,"dl",CA$7,"")*IF(BZ91&gt;10, BZ91/100, VLOOKUP(BZ91, _rpe,SUBSTITUTE(BY91,"+","")+1,0)), IF( SWITCH(BU91,"sq",BY$7,"bn",BZ$7,"dl", CA$7,"")&lt; IF(_uom="lbs", 175, 80), 1.25, IF(_uom="lbs",5,2.5))))), "")</f>
        <v/>
      </c>
      <c r="CB91" s="148"/>
      <c r="CC91" s="33"/>
      <c r="CD91" s="171"/>
      <c r="CE91" s="124" t="str">
        <f>IFERROR(__xludf.DUMMYFUNCTION("IF(CA91=MAX(FILTER(CA$10:CA$199,LOOKUP(ROW(BU$10:BU$199),FILTER(ROW(BU$10:BU$199),BU$10:BU$199&lt;&gt;BU$9:BU$198))=LOOKUP(ROW(BU91),FILTER(ROW(BU$10:BU$199),BU$10:BU$199&lt;&gt;BU$9:BU$198)))),CB91,)"),"")</f>
        <v/>
      </c>
      <c r="CF91" s="122"/>
      <c r="CG91" s="33"/>
      <c r="CH91" s="143" t="str">
        <f t="shared" si="21"/>
        <v/>
      </c>
      <c r="CI91" s="38" t="str">
        <f>IFERROR(__xludf.DUMMYFUNCTION("""COMPUTED_VALUE"""),"")</f>
        <v/>
      </c>
      <c r="CJ91" s="144">
        <v>46153.0</v>
      </c>
      <c r="CK91" s="167" t="str">
        <f t="shared" si="27"/>
        <v/>
      </c>
      <c r="CL91" s="168" t="str">
        <f t="shared" si="334"/>
        <v/>
      </c>
      <c r="CM91" s="169" t="str">
        <f t="shared" si="335"/>
        <v/>
      </c>
      <c r="CN91" s="172" t="str">
        <f t="shared" si="336"/>
        <v/>
      </c>
      <c r="CO91" s="171" t="str">
        <f t="array" ref="CO91">IFERROR(IF(CI91="ac"+ISNUMBER(SEARCH("'",CN91))+CM91="","", IF(ISNUMBER(SEARCH("lw",CN91)), CA91 + SUBSTITUTE(CN91,"lw+",""), MROUND(SWITCH(CI91,"sq",CM$7,"bn",CN$7,"dl",CO$7,"")*IF(CN91&gt;10, CN91/100, VLOOKUP(CN91, _rpe,SUBSTITUTE(CM91,"+","")+1,0)), IF( SWITCH(CI91,"sq",CM$7,"bn",CN$7,"dl", CO$7,"")&lt; IF(_uom="lbs", 175, 80), 1.25, IF(_uom="lbs",5,2.5))))), "")</f>
        <v/>
      </c>
      <c r="CP91" s="148"/>
      <c r="CQ91" s="33"/>
      <c r="CR91" s="171"/>
      <c r="CS91" s="124" t="str">
        <f>IFERROR(__xludf.DUMMYFUNCTION("IF(CO91=MAX(FILTER(CO$10:CO$199,LOOKUP(ROW(CI$10:CI$199),FILTER(ROW(CI$10:CI$199),CI$10:CI$199&lt;&gt;CI$9:CI$198))=LOOKUP(ROW(CI91),FILTER(ROW(CI$10:CI$199),CI$10:CI$199&lt;&gt;CI$9:CI$198)))),CP91,)"),"")</f>
        <v/>
      </c>
      <c r="CT91" s="122"/>
      <c r="CU91" s="33"/>
      <c r="CV91" s="143" t="str">
        <f t="shared" si="22"/>
        <v/>
      </c>
      <c r="CW91" s="38" t="str">
        <f>IFERROR(__xludf.DUMMYFUNCTION("""COMPUTED_VALUE"""),"")</f>
        <v/>
      </c>
      <c r="CX91" s="144">
        <v>46160.0</v>
      </c>
      <c r="CY91" s="167" t="str">
        <f t="shared" si="28"/>
        <v/>
      </c>
      <c r="CZ91" s="168" t="str">
        <f t="shared" si="337"/>
        <v/>
      </c>
      <c r="DA91" s="169" t="str">
        <f t="shared" si="338"/>
        <v/>
      </c>
      <c r="DB91" s="172" t="str">
        <f t="shared" si="339"/>
        <v/>
      </c>
      <c r="DC91" s="171" t="str">
        <f t="array" ref="DC91">IFERROR(IF(CW91="ac"+ISNUMBER(SEARCH("'",DB91))+DA91="","", IF(ISNUMBER(SEARCH("lw",DB91)), CO91 + SUBSTITUTE(DB91,"lw+",""), MROUND(SWITCH(CW91,"sq",DA$7,"bn",DB$7,"dl",DC$7,"")*IF(DB91&gt;10, DB91/100, VLOOKUP(DB91, _rpe,SUBSTITUTE(DA91,"+","")+1,0)), IF( SWITCH(CW91,"sq",DA$7,"bn",DB$7,"dl", DC$7,"")&lt; IF(_uom="lbs", 175, 80), 1.25, IF(_uom="lbs",5,2.5))))), "")</f>
        <v/>
      </c>
      <c r="DD91" s="148"/>
      <c r="DE91" s="33"/>
      <c r="DF91" s="171"/>
      <c r="DG91" s="124" t="str">
        <f>IFERROR(__xludf.DUMMYFUNCTION("IF(DC91=MAX(FILTER(DC$10:DC$199,LOOKUP(ROW(CW$10:CW$199),FILTER(ROW(CW$10:CW$199),CW$10:CW$199&lt;&gt;CW$9:CW$198))=LOOKUP(ROW(CW91),FILTER(ROW(CW$10:CW$199),CW$10:CW$199&lt;&gt;CW$9:CW$198)))),DD91,)"),"")</f>
        <v/>
      </c>
      <c r="DH91" s="122"/>
      <c r="DI91" s="33"/>
      <c r="DJ91" s="143" t="str">
        <f t="shared" si="23"/>
        <v/>
      </c>
      <c r="DK91" s="38" t="str">
        <f>IFERROR(__xludf.DUMMYFUNCTION("""COMPUTED_VALUE"""),"")</f>
        <v/>
      </c>
      <c r="DL91" s="144">
        <v>46167.0</v>
      </c>
      <c r="DM91" s="167" t="str">
        <f t="shared" ref="DM91:DN91" si="343">IF(ISBLANK(CY91),"",CY91)</f>
        <v/>
      </c>
      <c r="DN91" s="168" t="str">
        <f t="shared" si="343"/>
        <v/>
      </c>
      <c r="DO91" s="169" t="str">
        <f t="shared" si="341"/>
        <v/>
      </c>
      <c r="DP91" s="172" t="str">
        <f t="shared" si="342"/>
        <v/>
      </c>
      <c r="DQ91" s="171" t="str">
        <f t="array" ref="DQ91">IFERROR(IF(DK91="ac"+ISNUMBER(SEARCH("'",DP91))+DO91="","", IF(ISNUMBER(SEARCH("lw",DP91)), DC91 + SUBSTITUTE(DP91,"lw+",""), MROUND(SWITCH(DK91,"sq",DO$7,"bn",DP$7,"dl",DQ$7,"")*IF(DP91&gt;10, DP91/100, VLOOKUP(DP91, _rpe,SUBSTITUTE(DO91,"+","")+1,0)), IF( SWITCH(DK91,"sq",DO$7,"bn",DP$7,"dl", DQ$7,"")&lt; IF(_uom="lbs", 175, 80), 1.25, IF(_uom="lbs",5,2.5))))), "")</f>
        <v/>
      </c>
      <c r="DR91" s="148"/>
      <c r="DS91" s="33"/>
      <c r="DT91" s="171"/>
      <c r="DU91" s="124" t="str">
        <f>IFERROR(__xludf.DUMMYFUNCTION("IF(DQ91=MAX(FILTER(DQ$10:DQ$199,LOOKUP(ROW(DK$10:DK$199),FILTER(ROW(DK$10:DK$199),DK$10:DK$199&lt;&gt;DK$9:DK$198))=LOOKUP(ROW(DK91),FILTER(ROW(DK$10:DK$199),DK$10:DK$199&lt;&gt;DK$9:DK$198)))),DR91,)"),"")</f>
        <v/>
      </c>
      <c r="DV91" s="122"/>
      <c r="DW91" s="33"/>
      <c r="DX91" s="143"/>
      <c r="DY91" s="38"/>
      <c r="DZ91" s="144"/>
      <c r="EA91" s="150"/>
      <c r="EB91" s="174"/>
      <c r="EC91" s="175"/>
      <c r="ED91" s="176"/>
      <c r="EE91" s="155"/>
      <c r="EF91" s="148"/>
      <c r="EG91" s="33"/>
      <c r="EH91" s="155"/>
      <c r="EI91" s="148"/>
      <c r="EJ91" s="33"/>
      <c r="EK91" s="33"/>
      <c r="EL91" s="143"/>
      <c r="EM91" s="38"/>
      <c r="EN91" s="144"/>
      <c r="EO91" s="150"/>
      <c r="EP91" s="174"/>
      <c r="EQ91" s="175"/>
      <c r="ER91" s="176"/>
      <c r="ES91" s="155"/>
      <c r="ET91" s="148"/>
      <c r="EU91" s="33"/>
      <c r="EV91" s="155"/>
      <c r="EW91" s="148"/>
      <c r="EX91" s="33"/>
      <c r="EY91" s="33"/>
      <c r="EZ91" s="143"/>
      <c r="FA91" s="38"/>
      <c r="FB91" s="144"/>
      <c r="FC91" s="150"/>
      <c r="FD91" s="174"/>
      <c r="FE91" s="175"/>
      <c r="FF91" s="176"/>
      <c r="FG91" s="155"/>
      <c r="FH91" s="148"/>
      <c r="FI91" s="33"/>
      <c r="FJ91" s="155"/>
      <c r="FK91" s="148"/>
      <c r="FL91" s="33"/>
      <c r="FM91" s="33"/>
      <c r="FN91" s="143"/>
      <c r="FO91" s="38"/>
      <c r="FP91" s="144"/>
      <c r="FQ91" s="150"/>
      <c r="FR91" s="174"/>
      <c r="FS91" s="175"/>
      <c r="FT91" s="176"/>
      <c r="FU91" s="155"/>
      <c r="FV91" s="148"/>
      <c r="FW91" s="33"/>
      <c r="FX91" s="155"/>
      <c r="FY91" s="148"/>
      <c r="FZ91" s="33"/>
      <c r="GA91" s="33"/>
      <c r="GB91" s="143"/>
      <c r="GC91" s="38"/>
      <c r="GD91" s="144"/>
      <c r="GE91" s="150"/>
      <c r="GF91" s="174"/>
      <c r="GG91" s="175"/>
      <c r="GH91" s="176"/>
      <c r="GI91" s="155"/>
      <c r="GJ91" s="148"/>
      <c r="GK91" s="33"/>
      <c r="GL91" s="155"/>
      <c r="GM91" s="148"/>
      <c r="GN91" s="33"/>
      <c r="GO91" s="33"/>
      <c r="GP91" s="143"/>
      <c r="GQ91" s="38"/>
      <c r="GR91" s="144"/>
      <c r="GS91" s="150"/>
      <c r="GT91" s="174"/>
      <c r="GU91" s="175"/>
      <c r="GV91" s="176"/>
      <c r="GW91" s="155"/>
      <c r="GX91" s="148"/>
      <c r="GY91" s="33"/>
      <c r="GZ91" s="155"/>
      <c r="HA91" s="148"/>
      <c r="HB91" s="33"/>
      <c r="HC91" s="33"/>
      <c r="HD91" s="143"/>
      <c r="HE91" s="38"/>
      <c r="HF91" s="144"/>
      <c r="HG91" s="150"/>
      <c r="HH91" s="174"/>
      <c r="HI91" s="175"/>
      <c r="HJ91" s="176"/>
      <c r="HK91" s="155"/>
      <c r="HL91" s="148"/>
      <c r="HM91" s="33"/>
      <c r="HN91" s="155"/>
      <c r="HO91" s="148"/>
      <c r="HP91" s="33"/>
      <c r="HQ91" s="33"/>
      <c r="HR91" s="143"/>
      <c r="HS91" s="38"/>
      <c r="HT91" s="144"/>
      <c r="HU91" s="150"/>
      <c r="HV91" s="174"/>
      <c r="HW91" s="175"/>
      <c r="HX91" s="176"/>
      <c r="HY91" s="155"/>
      <c r="HZ91" s="148"/>
      <c r="IA91" s="33"/>
      <c r="IB91" s="155"/>
      <c r="IC91" s="148"/>
      <c r="ID91" s="33"/>
      <c r="IE91" s="33"/>
      <c r="IF91" s="143"/>
      <c r="IG91" s="38"/>
      <c r="IH91" s="144"/>
      <c r="II91" s="150"/>
      <c r="IJ91" s="174"/>
      <c r="IK91" s="175"/>
      <c r="IL91" s="176"/>
      <c r="IM91" s="155"/>
      <c r="IN91" s="148"/>
      <c r="IO91" s="33"/>
      <c r="IP91" s="155"/>
      <c r="IQ91" s="148"/>
      <c r="IR91" s="33"/>
      <c r="IS91" s="33"/>
      <c r="IT91" s="143"/>
      <c r="IU91" s="38"/>
      <c r="IV91" s="144"/>
      <c r="IW91" s="143"/>
      <c r="IX91" s="38"/>
      <c r="IY91" s="144" t="e">
        <v>#REF!</v>
      </c>
    </row>
    <row r="92">
      <c r="A92" s="33"/>
      <c r="B92" s="181"/>
      <c r="C92" s="38" t="str">
        <f>IFERROR(__xludf.DUMMYFUNCTION("""COMPUTED_VALUE"""),"")</f>
        <v/>
      </c>
      <c r="D92" s="144">
        <v>46111.0</v>
      </c>
      <c r="E92" s="167"/>
      <c r="F92" s="168"/>
      <c r="G92" s="169"/>
      <c r="H92" s="170"/>
      <c r="I92" s="171" t="str">
        <f t="array" ref="I92">IFERROR(IF(C92="ac"+ISNUMBER(SEARCH("'",H92))+G92="","", MROUND(SWITCH(C92,"sq",'Personal Info'!$O$15,"bn",'Personal Info'!$S$15,"dl",'Personal Info'!$W$15,"")*IF(H92&gt;10, H92/100, VLOOKUP(H92, _rpe,SUBSTITUTE(G92,"+","")+1,0)), IF( SWITCH(C92:C210,"sq",'Personal Info'!$O$15,"bn",'Personal Info'!$S$15,"dl", 'Personal Info'!$W$15,"")&lt; IF(_uom="lbs", 175, 80), 1.25, IF(_uom="lbs",5,2.5)))),"")</f>
        <v/>
      </c>
      <c r="J92" s="148"/>
      <c r="K92" s="33"/>
      <c r="L92" s="171"/>
      <c r="M92" s="124" t="str">
        <f>IFERROR(__xludf.DUMMYFUNCTION("IF(I92=MAX(FILTER(I$10:I$199,LOOKUP(ROW(C$10:C$199),FILTER(ROW(C$10:C$199),C$10:C$199&lt;&gt;C$9:C$198))=LOOKUP(ROW(C92),FILTER(ROW(C$10:C$199),C$10:C$199&lt;&gt;C$9:C$198)))),J92,)"),"")</f>
        <v/>
      </c>
      <c r="N92" s="122"/>
      <c r="O92" s="33"/>
      <c r="P92" s="143" t="str">
        <f t="shared" si="12"/>
        <v/>
      </c>
      <c r="Q92" s="38" t="str">
        <f>IFERROR(__xludf.DUMMYFUNCTION("""COMPUTED_VALUE"""),"")</f>
        <v/>
      </c>
      <c r="R92" s="144">
        <v>46118.0</v>
      </c>
      <c r="S92" s="167" t="str">
        <f t="shared" si="13"/>
        <v/>
      </c>
      <c r="T92" s="168" t="str">
        <f t="shared" si="319"/>
        <v/>
      </c>
      <c r="U92" s="169" t="str">
        <f t="shared" si="320"/>
        <v/>
      </c>
      <c r="V92" s="172" t="str">
        <f t="shared" si="321"/>
        <v/>
      </c>
      <c r="W92" s="171" t="str">
        <f t="array" ref="W92">IFERROR(IF(Q92="ac"+ISNUMBER(SEARCH("'",V92))+U92="","", IF(ISNUMBER(SEARCH("lw",V92)), I92 + SUBSTITUTE(V92,"lw+",""), MROUND(SWITCH(Q92,"sq",U$7,"bn",V$7,"dl",W$7,"")*IF(V92&gt;10, V92/100, VLOOKUP(V92, _rpe,SUBSTITUTE(U92,"+","")+1,0)), IF( SWITCH(Q92,"sq",U$7,"bn",V$7,"dl", W$7,"")&lt; IF(_uom="lbs", 175, 80), 1.25, IF(_uom="lbs",5,2.5))))), "")</f>
        <v/>
      </c>
      <c r="X92" s="148"/>
      <c r="Y92" s="33"/>
      <c r="Z92" s="171"/>
      <c r="AA92" s="124" t="str">
        <f>IFERROR(__xludf.DUMMYFUNCTION("IF(W92=MAX(FILTER(W$10:W$199,LOOKUP(ROW(Q$10:Q$199),FILTER(ROW(Q$10:Q$199),Q$10:Q$199&lt;&gt;Q$9:Q$198))=LOOKUP(ROW(Q92),FILTER(ROW(Q$10:Q$199),Q$10:Q$199&lt;&gt;Q$9:Q$198)))),X92,)"),"")</f>
        <v/>
      </c>
      <c r="AB92" s="122"/>
      <c r="AC92" s="33"/>
      <c r="AD92" s="143" t="str">
        <f t="shared" si="14"/>
        <v/>
      </c>
      <c r="AE92" s="38" t="str">
        <f>IFERROR(__xludf.DUMMYFUNCTION("""COMPUTED_VALUE"""),"")</f>
        <v/>
      </c>
      <c r="AF92" s="144">
        <v>46125.0</v>
      </c>
      <c r="AG92" s="167" t="str">
        <f t="shared" si="54"/>
        <v/>
      </c>
      <c r="AH92" s="168" t="str">
        <f t="shared" si="322"/>
        <v/>
      </c>
      <c r="AI92" s="169" t="str">
        <f t="shared" si="323"/>
        <v/>
      </c>
      <c r="AJ92" s="172" t="str">
        <f t="shared" si="324"/>
        <v/>
      </c>
      <c r="AK92" s="171" t="str">
        <f t="array" ref="AK92">IFERROR(IF(AE92="ac"+ISNUMBER(SEARCH("'",AJ92))+AI92="","", IF(ISNUMBER(SEARCH("lw",AJ92)), W92 + SUBSTITUTE(AJ92,"lw+",""), MROUND(SWITCH(AE92,"sq",AI$7,"bn",AJ$7,"dl",AK$7,"")*IF(AJ92&gt;10, AJ92/100, VLOOKUP(AJ92, _rpe,SUBSTITUTE(AI92,"+","")+1,0)), IF( SWITCH(AE92,"sq",AI$7,"bn",AJ$7,"dl", AK$7,"")&lt; IF(_uom="lbs", 175, 80), 1.25, IF(_uom="lbs",5,2.5))))), "")</f>
        <v/>
      </c>
      <c r="AL92" s="148"/>
      <c r="AM92" s="33"/>
      <c r="AN92" s="171"/>
      <c r="AO92" s="124" t="str">
        <f>IFERROR(__xludf.DUMMYFUNCTION("IF(AK92=MAX(FILTER(AK$10:AK$199,LOOKUP(ROW(AE$10:AE$199),FILTER(ROW(AE$10:AE$199),AE$10:AE$199&lt;&gt;AE$9:AE$198))=LOOKUP(ROW(AE92),FILTER(ROW(AE$10:AE$199),AE$10:AE$199&lt;&gt;AE$9:AE$198)))),AL92,)"),"")</f>
        <v/>
      </c>
      <c r="AP92" s="122"/>
      <c r="AQ92" s="33"/>
      <c r="AR92" s="143" t="str">
        <f t="shared" si="16"/>
        <v/>
      </c>
      <c r="AS92" s="38" t="str">
        <f>IFERROR(__xludf.DUMMYFUNCTION("""COMPUTED_VALUE"""),"")</f>
        <v/>
      </c>
      <c r="AT92" s="144">
        <v>46132.0</v>
      </c>
      <c r="AU92" s="167" t="str">
        <f t="shared" si="26"/>
        <v/>
      </c>
      <c r="AV92" s="168" t="str">
        <f t="shared" si="325"/>
        <v/>
      </c>
      <c r="AW92" s="169" t="str">
        <f t="shared" si="326"/>
        <v/>
      </c>
      <c r="AX92" s="172" t="str">
        <f t="shared" si="327"/>
        <v/>
      </c>
      <c r="AY92" s="171" t="str">
        <f t="array" ref="AY92">IFERROR(IF(AS92="ac"+ISNUMBER(SEARCH("'",AX92))+AW92="","", IF(ISNUMBER(SEARCH("lw",AX92)), AK92 + SUBSTITUTE(AX92,"lw+",""), MROUND(SWITCH(AS92,"sq",AW$7,"bn",AX$7,"dl",AY$7,"")*IF(AX92&gt;10, AX92/100, VLOOKUP(AX92, _rpe,SUBSTITUTE(AW92,"+","")+1,0)), IF( SWITCH(AS92,"sq",AW$7,"bn",AX$7,"dl", AY$7,"")&lt; IF(_uom="lbs", 175, 80), 1.25, IF(_uom="lbs",5,2.5))))), "")</f>
        <v/>
      </c>
      <c r="AZ92" s="148"/>
      <c r="BA92" s="33"/>
      <c r="BB92" s="171"/>
      <c r="BC92" s="124" t="str">
        <f>IFERROR(__xludf.DUMMYFUNCTION("IF(AY92=MAX(FILTER(AY$10:AY$199,LOOKUP(ROW(AS$10:AS$199),FILTER(ROW(AS$10:AS$199),AS$10:AS$199&lt;&gt;AS$9:AS$198))=LOOKUP(ROW(AS92),FILTER(ROW(AS$10:AS$199),AS$10:AS$199&lt;&gt;AS$9:AS$198)))),AZ92,)"),"")</f>
        <v/>
      </c>
      <c r="BD92" s="122"/>
      <c r="BE92" s="33"/>
      <c r="BF92" s="143" t="str">
        <f t="shared" si="17"/>
        <v/>
      </c>
      <c r="BG92" s="38" t="str">
        <f>IFERROR(__xludf.DUMMYFUNCTION("""COMPUTED_VALUE"""),"")</f>
        <v/>
      </c>
      <c r="BH92" s="144">
        <v>46139.0</v>
      </c>
      <c r="BI92" s="167" t="str">
        <f t="shared" si="18"/>
        <v/>
      </c>
      <c r="BJ92" s="168" t="str">
        <f t="shared" si="328"/>
        <v/>
      </c>
      <c r="BK92" s="169" t="str">
        <f t="shared" si="329"/>
        <v/>
      </c>
      <c r="BL92" s="172" t="str">
        <f t="shared" si="330"/>
        <v/>
      </c>
      <c r="BM92" s="171" t="str">
        <f t="array" ref="BM92">IFERROR(IF(BG92="ac"+ISNUMBER(SEARCH("'",BL92))+BK92="","", IF(ISNUMBER(SEARCH("lw",BL92)), AY92 + SUBSTITUTE(BL92,"lw+",""), MROUND(SWITCH(BG92,"sq",BK$7,"bn",BL$7,"dl",BM$7,"")*IF(BL92&gt;10, BL92/100, VLOOKUP(BL92, _rpe,SUBSTITUTE(BK92,"+","")+1,0)), IF( SWITCH(BG92,"sq",BK$7,"bn",BL$7,"dl", BM$7,"")&lt; IF(_uom="lbs", 175, 80), 1.25, IF(_uom="lbs",5,2.5))))), "")</f>
        <v/>
      </c>
      <c r="BN92" s="148"/>
      <c r="BO92" s="33"/>
      <c r="BP92" s="171"/>
      <c r="BQ92" s="124" t="str">
        <f>IFERROR(__xludf.DUMMYFUNCTION("IF(BM92=MAX(FILTER(BM$10:BM$199,LOOKUP(ROW(BG$10:BG$199),FILTER(ROW(BG$10:BG$199),BG$10:BG$199&lt;&gt;BG$9:BG$198))=LOOKUP(ROW(BG92),FILTER(ROW(BG$10:BG$199),BG$10:BG$199&lt;&gt;BG$9:BG$198)))),BN92,)"),"")</f>
        <v/>
      </c>
      <c r="BR92" s="122"/>
      <c r="BS92" s="33"/>
      <c r="BT92" s="143" t="str">
        <f t="shared" si="19"/>
        <v/>
      </c>
      <c r="BU92" s="38" t="str">
        <f>IFERROR(__xludf.DUMMYFUNCTION("""COMPUTED_VALUE"""),"")</f>
        <v/>
      </c>
      <c r="BV92" s="144">
        <v>46146.0</v>
      </c>
      <c r="BW92" s="167" t="str">
        <f t="shared" si="20"/>
        <v/>
      </c>
      <c r="BX92" s="168" t="str">
        <f t="shared" si="331"/>
        <v/>
      </c>
      <c r="BY92" s="169" t="str">
        <f t="shared" si="332"/>
        <v/>
      </c>
      <c r="BZ92" s="172" t="str">
        <f t="shared" si="333"/>
        <v/>
      </c>
      <c r="CA92" s="171" t="str">
        <f t="array" ref="CA92">IFERROR(IF(BU92="ac"+ISNUMBER(SEARCH("'",BZ92))+BY92="","", IF(ISNUMBER(SEARCH("lw",BZ92)), BM92 + SUBSTITUTE(BZ92,"lw+",""), MROUND(SWITCH(BU92,"sq",BY$7,"bn",BZ$7,"dl",CA$7,"")*IF(BZ92&gt;10, BZ92/100, VLOOKUP(BZ92, _rpe,SUBSTITUTE(BY92,"+","")+1,0)), IF( SWITCH(BU92,"sq",BY$7,"bn",BZ$7,"dl", CA$7,"")&lt; IF(_uom="lbs", 175, 80), 1.25, IF(_uom="lbs",5,2.5))))), "")</f>
        <v/>
      </c>
      <c r="CB92" s="148"/>
      <c r="CC92" s="33"/>
      <c r="CD92" s="171"/>
      <c r="CE92" s="124" t="str">
        <f>IFERROR(__xludf.DUMMYFUNCTION("IF(CA92=MAX(FILTER(CA$10:CA$199,LOOKUP(ROW(BU$10:BU$199),FILTER(ROW(BU$10:BU$199),BU$10:BU$199&lt;&gt;BU$9:BU$198))=LOOKUP(ROW(BU92),FILTER(ROW(BU$10:BU$199),BU$10:BU$199&lt;&gt;BU$9:BU$198)))),CB92,)"),"")</f>
        <v/>
      </c>
      <c r="CF92" s="122"/>
      <c r="CG92" s="33"/>
      <c r="CH92" s="143" t="str">
        <f t="shared" si="21"/>
        <v/>
      </c>
      <c r="CI92" s="38" t="str">
        <f>IFERROR(__xludf.DUMMYFUNCTION("""COMPUTED_VALUE"""),"")</f>
        <v/>
      </c>
      <c r="CJ92" s="144">
        <v>46153.0</v>
      </c>
      <c r="CK92" s="167" t="str">
        <f t="shared" si="27"/>
        <v/>
      </c>
      <c r="CL92" s="168" t="str">
        <f t="shared" si="334"/>
        <v/>
      </c>
      <c r="CM92" s="169" t="str">
        <f t="shared" si="335"/>
        <v/>
      </c>
      <c r="CN92" s="172" t="str">
        <f t="shared" si="336"/>
        <v/>
      </c>
      <c r="CO92" s="171" t="str">
        <f t="array" ref="CO92">IFERROR(IF(CI92="ac"+ISNUMBER(SEARCH("'",CN92))+CM92="","", IF(ISNUMBER(SEARCH("lw",CN92)), CA92 + SUBSTITUTE(CN92,"lw+",""), MROUND(SWITCH(CI92,"sq",CM$7,"bn",CN$7,"dl",CO$7,"")*IF(CN92&gt;10, CN92/100, VLOOKUP(CN92, _rpe,SUBSTITUTE(CM92,"+","")+1,0)), IF( SWITCH(CI92,"sq",CM$7,"bn",CN$7,"dl", CO$7,"")&lt; IF(_uom="lbs", 175, 80), 1.25, IF(_uom="lbs",5,2.5))))), "")</f>
        <v/>
      </c>
      <c r="CP92" s="148"/>
      <c r="CQ92" s="33"/>
      <c r="CR92" s="171"/>
      <c r="CS92" s="124" t="str">
        <f>IFERROR(__xludf.DUMMYFUNCTION("IF(CO92=MAX(FILTER(CO$10:CO$199,LOOKUP(ROW(CI$10:CI$199),FILTER(ROW(CI$10:CI$199),CI$10:CI$199&lt;&gt;CI$9:CI$198))=LOOKUP(ROW(CI92),FILTER(ROW(CI$10:CI$199),CI$10:CI$199&lt;&gt;CI$9:CI$198)))),CP92,)"),"")</f>
        <v/>
      </c>
      <c r="CT92" s="122"/>
      <c r="CU92" s="33"/>
      <c r="CV92" s="143" t="str">
        <f t="shared" si="22"/>
        <v/>
      </c>
      <c r="CW92" s="38" t="str">
        <f>IFERROR(__xludf.DUMMYFUNCTION("""COMPUTED_VALUE"""),"")</f>
        <v/>
      </c>
      <c r="CX92" s="144">
        <v>46160.0</v>
      </c>
      <c r="CY92" s="167" t="str">
        <f t="shared" si="28"/>
        <v/>
      </c>
      <c r="CZ92" s="168" t="str">
        <f t="shared" si="337"/>
        <v/>
      </c>
      <c r="DA92" s="169" t="str">
        <f t="shared" si="338"/>
        <v/>
      </c>
      <c r="DB92" s="172" t="str">
        <f t="shared" si="339"/>
        <v/>
      </c>
      <c r="DC92" s="171" t="str">
        <f t="array" ref="DC92">IFERROR(IF(CW92="ac"+ISNUMBER(SEARCH("'",DB92))+DA92="","", IF(ISNUMBER(SEARCH("lw",DB92)), CO92 + SUBSTITUTE(DB92,"lw+",""), MROUND(SWITCH(CW92,"sq",DA$7,"bn",DB$7,"dl",DC$7,"")*IF(DB92&gt;10, DB92/100, VLOOKUP(DB92, _rpe,SUBSTITUTE(DA92,"+","")+1,0)), IF( SWITCH(CW92,"sq",DA$7,"bn",DB$7,"dl", DC$7,"")&lt; IF(_uom="lbs", 175, 80), 1.25, IF(_uom="lbs",5,2.5))))), "")</f>
        <v/>
      </c>
      <c r="DD92" s="148"/>
      <c r="DE92" s="33"/>
      <c r="DF92" s="171"/>
      <c r="DG92" s="124" t="str">
        <f>IFERROR(__xludf.DUMMYFUNCTION("IF(DC92=MAX(FILTER(DC$10:DC$199,LOOKUP(ROW(CW$10:CW$199),FILTER(ROW(CW$10:CW$199),CW$10:CW$199&lt;&gt;CW$9:CW$198))=LOOKUP(ROW(CW92),FILTER(ROW(CW$10:CW$199),CW$10:CW$199&lt;&gt;CW$9:CW$198)))),DD92,)"),"")</f>
        <v/>
      </c>
      <c r="DH92" s="122"/>
      <c r="DI92" s="33"/>
      <c r="DJ92" s="143" t="str">
        <f t="shared" si="23"/>
        <v/>
      </c>
      <c r="DK92" s="38" t="str">
        <f>IFERROR(__xludf.DUMMYFUNCTION("""COMPUTED_VALUE"""),"")</f>
        <v/>
      </c>
      <c r="DL92" s="144">
        <v>46167.0</v>
      </c>
      <c r="DM92" s="167" t="str">
        <f t="shared" ref="DM92:DN92" si="344">IF(ISBLANK(CY92),"",CY92)</f>
        <v/>
      </c>
      <c r="DN92" s="168" t="str">
        <f t="shared" si="344"/>
        <v/>
      </c>
      <c r="DO92" s="169" t="str">
        <f t="shared" si="341"/>
        <v/>
      </c>
      <c r="DP92" s="172" t="str">
        <f t="shared" si="342"/>
        <v/>
      </c>
      <c r="DQ92" s="171" t="str">
        <f t="array" ref="DQ92">IFERROR(IF(DK92="ac"+ISNUMBER(SEARCH("'",DP92))+DO92="","", IF(ISNUMBER(SEARCH("lw",DP92)), DC92 + SUBSTITUTE(DP92,"lw+",""), MROUND(SWITCH(DK92,"sq",DO$7,"bn",DP$7,"dl",DQ$7,"")*IF(DP92&gt;10, DP92/100, VLOOKUP(DP92, _rpe,SUBSTITUTE(DO92,"+","")+1,0)), IF( SWITCH(DK92,"sq",DO$7,"bn",DP$7,"dl", DQ$7,"")&lt; IF(_uom="lbs", 175, 80), 1.25, IF(_uom="lbs",5,2.5))))), "")</f>
        <v/>
      </c>
      <c r="DR92" s="148"/>
      <c r="DS92" s="33"/>
      <c r="DT92" s="171"/>
      <c r="DU92" s="124" t="str">
        <f>IFERROR(__xludf.DUMMYFUNCTION("IF(DQ92=MAX(FILTER(DQ$10:DQ$199,LOOKUP(ROW(DK$10:DK$199),FILTER(ROW(DK$10:DK$199),DK$10:DK$199&lt;&gt;DK$9:DK$198))=LOOKUP(ROW(DK92),FILTER(ROW(DK$10:DK$199),DK$10:DK$199&lt;&gt;DK$9:DK$198)))),DR92,)"),"")</f>
        <v/>
      </c>
      <c r="DV92" s="122"/>
      <c r="DW92" s="33"/>
      <c r="DX92" s="143"/>
      <c r="DY92" s="38"/>
      <c r="DZ92" s="144"/>
      <c r="EA92" s="150"/>
      <c r="EB92" s="174"/>
      <c r="EC92" s="175"/>
      <c r="ED92" s="176"/>
      <c r="EE92" s="155"/>
      <c r="EF92" s="148"/>
      <c r="EG92" s="33"/>
      <c r="EH92" s="155"/>
      <c r="EI92" s="148"/>
      <c r="EJ92" s="33"/>
      <c r="EK92" s="33"/>
      <c r="EL92" s="143"/>
      <c r="EM92" s="38"/>
      <c r="EN92" s="144"/>
      <c r="EO92" s="150"/>
      <c r="EP92" s="174"/>
      <c r="EQ92" s="175"/>
      <c r="ER92" s="176"/>
      <c r="ES92" s="155"/>
      <c r="ET92" s="148"/>
      <c r="EU92" s="33"/>
      <c r="EV92" s="155"/>
      <c r="EW92" s="148"/>
      <c r="EX92" s="33"/>
      <c r="EY92" s="33"/>
      <c r="EZ92" s="143"/>
      <c r="FA92" s="38"/>
      <c r="FB92" s="144"/>
      <c r="FC92" s="150"/>
      <c r="FD92" s="174"/>
      <c r="FE92" s="175"/>
      <c r="FF92" s="176"/>
      <c r="FG92" s="155"/>
      <c r="FH92" s="148"/>
      <c r="FI92" s="33"/>
      <c r="FJ92" s="155"/>
      <c r="FK92" s="148"/>
      <c r="FL92" s="33"/>
      <c r="FM92" s="33"/>
      <c r="FN92" s="143"/>
      <c r="FO92" s="38"/>
      <c r="FP92" s="144"/>
      <c r="FQ92" s="150"/>
      <c r="FR92" s="174"/>
      <c r="FS92" s="175"/>
      <c r="FT92" s="176"/>
      <c r="FU92" s="155"/>
      <c r="FV92" s="148"/>
      <c r="FW92" s="33"/>
      <c r="FX92" s="155"/>
      <c r="FY92" s="148"/>
      <c r="FZ92" s="33"/>
      <c r="GA92" s="33"/>
      <c r="GB92" s="143"/>
      <c r="GC92" s="38"/>
      <c r="GD92" s="144"/>
      <c r="GE92" s="150"/>
      <c r="GF92" s="174"/>
      <c r="GG92" s="175"/>
      <c r="GH92" s="176"/>
      <c r="GI92" s="155"/>
      <c r="GJ92" s="148"/>
      <c r="GK92" s="33"/>
      <c r="GL92" s="155"/>
      <c r="GM92" s="148"/>
      <c r="GN92" s="33"/>
      <c r="GO92" s="33"/>
      <c r="GP92" s="143"/>
      <c r="GQ92" s="38"/>
      <c r="GR92" s="144"/>
      <c r="GS92" s="150"/>
      <c r="GT92" s="174"/>
      <c r="GU92" s="175"/>
      <c r="GV92" s="176"/>
      <c r="GW92" s="155"/>
      <c r="GX92" s="148"/>
      <c r="GY92" s="33"/>
      <c r="GZ92" s="155"/>
      <c r="HA92" s="148"/>
      <c r="HB92" s="33"/>
      <c r="HC92" s="33"/>
      <c r="HD92" s="143"/>
      <c r="HE92" s="38"/>
      <c r="HF92" s="144"/>
      <c r="HG92" s="150"/>
      <c r="HH92" s="174"/>
      <c r="HI92" s="175"/>
      <c r="HJ92" s="176"/>
      <c r="HK92" s="155"/>
      <c r="HL92" s="148"/>
      <c r="HM92" s="33"/>
      <c r="HN92" s="155"/>
      <c r="HO92" s="148"/>
      <c r="HP92" s="33"/>
      <c r="HQ92" s="33"/>
      <c r="HR92" s="143"/>
      <c r="HS92" s="38"/>
      <c r="HT92" s="144"/>
      <c r="HU92" s="150"/>
      <c r="HV92" s="174"/>
      <c r="HW92" s="175"/>
      <c r="HX92" s="176"/>
      <c r="HY92" s="155"/>
      <c r="HZ92" s="148"/>
      <c r="IA92" s="33"/>
      <c r="IB92" s="155"/>
      <c r="IC92" s="148"/>
      <c r="ID92" s="33"/>
      <c r="IE92" s="33"/>
      <c r="IF92" s="143"/>
      <c r="IG92" s="38"/>
      <c r="IH92" s="144"/>
      <c r="II92" s="150"/>
      <c r="IJ92" s="174"/>
      <c r="IK92" s="175"/>
      <c r="IL92" s="176"/>
      <c r="IM92" s="155"/>
      <c r="IN92" s="148"/>
      <c r="IO92" s="33"/>
      <c r="IP92" s="155"/>
      <c r="IQ92" s="148"/>
      <c r="IR92" s="33"/>
      <c r="IS92" s="33"/>
      <c r="IT92" s="143"/>
      <c r="IU92" s="38"/>
      <c r="IV92" s="144"/>
      <c r="IW92" s="143"/>
      <c r="IX92" s="38"/>
      <c r="IY92" s="144" t="e">
        <v>#REF!</v>
      </c>
    </row>
    <row r="93">
      <c r="A93" s="33"/>
      <c r="B93" s="181"/>
      <c r="C93" s="38" t="str">
        <f>IFERROR(__xludf.DUMMYFUNCTION("""COMPUTED_VALUE"""),"")</f>
        <v/>
      </c>
      <c r="D93" s="144">
        <v>46111.0</v>
      </c>
      <c r="E93" s="167"/>
      <c r="F93" s="168"/>
      <c r="G93" s="169"/>
      <c r="H93" s="170"/>
      <c r="I93" s="171" t="str">
        <f t="array" ref="I93">IFERROR(IF(C93="ac"+ISNUMBER(SEARCH("'",H93))+G93="","", MROUND(SWITCH(C93,"sq",'Personal Info'!$O$15,"bn",'Personal Info'!$S$15,"dl",'Personal Info'!$W$15,"")*IF(H93&gt;10, H93/100, VLOOKUP(H93, _rpe,SUBSTITUTE(G93,"+","")+1,0)), IF( SWITCH(C93:C210,"sq",'Personal Info'!$O$15,"bn",'Personal Info'!$S$15,"dl", 'Personal Info'!$W$15,"")&lt; IF(_uom="lbs", 175, 80), 1.25, IF(_uom="lbs",5,2.5)))),"")</f>
        <v/>
      </c>
      <c r="J93" s="148"/>
      <c r="K93" s="33"/>
      <c r="L93" s="171"/>
      <c r="M93" s="124" t="str">
        <f>IFERROR(__xludf.DUMMYFUNCTION("IF(I93=MAX(FILTER(I$10:I$199,LOOKUP(ROW(C$10:C$199),FILTER(ROW(C$10:C$199),C$10:C$199&lt;&gt;C$9:C$198))=LOOKUP(ROW(C93),FILTER(ROW(C$10:C$199),C$10:C$199&lt;&gt;C$9:C$198)))),J93,)"),"")</f>
        <v/>
      </c>
      <c r="N93" s="122"/>
      <c r="O93" s="33"/>
      <c r="P93" s="143" t="str">
        <f t="shared" si="12"/>
        <v/>
      </c>
      <c r="Q93" s="38" t="str">
        <f>IFERROR(__xludf.DUMMYFUNCTION("""COMPUTED_VALUE"""),"")</f>
        <v/>
      </c>
      <c r="R93" s="144">
        <v>46118.0</v>
      </c>
      <c r="S93" s="167" t="str">
        <f t="shared" si="13"/>
        <v/>
      </c>
      <c r="T93" s="168" t="str">
        <f t="shared" si="319"/>
        <v/>
      </c>
      <c r="U93" s="169" t="str">
        <f t="shared" si="320"/>
        <v/>
      </c>
      <c r="V93" s="172" t="str">
        <f t="shared" si="321"/>
        <v/>
      </c>
      <c r="W93" s="171" t="str">
        <f t="array" ref="W93">IFERROR(IF(Q93="ac"+ISNUMBER(SEARCH("'",V93))+U93="","", IF(ISNUMBER(SEARCH("lw",V93)), I93 + SUBSTITUTE(V93,"lw+",""), MROUND(SWITCH(Q93,"sq",U$7,"bn",V$7,"dl",W$7,"")*IF(V93&gt;10, V93/100, VLOOKUP(V93, _rpe,SUBSTITUTE(U93,"+","")+1,0)), IF( SWITCH(Q93,"sq",U$7,"bn",V$7,"dl", W$7,"")&lt; IF(_uom="lbs", 175, 80), 1.25, IF(_uom="lbs",5,2.5))))), "")</f>
        <v/>
      </c>
      <c r="X93" s="148"/>
      <c r="Y93" s="33"/>
      <c r="Z93" s="171"/>
      <c r="AA93" s="124" t="str">
        <f>IFERROR(__xludf.DUMMYFUNCTION("IF(W93=MAX(FILTER(W$10:W$199,LOOKUP(ROW(Q$10:Q$199),FILTER(ROW(Q$10:Q$199),Q$10:Q$199&lt;&gt;Q$9:Q$198))=LOOKUP(ROW(Q93),FILTER(ROW(Q$10:Q$199),Q$10:Q$199&lt;&gt;Q$9:Q$198)))),X93,)"),"")</f>
        <v/>
      </c>
      <c r="AB93" s="122"/>
      <c r="AC93" s="33"/>
      <c r="AD93" s="143" t="str">
        <f t="shared" si="14"/>
        <v/>
      </c>
      <c r="AE93" s="38" t="str">
        <f>IFERROR(__xludf.DUMMYFUNCTION("""COMPUTED_VALUE"""),"")</f>
        <v/>
      </c>
      <c r="AF93" s="144">
        <v>46125.0</v>
      </c>
      <c r="AG93" s="167" t="str">
        <f t="shared" si="54"/>
        <v/>
      </c>
      <c r="AH93" s="168" t="str">
        <f t="shared" si="322"/>
        <v/>
      </c>
      <c r="AI93" s="169" t="str">
        <f t="shared" si="323"/>
        <v/>
      </c>
      <c r="AJ93" s="172" t="str">
        <f t="shared" si="324"/>
        <v/>
      </c>
      <c r="AK93" s="171" t="str">
        <f t="array" ref="AK93">IFERROR(IF(AE93="ac"+ISNUMBER(SEARCH("'",AJ93))+AI93="","", IF(ISNUMBER(SEARCH("lw",AJ93)), W93 + SUBSTITUTE(AJ93,"lw+",""), MROUND(SWITCH(AE93,"sq",AI$7,"bn",AJ$7,"dl",AK$7,"")*IF(AJ93&gt;10, AJ93/100, VLOOKUP(AJ93, _rpe,SUBSTITUTE(AI93,"+","")+1,0)), IF( SWITCH(AE93,"sq",AI$7,"bn",AJ$7,"dl", AK$7,"")&lt; IF(_uom="lbs", 175, 80), 1.25, IF(_uom="lbs",5,2.5))))), "")</f>
        <v/>
      </c>
      <c r="AL93" s="148"/>
      <c r="AM93" s="33"/>
      <c r="AN93" s="171"/>
      <c r="AO93" s="124" t="str">
        <f>IFERROR(__xludf.DUMMYFUNCTION("IF(AK93=MAX(FILTER(AK$10:AK$199,LOOKUP(ROW(AE$10:AE$199),FILTER(ROW(AE$10:AE$199),AE$10:AE$199&lt;&gt;AE$9:AE$198))=LOOKUP(ROW(AE93),FILTER(ROW(AE$10:AE$199),AE$10:AE$199&lt;&gt;AE$9:AE$198)))),AL93,)"),"")</f>
        <v/>
      </c>
      <c r="AP93" s="122"/>
      <c r="AQ93" s="33"/>
      <c r="AR93" s="143" t="str">
        <f t="shared" si="16"/>
        <v/>
      </c>
      <c r="AS93" s="38" t="str">
        <f>IFERROR(__xludf.DUMMYFUNCTION("""COMPUTED_VALUE"""),"")</f>
        <v/>
      </c>
      <c r="AT93" s="144">
        <v>46132.0</v>
      </c>
      <c r="AU93" s="167" t="str">
        <f t="shared" si="26"/>
        <v/>
      </c>
      <c r="AV93" s="168" t="str">
        <f t="shared" si="325"/>
        <v/>
      </c>
      <c r="AW93" s="169" t="str">
        <f t="shared" si="326"/>
        <v/>
      </c>
      <c r="AX93" s="172" t="str">
        <f t="shared" si="327"/>
        <v/>
      </c>
      <c r="AY93" s="171" t="str">
        <f t="array" ref="AY93">IFERROR(IF(AS93="ac"+ISNUMBER(SEARCH("'",AX93))+AW93="","", IF(ISNUMBER(SEARCH("lw",AX93)), AK93 + SUBSTITUTE(AX93,"lw+",""), MROUND(SWITCH(AS93,"sq",AW$7,"bn",AX$7,"dl",AY$7,"")*IF(AX93&gt;10, AX93/100, VLOOKUP(AX93, _rpe,SUBSTITUTE(AW93,"+","")+1,0)), IF( SWITCH(AS93,"sq",AW$7,"bn",AX$7,"dl", AY$7,"")&lt; IF(_uom="lbs", 175, 80), 1.25, IF(_uom="lbs",5,2.5))))), "")</f>
        <v/>
      </c>
      <c r="AZ93" s="148"/>
      <c r="BA93" s="33"/>
      <c r="BB93" s="171"/>
      <c r="BC93" s="124" t="str">
        <f>IFERROR(__xludf.DUMMYFUNCTION("IF(AY93=MAX(FILTER(AY$10:AY$199,LOOKUP(ROW(AS$10:AS$199),FILTER(ROW(AS$10:AS$199),AS$10:AS$199&lt;&gt;AS$9:AS$198))=LOOKUP(ROW(AS93),FILTER(ROW(AS$10:AS$199),AS$10:AS$199&lt;&gt;AS$9:AS$198)))),AZ93,)"),"")</f>
        <v/>
      </c>
      <c r="BD93" s="122"/>
      <c r="BE93" s="33"/>
      <c r="BF93" s="143" t="str">
        <f t="shared" si="17"/>
        <v/>
      </c>
      <c r="BG93" s="38" t="str">
        <f>IFERROR(__xludf.DUMMYFUNCTION("""COMPUTED_VALUE"""),"")</f>
        <v/>
      </c>
      <c r="BH93" s="144">
        <v>46139.0</v>
      </c>
      <c r="BI93" s="167" t="str">
        <f t="shared" si="18"/>
        <v/>
      </c>
      <c r="BJ93" s="168" t="str">
        <f t="shared" si="328"/>
        <v/>
      </c>
      <c r="BK93" s="169" t="str">
        <f t="shared" si="329"/>
        <v/>
      </c>
      <c r="BL93" s="172" t="str">
        <f t="shared" si="330"/>
        <v/>
      </c>
      <c r="BM93" s="171" t="str">
        <f t="array" ref="BM93">IFERROR(IF(BG93="ac"+ISNUMBER(SEARCH("'",BL93))+BK93="","", IF(ISNUMBER(SEARCH("lw",BL93)), AY93 + SUBSTITUTE(BL93,"lw+",""), MROUND(SWITCH(BG93,"sq",BK$7,"bn",BL$7,"dl",BM$7,"")*IF(BL93&gt;10, BL93/100, VLOOKUP(BL93, _rpe,SUBSTITUTE(BK93,"+","")+1,0)), IF( SWITCH(BG93,"sq",BK$7,"bn",BL$7,"dl", BM$7,"")&lt; IF(_uom="lbs", 175, 80), 1.25, IF(_uom="lbs",5,2.5))))), "")</f>
        <v/>
      </c>
      <c r="BN93" s="148"/>
      <c r="BO93" s="33"/>
      <c r="BP93" s="171"/>
      <c r="BQ93" s="124" t="str">
        <f>IFERROR(__xludf.DUMMYFUNCTION("IF(BM93=MAX(FILTER(BM$10:BM$199,LOOKUP(ROW(BG$10:BG$199),FILTER(ROW(BG$10:BG$199),BG$10:BG$199&lt;&gt;BG$9:BG$198))=LOOKUP(ROW(BG93),FILTER(ROW(BG$10:BG$199),BG$10:BG$199&lt;&gt;BG$9:BG$198)))),BN93,)"),"")</f>
        <v/>
      </c>
      <c r="BR93" s="122"/>
      <c r="BS93" s="33"/>
      <c r="BT93" s="143" t="str">
        <f t="shared" si="19"/>
        <v/>
      </c>
      <c r="BU93" s="38" t="str">
        <f>IFERROR(__xludf.DUMMYFUNCTION("""COMPUTED_VALUE"""),"")</f>
        <v/>
      </c>
      <c r="BV93" s="144">
        <v>46146.0</v>
      </c>
      <c r="BW93" s="167" t="str">
        <f t="shared" si="20"/>
        <v/>
      </c>
      <c r="BX93" s="168" t="str">
        <f t="shared" si="331"/>
        <v/>
      </c>
      <c r="BY93" s="169" t="str">
        <f t="shared" si="332"/>
        <v/>
      </c>
      <c r="BZ93" s="172" t="str">
        <f t="shared" si="333"/>
        <v/>
      </c>
      <c r="CA93" s="171" t="str">
        <f t="array" ref="CA93">IFERROR(IF(BU93="ac"+ISNUMBER(SEARCH("'",BZ93))+BY93="","", IF(ISNUMBER(SEARCH("lw",BZ93)), BM93 + SUBSTITUTE(BZ93,"lw+",""), MROUND(SWITCH(BU93,"sq",BY$7,"bn",BZ$7,"dl",CA$7,"")*IF(BZ93&gt;10, BZ93/100, VLOOKUP(BZ93, _rpe,SUBSTITUTE(BY93,"+","")+1,0)), IF( SWITCH(BU93,"sq",BY$7,"bn",BZ$7,"dl", CA$7,"")&lt; IF(_uom="lbs", 175, 80), 1.25, IF(_uom="lbs",5,2.5))))), "")</f>
        <v/>
      </c>
      <c r="CB93" s="148"/>
      <c r="CC93" s="33"/>
      <c r="CD93" s="171"/>
      <c r="CE93" s="124" t="str">
        <f>IFERROR(__xludf.DUMMYFUNCTION("IF(CA93=MAX(FILTER(CA$10:CA$199,LOOKUP(ROW(BU$10:BU$199),FILTER(ROW(BU$10:BU$199),BU$10:BU$199&lt;&gt;BU$9:BU$198))=LOOKUP(ROW(BU93),FILTER(ROW(BU$10:BU$199),BU$10:BU$199&lt;&gt;BU$9:BU$198)))),CB93,)"),"")</f>
        <v/>
      </c>
      <c r="CF93" s="122"/>
      <c r="CG93" s="33"/>
      <c r="CH93" s="143" t="str">
        <f t="shared" si="21"/>
        <v/>
      </c>
      <c r="CI93" s="38" t="str">
        <f>IFERROR(__xludf.DUMMYFUNCTION("""COMPUTED_VALUE"""),"")</f>
        <v/>
      </c>
      <c r="CJ93" s="144">
        <v>46153.0</v>
      </c>
      <c r="CK93" s="167" t="str">
        <f t="shared" si="27"/>
        <v/>
      </c>
      <c r="CL93" s="168" t="str">
        <f t="shared" si="334"/>
        <v/>
      </c>
      <c r="CM93" s="169" t="str">
        <f t="shared" si="335"/>
        <v/>
      </c>
      <c r="CN93" s="172" t="str">
        <f t="shared" si="336"/>
        <v/>
      </c>
      <c r="CO93" s="171" t="str">
        <f t="array" ref="CO93">IFERROR(IF(CI93="ac"+ISNUMBER(SEARCH("'",CN93))+CM93="","", IF(ISNUMBER(SEARCH("lw",CN93)), CA93 + SUBSTITUTE(CN93,"lw+",""), MROUND(SWITCH(CI93,"sq",CM$7,"bn",CN$7,"dl",CO$7,"")*IF(CN93&gt;10, CN93/100, VLOOKUP(CN93, _rpe,SUBSTITUTE(CM93,"+","")+1,0)), IF( SWITCH(CI93,"sq",CM$7,"bn",CN$7,"dl", CO$7,"")&lt; IF(_uom="lbs", 175, 80), 1.25, IF(_uom="lbs",5,2.5))))), "")</f>
        <v/>
      </c>
      <c r="CP93" s="148"/>
      <c r="CQ93" s="33"/>
      <c r="CR93" s="171"/>
      <c r="CS93" s="124" t="str">
        <f>IFERROR(__xludf.DUMMYFUNCTION("IF(CO93=MAX(FILTER(CO$10:CO$199,LOOKUP(ROW(CI$10:CI$199),FILTER(ROW(CI$10:CI$199),CI$10:CI$199&lt;&gt;CI$9:CI$198))=LOOKUP(ROW(CI93),FILTER(ROW(CI$10:CI$199),CI$10:CI$199&lt;&gt;CI$9:CI$198)))),CP93,)"),"")</f>
        <v/>
      </c>
      <c r="CT93" s="122"/>
      <c r="CU93" s="33"/>
      <c r="CV93" s="143" t="str">
        <f t="shared" si="22"/>
        <v/>
      </c>
      <c r="CW93" s="38" t="str">
        <f>IFERROR(__xludf.DUMMYFUNCTION("""COMPUTED_VALUE"""),"")</f>
        <v/>
      </c>
      <c r="CX93" s="144">
        <v>46160.0</v>
      </c>
      <c r="CY93" s="167" t="str">
        <f t="shared" si="28"/>
        <v/>
      </c>
      <c r="CZ93" s="168" t="str">
        <f t="shared" si="337"/>
        <v/>
      </c>
      <c r="DA93" s="169" t="str">
        <f t="shared" si="338"/>
        <v/>
      </c>
      <c r="DB93" s="172" t="str">
        <f t="shared" si="339"/>
        <v/>
      </c>
      <c r="DC93" s="171" t="str">
        <f t="array" ref="DC93">IFERROR(IF(CW93="ac"+ISNUMBER(SEARCH("'",DB93))+DA93="","", IF(ISNUMBER(SEARCH("lw",DB93)), CO93 + SUBSTITUTE(DB93,"lw+",""), MROUND(SWITCH(CW93,"sq",DA$7,"bn",DB$7,"dl",DC$7,"")*IF(DB93&gt;10, DB93/100, VLOOKUP(DB93, _rpe,SUBSTITUTE(DA93,"+","")+1,0)), IF( SWITCH(CW93,"sq",DA$7,"bn",DB$7,"dl", DC$7,"")&lt; IF(_uom="lbs", 175, 80), 1.25, IF(_uom="lbs",5,2.5))))), "")</f>
        <v/>
      </c>
      <c r="DD93" s="148"/>
      <c r="DE93" s="33"/>
      <c r="DF93" s="171"/>
      <c r="DG93" s="124" t="str">
        <f>IFERROR(__xludf.DUMMYFUNCTION("IF(DC93=MAX(FILTER(DC$10:DC$199,LOOKUP(ROW(CW$10:CW$199),FILTER(ROW(CW$10:CW$199),CW$10:CW$199&lt;&gt;CW$9:CW$198))=LOOKUP(ROW(CW93),FILTER(ROW(CW$10:CW$199),CW$10:CW$199&lt;&gt;CW$9:CW$198)))),DD93,)"),"")</f>
        <v/>
      </c>
      <c r="DH93" s="122"/>
      <c r="DI93" s="33"/>
      <c r="DJ93" s="143" t="str">
        <f t="shared" si="23"/>
        <v/>
      </c>
      <c r="DK93" s="38" t="str">
        <f>IFERROR(__xludf.DUMMYFUNCTION("""COMPUTED_VALUE"""),"")</f>
        <v/>
      </c>
      <c r="DL93" s="144">
        <v>46167.0</v>
      </c>
      <c r="DM93" s="167" t="str">
        <f t="shared" ref="DM93:DN93" si="345">IF(ISBLANK(CY93),"",CY93)</f>
        <v/>
      </c>
      <c r="DN93" s="168" t="str">
        <f t="shared" si="345"/>
        <v/>
      </c>
      <c r="DO93" s="169" t="str">
        <f t="shared" si="341"/>
        <v/>
      </c>
      <c r="DP93" s="172" t="str">
        <f t="shared" si="342"/>
        <v/>
      </c>
      <c r="DQ93" s="171" t="str">
        <f t="array" ref="DQ93">IFERROR(IF(DK93="ac"+ISNUMBER(SEARCH("'",DP93))+DO93="","", IF(ISNUMBER(SEARCH("lw",DP93)), DC93 + SUBSTITUTE(DP93,"lw+",""), MROUND(SWITCH(DK93,"sq",DO$7,"bn",DP$7,"dl",DQ$7,"")*IF(DP93&gt;10, DP93/100, VLOOKUP(DP93, _rpe,SUBSTITUTE(DO93,"+","")+1,0)), IF( SWITCH(DK93,"sq",DO$7,"bn",DP$7,"dl", DQ$7,"")&lt; IF(_uom="lbs", 175, 80), 1.25, IF(_uom="lbs",5,2.5))))), "")</f>
        <v/>
      </c>
      <c r="DR93" s="148"/>
      <c r="DS93" s="33"/>
      <c r="DT93" s="171"/>
      <c r="DU93" s="124" t="str">
        <f>IFERROR(__xludf.DUMMYFUNCTION("IF(DQ93=MAX(FILTER(DQ$10:DQ$199,LOOKUP(ROW(DK$10:DK$199),FILTER(ROW(DK$10:DK$199),DK$10:DK$199&lt;&gt;DK$9:DK$198))=LOOKUP(ROW(DK93),FILTER(ROW(DK$10:DK$199),DK$10:DK$199&lt;&gt;DK$9:DK$198)))),DR93,)"),"")</f>
        <v/>
      </c>
      <c r="DV93" s="122"/>
      <c r="DW93" s="33"/>
      <c r="DX93" s="143"/>
      <c r="DY93" s="38"/>
      <c r="DZ93" s="144"/>
      <c r="EA93" s="150"/>
      <c r="EB93" s="174"/>
      <c r="EC93" s="175"/>
      <c r="ED93" s="176"/>
      <c r="EE93" s="155"/>
      <c r="EF93" s="148"/>
      <c r="EG93" s="33"/>
      <c r="EH93" s="155"/>
      <c r="EI93" s="148"/>
      <c r="EJ93" s="33"/>
      <c r="EK93" s="33"/>
      <c r="EL93" s="143"/>
      <c r="EM93" s="38"/>
      <c r="EN93" s="144"/>
      <c r="EO93" s="150"/>
      <c r="EP93" s="174"/>
      <c r="EQ93" s="175"/>
      <c r="ER93" s="176"/>
      <c r="ES93" s="155"/>
      <c r="ET93" s="148"/>
      <c r="EU93" s="33"/>
      <c r="EV93" s="155"/>
      <c r="EW93" s="148"/>
      <c r="EX93" s="33"/>
      <c r="EY93" s="33"/>
      <c r="EZ93" s="143"/>
      <c r="FA93" s="38"/>
      <c r="FB93" s="144"/>
      <c r="FC93" s="150"/>
      <c r="FD93" s="174"/>
      <c r="FE93" s="175"/>
      <c r="FF93" s="176"/>
      <c r="FG93" s="155"/>
      <c r="FH93" s="148"/>
      <c r="FI93" s="33"/>
      <c r="FJ93" s="155"/>
      <c r="FK93" s="148"/>
      <c r="FL93" s="33"/>
      <c r="FM93" s="33"/>
      <c r="FN93" s="143"/>
      <c r="FO93" s="38"/>
      <c r="FP93" s="144"/>
      <c r="FQ93" s="150"/>
      <c r="FR93" s="174"/>
      <c r="FS93" s="175"/>
      <c r="FT93" s="176"/>
      <c r="FU93" s="155"/>
      <c r="FV93" s="148"/>
      <c r="FW93" s="33"/>
      <c r="FX93" s="155"/>
      <c r="FY93" s="148"/>
      <c r="FZ93" s="33"/>
      <c r="GA93" s="33"/>
      <c r="GB93" s="143"/>
      <c r="GC93" s="38"/>
      <c r="GD93" s="144"/>
      <c r="GE93" s="150"/>
      <c r="GF93" s="174"/>
      <c r="GG93" s="175"/>
      <c r="GH93" s="176"/>
      <c r="GI93" s="155"/>
      <c r="GJ93" s="148"/>
      <c r="GK93" s="33"/>
      <c r="GL93" s="155"/>
      <c r="GM93" s="148"/>
      <c r="GN93" s="33"/>
      <c r="GO93" s="33"/>
      <c r="GP93" s="143"/>
      <c r="GQ93" s="38"/>
      <c r="GR93" s="144"/>
      <c r="GS93" s="150"/>
      <c r="GT93" s="174"/>
      <c r="GU93" s="175"/>
      <c r="GV93" s="176"/>
      <c r="GW93" s="155"/>
      <c r="GX93" s="148"/>
      <c r="GY93" s="33"/>
      <c r="GZ93" s="155"/>
      <c r="HA93" s="148"/>
      <c r="HB93" s="33"/>
      <c r="HC93" s="33"/>
      <c r="HD93" s="143"/>
      <c r="HE93" s="38"/>
      <c r="HF93" s="144"/>
      <c r="HG93" s="150"/>
      <c r="HH93" s="174"/>
      <c r="HI93" s="175"/>
      <c r="HJ93" s="176"/>
      <c r="HK93" s="155"/>
      <c r="HL93" s="148"/>
      <c r="HM93" s="33"/>
      <c r="HN93" s="155"/>
      <c r="HO93" s="148"/>
      <c r="HP93" s="33"/>
      <c r="HQ93" s="33"/>
      <c r="HR93" s="143"/>
      <c r="HS93" s="38"/>
      <c r="HT93" s="144"/>
      <c r="HU93" s="150"/>
      <c r="HV93" s="174"/>
      <c r="HW93" s="175"/>
      <c r="HX93" s="176"/>
      <c r="HY93" s="155"/>
      <c r="HZ93" s="148"/>
      <c r="IA93" s="33"/>
      <c r="IB93" s="155"/>
      <c r="IC93" s="148"/>
      <c r="ID93" s="33"/>
      <c r="IE93" s="33"/>
      <c r="IF93" s="143"/>
      <c r="IG93" s="38"/>
      <c r="IH93" s="144"/>
      <c r="II93" s="150"/>
      <c r="IJ93" s="174"/>
      <c r="IK93" s="175"/>
      <c r="IL93" s="176"/>
      <c r="IM93" s="155"/>
      <c r="IN93" s="148"/>
      <c r="IO93" s="33"/>
      <c r="IP93" s="155"/>
      <c r="IQ93" s="148"/>
      <c r="IR93" s="33"/>
      <c r="IS93" s="33"/>
      <c r="IT93" s="143"/>
      <c r="IU93" s="38"/>
      <c r="IV93" s="144"/>
      <c r="IW93" s="143"/>
      <c r="IX93" s="38"/>
      <c r="IY93" s="144" t="e">
        <v>#REF!</v>
      </c>
    </row>
    <row r="94">
      <c r="A94" s="33"/>
      <c r="B94" s="181"/>
      <c r="C94" s="38" t="str">
        <f>IFERROR(__xludf.DUMMYFUNCTION("""COMPUTED_VALUE"""),"")</f>
        <v/>
      </c>
      <c r="D94" s="144">
        <v>46111.0</v>
      </c>
      <c r="E94" s="167"/>
      <c r="F94" s="168"/>
      <c r="G94" s="169"/>
      <c r="H94" s="170"/>
      <c r="I94" s="171" t="str">
        <f t="array" ref="I94">IFERROR(IF(C94="ac"+ISNUMBER(SEARCH("'",H94))+G94="","", MROUND(SWITCH(C94,"sq",'Personal Info'!$O$15,"bn",'Personal Info'!$S$15,"dl",'Personal Info'!$W$15,"")*IF(H94&gt;10, H94/100, VLOOKUP(H94, _rpe,SUBSTITUTE(G94,"+","")+1,0)), IF( SWITCH(C94:C210,"sq",'Personal Info'!$O$15,"bn",'Personal Info'!$S$15,"dl", 'Personal Info'!$W$15,"")&lt; IF(_uom="lbs", 175, 80), 1.25, IF(_uom="lbs",5,2.5)))),"")</f>
        <v/>
      </c>
      <c r="J94" s="148"/>
      <c r="K94" s="33"/>
      <c r="L94" s="171"/>
      <c r="M94" s="124" t="str">
        <f>IFERROR(__xludf.DUMMYFUNCTION("IF(I94=MAX(FILTER(I$10:I$199,LOOKUP(ROW(C$10:C$199),FILTER(ROW(C$10:C$199),C$10:C$199&lt;&gt;C$9:C$198))=LOOKUP(ROW(C94),FILTER(ROW(C$10:C$199),C$10:C$199&lt;&gt;C$9:C$198)))),J94,)"),"")</f>
        <v/>
      </c>
      <c r="N94" s="122"/>
      <c r="O94" s="33"/>
      <c r="P94" s="143" t="str">
        <f t="shared" si="12"/>
        <v/>
      </c>
      <c r="Q94" s="38" t="str">
        <f>IFERROR(__xludf.DUMMYFUNCTION("""COMPUTED_VALUE"""),"")</f>
        <v/>
      </c>
      <c r="R94" s="144">
        <v>46118.0</v>
      </c>
      <c r="S94" s="167" t="str">
        <f t="shared" si="13"/>
        <v/>
      </c>
      <c r="T94" s="168" t="str">
        <f t="shared" si="319"/>
        <v/>
      </c>
      <c r="U94" s="169" t="str">
        <f t="shared" si="320"/>
        <v/>
      </c>
      <c r="V94" s="172" t="str">
        <f t="shared" si="321"/>
        <v/>
      </c>
      <c r="W94" s="171" t="str">
        <f t="array" ref="W94">IFERROR(IF(Q94="ac"+ISNUMBER(SEARCH("'",V94))+U94="","", IF(ISNUMBER(SEARCH("lw",V94)), I94 + SUBSTITUTE(V94,"lw+",""), MROUND(SWITCH(Q94,"sq",U$7,"bn",V$7,"dl",W$7,"")*IF(V94&gt;10, V94/100, VLOOKUP(V94, _rpe,SUBSTITUTE(U94,"+","")+1,0)), IF( SWITCH(Q94,"sq",U$7,"bn",V$7,"dl", W$7,"")&lt; IF(_uom="lbs", 175, 80), 1.25, IF(_uom="lbs",5,2.5))))), "")</f>
        <v/>
      </c>
      <c r="X94" s="148"/>
      <c r="Y94" s="33"/>
      <c r="Z94" s="171"/>
      <c r="AA94" s="124" t="str">
        <f>IFERROR(__xludf.DUMMYFUNCTION("IF(W94=MAX(FILTER(W$10:W$199,LOOKUP(ROW(Q$10:Q$199),FILTER(ROW(Q$10:Q$199),Q$10:Q$199&lt;&gt;Q$9:Q$198))=LOOKUP(ROW(Q94),FILTER(ROW(Q$10:Q$199),Q$10:Q$199&lt;&gt;Q$9:Q$198)))),X94,)"),"")</f>
        <v/>
      </c>
      <c r="AB94" s="122"/>
      <c r="AC94" s="33"/>
      <c r="AD94" s="143" t="str">
        <f t="shared" si="14"/>
        <v/>
      </c>
      <c r="AE94" s="38" t="str">
        <f>IFERROR(__xludf.DUMMYFUNCTION("""COMPUTED_VALUE"""),"")</f>
        <v/>
      </c>
      <c r="AF94" s="144">
        <v>46125.0</v>
      </c>
      <c r="AG94" s="167" t="str">
        <f t="shared" si="54"/>
        <v/>
      </c>
      <c r="AH94" s="168" t="str">
        <f t="shared" si="322"/>
        <v/>
      </c>
      <c r="AI94" s="169" t="str">
        <f t="shared" si="323"/>
        <v/>
      </c>
      <c r="AJ94" s="172" t="str">
        <f t="shared" si="324"/>
        <v/>
      </c>
      <c r="AK94" s="171" t="str">
        <f t="array" ref="AK94">IFERROR(IF(AE94="ac"+ISNUMBER(SEARCH("'",AJ94))+AI94="","", IF(ISNUMBER(SEARCH("lw",AJ94)), W94 + SUBSTITUTE(AJ94,"lw+",""), MROUND(SWITCH(AE94,"sq",AI$7,"bn",AJ$7,"dl",AK$7,"")*IF(AJ94&gt;10, AJ94/100, VLOOKUP(AJ94, _rpe,SUBSTITUTE(AI94,"+","")+1,0)), IF( SWITCH(AE94,"sq",AI$7,"bn",AJ$7,"dl", AK$7,"")&lt; IF(_uom="lbs", 175, 80), 1.25, IF(_uom="lbs",5,2.5))))), "")</f>
        <v/>
      </c>
      <c r="AL94" s="148"/>
      <c r="AM94" s="33"/>
      <c r="AN94" s="171"/>
      <c r="AO94" s="124" t="str">
        <f>IFERROR(__xludf.DUMMYFUNCTION("IF(AK94=MAX(FILTER(AK$10:AK$199,LOOKUP(ROW(AE$10:AE$199),FILTER(ROW(AE$10:AE$199),AE$10:AE$199&lt;&gt;AE$9:AE$198))=LOOKUP(ROW(AE94),FILTER(ROW(AE$10:AE$199),AE$10:AE$199&lt;&gt;AE$9:AE$198)))),AL94,)"),"")</f>
        <v/>
      </c>
      <c r="AP94" s="122"/>
      <c r="AQ94" s="33"/>
      <c r="AR94" s="143" t="str">
        <f t="shared" si="16"/>
        <v/>
      </c>
      <c r="AS94" s="38" t="str">
        <f>IFERROR(__xludf.DUMMYFUNCTION("""COMPUTED_VALUE"""),"")</f>
        <v/>
      </c>
      <c r="AT94" s="144">
        <v>46132.0</v>
      </c>
      <c r="AU94" s="167" t="str">
        <f t="shared" si="26"/>
        <v/>
      </c>
      <c r="AV94" s="168" t="str">
        <f t="shared" si="325"/>
        <v/>
      </c>
      <c r="AW94" s="169" t="str">
        <f t="shared" si="326"/>
        <v/>
      </c>
      <c r="AX94" s="172" t="str">
        <f t="shared" si="327"/>
        <v/>
      </c>
      <c r="AY94" s="171" t="str">
        <f t="array" ref="AY94">IFERROR(IF(AS94="ac"+ISNUMBER(SEARCH("'",AX94))+AW94="","", IF(ISNUMBER(SEARCH("lw",AX94)), AK94 + SUBSTITUTE(AX94,"lw+",""), MROUND(SWITCH(AS94,"sq",AW$7,"bn",AX$7,"dl",AY$7,"")*IF(AX94&gt;10, AX94/100, VLOOKUP(AX94, _rpe,SUBSTITUTE(AW94,"+","")+1,0)), IF( SWITCH(AS94,"sq",AW$7,"bn",AX$7,"dl", AY$7,"")&lt; IF(_uom="lbs", 175, 80), 1.25, IF(_uom="lbs",5,2.5))))), "")</f>
        <v/>
      </c>
      <c r="AZ94" s="148"/>
      <c r="BA94" s="33"/>
      <c r="BB94" s="171"/>
      <c r="BC94" s="124" t="str">
        <f>IFERROR(__xludf.DUMMYFUNCTION("IF(AY94=MAX(FILTER(AY$10:AY$199,LOOKUP(ROW(AS$10:AS$199),FILTER(ROW(AS$10:AS$199),AS$10:AS$199&lt;&gt;AS$9:AS$198))=LOOKUP(ROW(AS94),FILTER(ROW(AS$10:AS$199),AS$10:AS$199&lt;&gt;AS$9:AS$198)))),AZ94,)"),"")</f>
        <v/>
      </c>
      <c r="BD94" s="122"/>
      <c r="BE94" s="33"/>
      <c r="BF94" s="143" t="str">
        <f t="shared" si="17"/>
        <v/>
      </c>
      <c r="BG94" s="38" t="str">
        <f>IFERROR(__xludf.DUMMYFUNCTION("""COMPUTED_VALUE"""),"")</f>
        <v/>
      </c>
      <c r="BH94" s="144">
        <v>46139.0</v>
      </c>
      <c r="BI94" s="167" t="str">
        <f t="shared" si="18"/>
        <v/>
      </c>
      <c r="BJ94" s="168" t="str">
        <f t="shared" si="328"/>
        <v/>
      </c>
      <c r="BK94" s="169" t="str">
        <f t="shared" si="329"/>
        <v/>
      </c>
      <c r="BL94" s="172" t="str">
        <f t="shared" si="330"/>
        <v/>
      </c>
      <c r="BM94" s="171" t="str">
        <f t="array" ref="BM94">IFERROR(IF(BG94="ac"+ISNUMBER(SEARCH("'",BL94))+BK94="","", IF(ISNUMBER(SEARCH("lw",BL94)), AY94 + SUBSTITUTE(BL94,"lw+",""), MROUND(SWITCH(BG94,"sq",BK$7,"bn",BL$7,"dl",BM$7,"")*IF(BL94&gt;10, BL94/100, VLOOKUP(BL94, _rpe,SUBSTITUTE(BK94,"+","")+1,0)), IF( SWITCH(BG94,"sq",BK$7,"bn",BL$7,"dl", BM$7,"")&lt; IF(_uom="lbs", 175, 80), 1.25, IF(_uom="lbs",5,2.5))))), "")</f>
        <v/>
      </c>
      <c r="BN94" s="148"/>
      <c r="BO94" s="33"/>
      <c r="BP94" s="171"/>
      <c r="BQ94" s="124" t="str">
        <f>IFERROR(__xludf.DUMMYFUNCTION("IF(BM94=MAX(FILTER(BM$10:BM$199,LOOKUP(ROW(BG$10:BG$199),FILTER(ROW(BG$10:BG$199),BG$10:BG$199&lt;&gt;BG$9:BG$198))=LOOKUP(ROW(BG94),FILTER(ROW(BG$10:BG$199),BG$10:BG$199&lt;&gt;BG$9:BG$198)))),BN94,)"),"")</f>
        <v/>
      </c>
      <c r="BR94" s="122"/>
      <c r="BS94" s="33"/>
      <c r="BT94" s="143" t="str">
        <f t="shared" si="19"/>
        <v/>
      </c>
      <c r="BU94" s="38" t="str">
        <f>IFERROR(__xludf.DUMMYFUNCTION("""COMPUTED_VALUE"""),"")</f>
        <v/>
      </c>
      <c r="BV94" s="144">
        <v>46146.0</v>
      </c>
      <c r="BW94" s="167" t="str">
        <f t="shared" si="20"/>
        <v/>
      </c>
      <c r="BX94" s="168" t="str">
        <f t="shared" si="331"/>
        <v/>
      </c>
      <c r="BY94" s="169" t="str">
        <f t="shared" si="332"/>
        <v/>
      </c>
      <c r="BZ94" s="172" t="str">
        <f t="shared" si="333"/>
        <v/>
      </c>
      <c r="CA94" s="171" t="str">
        <f t="array" ref="CA94">IFERROR(IF(BU94="ac"+ISNUMBER(SEARCH("'",BZ94))+BY94="","", IF(ISNUMBER(SEARCH("lw",BZ94)), BM94 + SUBSTITUTE(BZ94,"lw+",""), MROUND(SWITCH(BU94,"sq",BY$7,"bn",BZ$7,"dl",CA$7,"")*IF(BZ94&gt;10, BZ94/100, VLOOKUP(BZ94, _rpe,SUBSTITUTE(BY94,"+","")+1,0)), IF( SWITCH(BU94,"sq",BY$7,"bn",BZ$7,"dl", CA$7,"")&lt; IF(_uom="lbs", 175, 80), 1.25, IF(_uom="lbs",5,2.5))))), "")</f>
        <v/>
      </c>
      <c r="CB94" s="148"/>
      <c r="CC94" s="33"/>
      <c r="CD94" s="171"/>
      <c r="CE94" s="124" t="str">
        <f>IFERROR(__xludf.DUMMYFUNCTION("IF(CA94=MAX(FILTER(CA$10:CA$199,LOOKUP(ROW(BU$10:BU$199),FILTER(ROW(BU$10:BU$199),BU$10:BU$199&lt;&gt;BU$9:BU$198))=LOOKUP(ROW(BU94),FILTER(ROW(BU$10:BU$199),BU$10:BU$199&lt;&gt;BU$9:BU$198)))),CB94,)"),"")</f>
        <v/>
      </c>
      <c r="CF94" s="122"/>
      <c r="CG94" s="33"/>
      <c r="CH94" s="143" t="str">
        <f t="shared" si="21"/>
        <v/>
      </c>
      <c r="CI94" s="38" t="str">
        <f>IFERROR(__xludf.DUMMYFUNCTION("""COMPUTED_VALUE"""),"")</f>
        <v/>
      </c>
      <c r="CJ94" s="144">
        <v>46153.0</v>
      </c>
      <c r="CK94" s="167" t="str">
        <f t="shared" si="27"/>
        <v/>
      </c>
      <c r="CL94" s="168" t="str">
        <f t="shared" si="334"/>
        <v/>
      </c>
      <c r="CM94" s="169" t="str">
        <f t="shared" si="335"/>
        <v/>
      </c>
      <c r="CN94" s="172" t="str">
        <f t="shared" si="336"/>
        <v/>
      </c>
      <c r="CO94" s="171" t="str">
        <f t="array" ref="CO94">IFERROR(IF(CI94="ac"+ISNUMBER(SEARCH("'",CN94))+CM94="","", IF(ISNUMBER(SEARCH("lw",CN94)), CA94 + SUBSTITUTE(CN94,"lw+",""), MROUND(SWITCH(CI94,"sq",CM$7,"bn",CN$7,"dl",CO$7,"")*IF(CN94&gt;10, CN94/100, VLOOKUP(CN94, _rpe,SUBSTITUTE(CM94,"+","")+1,0)), IF( SWITCH(CI94,"sq",CM$7,"bn",CN$7,"dl", CO$7,"")&lt; IF(_uom="lbs", 175, 80), 1.25, IF(_uom="lbs",5,2.5))))), "")</f>
        <v/>
      </c>
      <c r="CP94" s="148"/>
      <c r="CQ94" s="33"/>
      <c r="CR94" s="171"/>
      <c r="CS94" s="124" t="str">
        <f>IFERROR(__xludf.DUMMYFUNCTION("IF(CO94=MAX(FILTER(CO$10:CO$199,LOOKUP(ROW(CI$10:CI$199),FILTER(ROW(CI$10:CI$199),CI$10:CI$199&lt;&gt;CI$9:CI$198))=LOOKUP(ROW(CI94),FILTER(ROW(CI$10:CI$199),CI$10:CI$199&lt;&gt;CI$9:CI$198)))),CP94,)"),"")</f>
        <v/>
      </c>
      <c r="CT94" s="122"/>
      <c r="CU94" s="33"/>
      <c r="CV94" s="143" t="str">
        <f t="shared" si="22"/>
        <v/>
      </c>
      <c r="CW94" s="38" t="str">
        <f>IFERROR(__xludf.DUMMYFUNCTION("""COMPUTED_VALUE"""),"")</f>
        <v/>
      </c>
      <c r="CX94" s="144">
        <v>46160.0</v>
      </c>
      <c r="CY94" s="167" t="str">
        <f t="shared" si="28"/>
        <v/>
      </c>
      <c r="CZ94" s="168" t="str">
        <f t="shared" si="337"/>
        <v/>
      </c>
      <c r="DA94" s="169" t="str">
        <f t="shared" si="338"/>
        <v/>
      </c>
      <c r="DB94" s="172" t="str">
        <f t="shared" si="339"/>
        <v/>
      </c>
      <c r="DC94" s="171" t="str">
        <f t="array" ref="DC94">IFERROR(IF(CW94="ac"+ISNUMBER(SEARCH("'",DB94))+DA94="","", IF(ISNUMBER(SEARCH("lw",DB94)), CO94 + SUBSTITUTE(DB94,"lw+",""), MROUND(SWITCH(CW94,"sq",DA$7,"bn",DB$7,"dl",DC$7,"")*IF(DB94&gt;10, DB94/100, VLOOKUP(DB94, _rpe,SUBSTITUTE(DA94,"+","")+1,0)), IF( SWITCH(CW94,"sq",DA$7,"bn",DB$7,"dl", DC$7,"")&lt; IF(_uom="lbs", 175, 80), 1.25, IF(_uom="lbs",5,2.5))))), "")</f>
        <v/>
      </c>
      <c r="DD94" s="148"/>
      <c r="DE94" s="33"/>
      <c r="DF94" s="171"/>
      <c r="DG94" s="124" t="str">
        <f>IFERROR(__xludf.DUMMYFUNCTION("IF(DC94=MAX(FILTER(DC$10:DC$199,LOOKUP(ROW(CW$10:CW$199),FILTER(ROW(CW$10:CW$199),CW$10:CW$199&lt;&gt;CW$9:CW$198))=LOOKUP(ROW(CW94),FILTER(ROW(CW$10:CW$199),CW$10:CW$199&lt;&gt;CW$9:CW$198)))),DD94,)"),"")</f>
        <v/>
      </c>
      <c r="DH94" s="122"/>
      <c r="DI94" s="33"/>
      <c r="DJ94" s="143" t="str">
        <f t="shared" si="23"/>
        <v/>
      </c>
      <c r="DK94" s="38" t="str">
        <f>IFERROR(__xludf.DUMMYFUNCTION("""COMPUTED_VALUE"""),"")</f>
        <v/>
      </c>
      <c r="DL94" s="144">
        <v>46167.0</v>
      </c>
      <c r="DM94" s="167" t="str">
        <f t="shared" ref="DM94:DN94" si="346">IF(ISBLANK(CY94),"",CY94)</f>
        <v/>
      </c>
      <c r="DN94" s="168" t="str">
        <f t="shared" si="346"/>
        <v/>
      </c>
      <c r="DO94" s="169" t="str">
        <f t="shared" si="341"/>
        <v/>
      </c>
      <c r="DP94" s="172" t="str">
        <f t="shared" si="342"/>
        <v/>
      </c>
      <c r="DQ94" s="171" t="str">
        <f t="array" ref="DQ94">IFERROR(IF(DK94="ac"+ISNUMBER(SEARCH("'",DP94))+DO94="","", IF(ISNUMBER(SEARCH("lw",DP94)), DC94 + SUBSTITUTE(DP94,"lw+",""), MROUND(SWITCH(DK94,"sq",DO$7,"bn",DP$7,"dl",DQ$7,"")*IF(DP94&gt;10, DP94/100, VLOOKUP(DP94, _rpe,SUBSTITUTE(DO94,"+","")+1,0)), IF( SWITCH(DK94,"sq",DO$7,"bn",DP$7,"dl", DQ$7,"")&lt; IF(_uom="lbs", 175, 80), 1.25, IF(_uom="lbs",5,2.5))))), "")</f>
        <v/>
      </c>
      <c r="DR94" s="148"/>
      <c r="DS94" s="33"/>
      <c r="DT94" s="171"/>
      <c r="DU94" s="124" t="str">
        <f>IFERROR(__xludf.DUMMYFUNCTION("IF(DQ94=MAX(FILTER(DQ$10:DQ$199,LOOKUP(ROW(DK$10:DK$199),FILTER(ROW(DK$10:DK$199),DK$10:DK$199&lt;&gt;DK$9:DK$198))=LOOKUP(ROW(DK94),FILTER(ROW(DK$10:DK$199),DK$10:DK$199&lt;&gt;DK$9:DK$198)))),DR94,)"),"")</f>
        <v/>
      </c>
      <c r="DV94" s="122"/>
      <c r="DW94" s="33"/>
      <c r="DX94" s="143"/>
      <c r="DY94" s="38"/>
      <c r="DZ94" s="144"/>
      <c r="EA94" s="150"/>
      <c r="EB94" s="174"/>
      <c r="EC94" s="175"/>
      <c r="ED94" s="176"/>
      <c r="EE94" s="155"/>
      <c r="EF94" s="148"/>
      <c r="EG94" s="33"/>
      <c r="EH94" s="155"/>
      <c r="EI94" s="148"/>
      <c r="EJ94" s="33"/>
      <c r="EK94" s="33"/>
      <c r="EL94" s="143"/>
      <c r="EM94" s="38"/>
      <c r="EN94" s="144"/>
      <c r="EO94" s="150"/>
      <c r="EP94" s="174"/>
      <c r="EQ94" s="175"/>
      <c r="ER94" s="176"/>
      <c r="ES94" s="155"/>
      <c r="ET94" s="148"/>
      <c r="EU94" s="33"/>
      <c r="EV94" s="155"/>
      <c r="EW94" s="148"/>
      <c r="EX94" s="33"/>
      <c r="EY94" s="33"/>
      <c r="EZ94" s="143"/>
      <c r="FA94" s="38"/>
      <c r="FB94" s="144"/>
      <c r="FC94" s="150"/>
      <c r="FD94" s="174"/>
      <c r="FE94" s="175"/>
      <c r="FF94" s="176"/>
      <c r="FG94" s="155"/>
      <c r="FH94" s="148"/>
      <c r="FI94" s="33"/>
      <c r="FJ94" s="155"/>
      <c r="FK94" s="148"/>
      <c r="FL94" s="33"/>
      <c r="FM94" s="33"/>
      <c r="FN94" s="143"/>
      <c r="FO94" s="38"/>
      <c r="FP94" s="144"/>
      <c r="FQ94" s="150"/>
      <c r="FR94" s="174"/>
      <c r="FS94" s="175"/>
      <c r="FT94" s="176"/>
      <c r="FU94" s="155"/>
      <c r="FV94" s="148"/>
      <c r="FW94" s="33"/>
      <c r="FX94" s="155"/>
      <c r="FY94" s="148"/>
      <c r="FZ94" s="33"/>
      <c r="GA94" s="33"/>
      <c r="GB94" s="143"/>
      <c r="GC94" s="38"/>
      <c r="GD94" s="144"/>
      <c r="GE94" s="150"/>
      <c r="GF94" s="174"/>
      <c r="GG94" s="175"/>
      <c r="GH94" s="176"/>
      <c r="GI94" s="155"/>
      <c r="GJ94" s="148"/>
      <c r="GK94" s="33"/>
      <c r="GL94" s="155"/>
      <c r="GM94" s="148"/>
      <c r="GN94" s="33"/>
      <c r="GO94" s="33"/>
      <c r="GP94" s="143"/>
      <c r="GQ94" s="38"/>
      <c r="GR94" s="144"/>
      <c r="GS94" s="150"/>
      <c r="GT94" s="174"/>
      <c r="GU94" s="175"/>
      <c r="GV94" s="176"/>
      <c r="GW94" s="155"/>
      <c r="GX94" s="148"/>
      <c r="GY94" s="33"/>
      <c r="GZ94" s="155"/>
      <c r="HA94" s="148"/>
      <c r="HB94" s="33"/>
      <c r="HC94" s="33"/>
      <c r="HD94" s="143"/>
      <c r="HE94" s="38"/>
      <c r="HF94" s="144"/>
      <c r="HG94" s="150"/>
      <c r="HH94" s="174"/>
      <c r="HI94" s="175"/>
      <c r="HJ94" s="176"/>
      <c r="HK94" s="155"/>
      <c r="HL94" s="148"/>
      <c r="HM94" s="33"/>
      <c r="HN94" s="155"/>
      <c r="HO94" s="148"/>
      <c r="HP94" s="33"/>
      <c r="HQ94" s="33"/>
      <c r="HR94" s="143"/>
      <c r="HS94" s="38"/>
      <c r="HT94" s="144"/>
      <c r="HU94" s="150"/>
      <c r="HV94" s="174"/>
      <c r="HW94" s="175"/>
      <c r="HX94" s="176"/>
      <c r="HY94" s="155"/>
      <c r="HZ94" s="148"/>
      <c r="IA94" s="33"/>
      <c r="IB94" s="155"/>
      <c r="IC94" s="148"/>
      <c r="ID94" s="33"/>
      <c r="IE94" s="33"/>
      <c r="IF94" s="143"/>
      <c r="IG94" s="38"/>
      <c r="IH94" s="144"/>
      <c r="II94" s="150"/>
      <c r="IJ94" s="174"/>
      <c r="IK94" s="175"/>
      <c r="IL94" s="176"/>
      <c r="IM94" s="155"/>
      <c r="IN94" s="148"/>
      <c r="IO94" s="33"/>
      <c r="IP94" s="155"/>
      <c r="IQ94" s="148"/>
      <c r="IR94" s="33"/>
      <c r="IS94" s="33"/>
      <c r="IT94" s="143"/>
      <c r="IU94" s="38"/>
      <c r="IV94" s="144"/>
      <c r="IW94" s="143"/>
      <c r="IX94" s="38"/>
      <c r="IY94" s="144" t="e">
        <v>#REF!</v>
      </c>
    </row>
    <row r="95">
      <c r="A95" s="33"/>
      <c r="B95" s="181"/>
      <c r="C95" s="38" t="str">
        <f>IFERROR(__xludf.DUMMYFUNCTION("""COMPUTED_VALUE"""),"")</f>
        <v/>
      </c>
      <c r="D95" s="144">
        <v>46111.0</v>
      </c>
      <c r="E95" s="167"/>
      <c r="F95" s="168"/>
      <c r="G95" s="169"/>
      <c r="H95" s="170"/>
      <c r="I95" s="171" t="str">
        <f t="array" ref="I95">IFERROR(IF(C95="ac"+ISNUMBER(SEARCH("'",H95))+G95="","", MROUND(SWITCH(C95,"sq",'Personal Info'!$O$15,"bn",'Personal Info'!$S$15,"dl",'Personal Info'!$W$15,"")*IF(H95&gt;10, H95/100, VLOOKUP(H95, _rpe,SUBSTITUTE(G95,"+","")+1,0)), IF( SWITCH(C95:C210,"sq",'Personal Info'!$O$15,"bn",'Personal Info'!$S$15,"dl", 'Personal Info'!$W$15,"")&lt; IF(_uom="lbs", 175, 80), 1.25, IF(_uom="lbs",5,2.5)))),"")</f>
        <v/>
      </c>
      <c r="J95" s="148"/>
      <c r="K95" s="33"/>
      <c r="L95" s="171"/>
      <c r="M95" s="124" t="str">
        <f>IFERROR(__xludf.DUMMYFUNCTION("IF(I95=MAX(FILTER(I$10:I$199,LOOKUP(ROW(C$10:C$199),FILTER(ROW(C$10:C$199),C$10:C$199&lt;&gt;C$9:C$198))=LOOKUP(ROW(C95),FILTER(ROW(C$10:C$199),C$10:C$199&lt;&gt;C$9:C$198)))),J95,)"),"")</f>
        <v/>
      </c>
      <c r="N95" s="122"/>
      <c r="O95" s="33"/>
      <c r="P95" s="143" t="str">
        <f t="shared" si="12"/>
        <v/>
      </c>
      <c r="Q95" s="38" t="str">
        <f>IFERROR(__xludf.DUMMYFUNCTION("""COMPUTED_VALUE"""),"")</f>
        <v/>
      </c>
      <c r="R95" s="144">
        <v>46118.0</v>
      </c>
      <c r="S95" s="167" t="str">
        <f t="shared" si="13"/>
        <v/>
      </c>
      <c r="T95" s="168" t="str">
        <f t="shared" si="319"/>
        <v/>
      </c>
      <c r="U95" s="169" t="str">
        <f t="shared" si="320"/>
        <v/>
      </c>
      <c r="V95" s="172" t="str">
        <f t="shared" si="321"/>
        <v/>
      </c>
      <c r="W95" s="171" t="str">
        <f t="array" ref="W95">IFERROR(IF(Q95="ac"+ISNUMBER(SEARCH("'",V95))+U95="","", IF(ISNUMBER(SEARCH("lw",V95)), I95 + SUBSTITUTE(V95,"lw+",""), MROUND(SWITCH(Q95,"sq",U$7,"bn",V$7,"dl",W$7,"")*IF(V95&gt;10, V95/100, VLOOKUP(V95, _rpe,SUBSTITUTE(U95,"+","")+1,0)), IF( SWITCH(Q95,"sq",U$7,"bn",V$7,"dl", W$7,"")&lt; IF(_uom="lbs", 175, 80), 1.25, IF(_uom="lbs",5,2.5))))), "")</f>
        <v/>
      </c>
      <c r="X95" s="148"/>
      <c r="Y95" s="33"/>
      <c r="Z95" s="171"/>
      <c r="AA95" s="124" t="str">
        <f>IFERROR(__xludf.DUMMYFUNCTION("IF(W95=MAX(FILTER(W$10:W$199,LOOKUP(ROW(Q$10:Q$199),FILTER(ROW(Q$10:Q$199),Q$10:Q$199&lt;&gt;Q$9:Q$198))=LOOKUP(ROW(Q95),FILTER(ROW(Q$10:Q$199),Q$10:Q$199&lt;&gt;Q$9:Q$198)))),X95,)"),"")</f>
        <v/>
      </c>
      <c r="AB95" s="122"/>
      <c r="AC95" s="33"/>
      <c r="AD95" s="143" t="str">
        <f t="shared" si="14"/>
        <v/>
      </c>
      <c r="AE95" s="38" t="str">
        <f>IFERROR(__xludf.DUMMYFUNCTION("""COMPUTED_VALUE"""),"")</f>
        <v/>
      </c>
      <c r="AF95" s="144">
        <v>46125.0</v>
      </c>
      <c r="AG95" s="167" t="str">
        <f t="shared" si="54"/>
        <v/>
      </c>
      <c r="AH95" s="168" t="str">
        <f t="shared" si="322"/>
        <v/>
      </c>
      <c r="AI95" s="169" t="str">
        <f t="shared" si="323"/>
        <v/>
      </c>
      <c r="AJ95" s="172" t="str">
        <f t="shared" si="324"/>
        <v/>
      </c>
      <c r="AK95" s="171" t="str">
        <f t="array" ref="AK95">IFERROR(IF(AE95="ac"+ISNUMBER(SEARCH("'",AJ95))+AI95="","", IF(ISNUMBER(SEARCH("lw",AJ95)), W95 + SUBSTITUTE(AJ95,"lw+",""), MROUND(SWITCH(AE95,"sq",AI$7,"bn",AJ$7,"dl",AK$7,"")*IF(AJ95&gt;10, AJ95/100, VLOOKUP(AJ95, _rpe,SUBSTITUTE(AI95,"+","")+1,0)), IF( SWITCH(AE95,"sq",AI$7,"bn",AJ$7,"dl", AK$7,"")&lt; IF(_uom="lbs", 175, 80), 1.25, IF(_uom="lbs",5,2.5))))), "")</f>
        <v/>
      </c>
      <c r="AL95" s="148"/>
      <c r="AM95" s="33"/>
      <c r="AN95" s="171"/>
      <c r="AO95" s="124" t="str">
        <f>IFERROR(__xludf.DUMMYFUNCTION("IF(AK95=MAX(FILTER(AK$10:AK$199,LOOKUP(ROW(AE$10:AE$199),FILTER(ROW(AE$10:AE$199),AE$10:AE$199&lt;&gt;AE$9:AE$198))=LOOKUP(ROW(AE95),FILTER(ROW(AE$10:AE$199),AE$10:AE$199&lt;&gt;AE$9:AE$198)))),AL95,)"),"")</f>
        <v/>
      </c>
      <c r="AP95" s="122"/>
      <c r="AQ95" s="33"/>
      <c r="AR95" s="143" t="str">
        <f t="shared" si="16"/>
        <v/>
      </c>
      <c r="AS95" s="38" t="str">
        <f>IFERROR(__xludf.DUMMYFUNCTION("""COMPUTED_VALUE"""),"")</f>
        <v/>
      </c>
      <c r="AT95" s="144">
        <v>46132.0</v>
      </c>
      <c r="AU95" s="167" t="str">
        <f t="shared" si="26"/>
        <v/>
      </c>
      <c r="AV95" s="168" t="str">
        <f t="shared" si="325"/>
        <v/>
      </c>
      <c r="AW95" s="169" t="str">
        <f t="shared" si="326"/>
        <v/>
      </c>
      <c r="AX95" s="172" t="str">
        <f t="shared" si="327"/>
        <v/>
      </c>
      <c r="AY95" s="171" t="str">
        <f t="array" ref="AY95">IFERROR(IF(AS95="ac"+ISNUMBER(SEARCH("'",AX95))+AW95="","", IF(ISNUMBER(SEARCH("lw",AX95)), AK95 + SUBSTITUTE(AX95,"lw+",""), MROUND(SWITCH(AS95,"sq",AW$7,"bn",AX$7,"dl",AY$7,"")*IF(AX95&gt;10, AX95/100, VLOOKUP(AX95, _rpe,SUBSTITUTE(AW95,"+","")+1,0)), IF( SWITCH(AS95,"sq",AW$7,"bn",AX$7,"dl", AY$7,"")&lt; IF(_uom="lbs", 175, 80), 1.25, IF(_uom="lbs",5,2.5))))), "")</f>
        <v/>
      </c>
      <c r="AZ95" s="148"/>
      <c r="BA95" s="33"/>
      <c r="BB95" s="171"/>
      <c r="BC95" s="124" t="str">
        <f>IFERROR(__xludf.DUMMYFUNCTION("IF(AY95=MAX(FILTER(AY$10:AY$199,LOOKUP(ROW(AS$10:AS$199),FILTER(ROW(AS$10:AS$199),AS$10:AS$199&lt;&gt;AS$9:AS$198))=LOOKUP(ROW(AS95),FILTER(ROW(AS$10:AS$199),AS$10:AS$199&lt;&gt;AS$9:AS$198)))),AZ95,)"),"")</f>
        <v/>
      </c>
      <c r="BD95" s="122"/>
      <c r="BE95" s="33"/>
      <c r="BF95" s="143" t="str">
        <f t="shared" si="17"/>
        <v/>
      </c>
      <c r="BG95" s="38" t="str">
        <f>IFERROR(__xludf.DUMMYFUNCTION("""COMPUTED_VALUE"""),"")</f>
        <v/>
      </c>
      <c r="BH95" s="144">
        <v>46139.0</v>
      </c>
      <c r="BI95" s="167" t="str">
        <f t="shared" si="18"/>
        <v/>
      </c>
      <c r="BJ95" s="168" t="str">
        <f t="shared" si="328"/>
        <v/>
      </c>
      <c r="BK95" s="169" t="str">
        <f t="shared" si="329"/>
        <v/>
      </c>
      <c r="BL95" s="172" t="str">
        <f t="shared" si="330"/>
        <v/>
      </c>
      <c r="BM95" s="171" t="str">
        <f t="array" ref="BM95">IFERROR(IF(BG95="ac"+ISNUMBER(SEARCH("'",BL95))+BK95="","", IF(ISNUMBER(SEARCH("lw",BL95)), AY95 + SUBSTITUTE(BL95,"lw+",""), MROUND(SWITCH(BG95,"sq",BK$7,"bn",BL$7,"dl",BM$7,"")*IF(BL95&gt;10, BL95/100, VLOOKUP(BL95, _rpe,SUBSTITUTE(BK95,"+","")+1,0)), IF( SWITCH(BG95,"sq",BK$7,"bn",BL$7,"dl", BM$7,"")&lt; IF(_uom="lbs", 175, 80), 1.25, IF(_uom="lbs",5,2.5))))), "")</f>
        <v/>
      </c>
      <c r="BN95" s="148"/>
      <c r="BO95" s="33"/>
      <c r="BP95" s="171"/>
      <c r="BQ95" s="124" t="str">
        <f>IFERROR(__xludf.DUMMYFUNCTION("IF(BM95=MAX(FILTER(BM$10:BM$199,LOOKUP(ROW(BG$10:BG$199),FILTER(ROW(BG$10:BG$199),BG$10:BG$199&lt;&gt;BG$9:BG$198))=LOOKUP(ROW(BG95),FILTER(ROW(BG$10:BG$199),BG$10:BG$199&lt;&gt;BG$9:BG$198)))),BN95,)"),"")</f>
        <v/>
      </c>
      <c r="BR95" s="122"/>
      <c r="BS95" s="33"/>
      <c r="BT95" s="143" t="str">
        <f t="shared" si="19"/>
        <v/>
      </c>
      <c r="BU95" s="38" t="str">
        <f>IFERROR(__xludf.DUMMYFUNCTION("""COMPUTED_VALUE"""),"")</f>
        <v/>
      </c>
      <c r="BV95" s="144">
        <v>46146.0</v>
      </c>
      <c r="BW95" s="167" t="str">
        <f t="shared" si="20"/>
        <v/>
      </c>
      <c r="BX95" s="168" t="str">
        <f t="shared" si="331"/>
        <v/>
      </c>
      <c r="BY95" s="169" t="str">
        <f t="shared" si="332"/>
        <v/>
      </c>
      <c r="BZ95" s="172" t="str">
        <f t="shared" si="333"/>
        <v/>
      </c>
      <c r="CA95" s="171" t="str">
        <f t="array" ref="CA95">IFERROR(IF(BU95="ac"+ISNUMBER(SEARCH("'",BZ95))+BY95="","", IF(ISNUMBER(SEARCH("lw",BZ95)), BM95 + SUBSTITUTE(BZ95,"lw+",""), MROUND(SWITCH(BU95,"sq",BY$7,"bn",BZ$7,"dl",CA$7,"")*IF(BZ95&gt;10, BZ95/100, VLOOKUP(BZ95, _rpe,SUBSTITUTE(BY95,"+","")+1,0)), IF( SWITCH(BU95,"sq",BY$7,"bn",BZ$7,"dl", CA$7,"")&lt; IF(_uom="lbs", 175, 80), 1.25, IF(_uom="lbs",5,2.5))))), "")</f>
        <v/>
      </c>
      <c r="CB95" s="148"/>
      <c r="CC95" s="33"/>
      <c r="CD95" s="171"/>
      <c r="CE95" s="124" t="str">
        <f>IFERROR(__xludf.DUMMYFUNCTION("IF(CA95=MAX(FILTER(CA$10:CA$199,LOOKUP(ROW(BU$10:BU$199),FILTER(ROW(BU$10:BU$199),BU$10:BU$199&lt;&gt;BU$9:BU$198))=LOOKUP(ROW(BU95),FILTER(ROW(BU$10:BU$199),BU$10:BU$199&lt;&gt;BU$9:BU$198)))),CB95,)"),"")</f>
        <v/>
      </c>
      <c r="CF95" s="122"/>
      <c r="CG95" s="33"/>
      <c r="CH95" s="143" t="str">
        <f t="shared" si="21"/>
        <v/>
      </c>
      <c r="CI95" s="38" t="str">
        <f>IFERROR(__xludf.DUMMYFUNCTION("""COMPUTED_VALUE"""),"")</f>
        <v/>
      </c>
      <c r="CJ95" s="144">
        <v>46153.0</v>
      </c>
      <c r="CK95" s="167" t="str">
        <f t="shared" si="27"/>
        <v/>
      </c>
      <c r="CL95" s="168" t="str">
        <f t="shared" si="334"/>
        <v/>
      </c>
      <c r="CM95" s="169" t="str">
        <f t="shared" si="335"/>
        <v/>
      </c>
      <c r="CN95" s="172" t="str">
        <f t="shared" si="336"/>
        <v/>
      </c>
      <c r="CO95" s="171" t="str">
        <f t="array" ref="CO95">IFERROR(IF(CI95="ac"+ISNUMBER(SEARCH("'",CN95))+CM95="","", IF(ISNUMBER(SEARCH("lw",CN95)), CA95 + SUBSTITUTE(CN95,"lw+",""), MROUND(SWITCH(CI95,"sq",CM$7,"bn",CN$7,"dl",CO$7,"")*IF(CN95&gt;10, CN95/100, VLOOKUP(CN95, _rpe,SUBSTITUTE(CM95,"+","")+1,0)), IF( SWITCH(CI95,"sq",CM$7,"bn",CN$7,"dl", CO$7,"")&lt; IF(_uom="lbs", 175, 80), 1.25, IF(_uom="lbs",5,2.5))))), "")</f>
        <v/>
      </c>
      <c r="CP95" s="148"/>
      <c r="CQ95" s="33"/>
      <c r="CR95" s="171"/>
      <c r="CS95" s="124" t="str">
        <f>IFERROR(__xludf.DUMMYFUNCTION("IF(CO95=MAX(FILTER(CO$10:CO$199,LOOKUP(ROW(CI$10:CI$199),FILTER(ROW(CI$10:CI$199),CI$10:CI$199&lt;&gt;CI$9:CI$198))=LOOKUP(ROW(CI95),FILTER(ROW(CI$10:CI$199),CI$10:CI$199&lt;&gt;CI$9:CI$198)))),CP95,)"),"")</f>
        <v/>
      </c>
      <c r="CT95" s="122"/>
      <c r="CU95" s="33"/>
      <c r="CV95" s="143" t="str">
        <f t="shared" si="22"/>
        <v/>
      </c>
      <c r="CW95" s="38" t="str">
        <f>IFERROR(__xludf.DUMMYFUNCTION("""COMPUTED_VALUE"""),"")</f>
        <v/>
      </c>
      <c r="CX95" s="144">
        <v>46160.0</v>
      </c>
      <c r="CY95" s="167" t="str">
        <f t="shared" si="28"/>
        <v/>
      </c>
      <c r="CZ95" s="168" t="str">
        <f t="shared" si="337"/>
        <v/>
      </c>
      <c r="DA95" s="169" t="str">
        <f t="shared" si="338"/>
        <v/>
      </c>
      <c r="DB95" s="172" t="str">
        <f t="shared" si="339"/>
        <v/>
      </c>
      <c r="DC95" s="171" t="str">
        <f t="array" ref="DC95">IFERROR(IF(CW95="ac"+ISNUMBER(SEARCH("'",DB95))+DA95="","", IF(ISNUMBER(SEARCH("lw",DB95)), CO95 + SUBSTITUTE(DB95,"lw+",""), MROUND(SWITCH(CW95,"sq",DA$7,"bn",DB$7,"dl",DC$7,"")*IF(DB95&gt;10, DB95/100, VLOOKUP(DB95, _rpe,SUBSTITUTE(DA95,"+","")+1,0)), IF( SWITCH(CW95,"sq",DA$7,"bn",DB$7,"dl", DC$7,"")&lt; IF(_uom="lbs", 175, 80), 1.25, IF(_uom="lbs",5,2.5))))), "")</f>
        <v/>
      </c>
      <c r="DD95" s="148"/>
      <c r="DE95" s="33"/>
      <c r="DF95" s="171"/>
      <c r="DG95" s="124" t="str">
        <f>IFERROR(__xludf.DUMMYFUNCTION("IF(DC95=MAX(FILTER(DC$10:DC$199,LOOKUP(ROW(CW$10:CW$199),FILTER(ROW(CW$10:CW$199),CW$10:CW$199&lt;&gt;CW$9:CW$198))=LOOKUP(ROW(CW95),FILTER(ROW(CW$10:CW$199),CW$10:CW$199&lt;&gt;CW$9:CW$198)))),DD95,)"),"")</f>
        <v/>
      </c>
      <c r="DH95" s="122"/>
      <c r="DI95" s="33"/>
      <c r="DJ95" s="143" t="str">
        <f t="shared" si="23"/>
        <v/>
      </c>
      <c r="DK95" s="38" t="str">
        <f>IFERROR(__xludf.DUMMYFUNCTION("""COMPUTED_VALUE"""),"")</f>
        <v/>
      </c>
      <c r="DL95" s="144">
        <v>46167.0</v>
      </c>
      <c r="DM95" s="167" t="str">
        <f t="shared" ref="DM95:DN95" si="347">IF(ISBLANK(CY95),"",CY95)</f>
        <v/>
      </c>
      <c r="DN95" s="168" t="str">
        <f t="shared" si="347"/>
        <v/>
      </c>
      <c r="DO95" s="169" t="str">
        <f t="shared" si="341"/>
        <v/>
      </c>
      <c r="DP95" s="172" t="str">
        <f t="shared" si="342"/>
        <v/>
      </c>
      <c r="DQ95" s="171" t="str">
        <f t="array" ref="DQ95">IFERROR(IF(DK95="ac"+ISNUMBER(SEARCH("'",DP95))+DO95="","", IF(ISNUMBER(SEARCH("lw",DP95)), DC95 + SUBSTITUTE(DP95,"lw+",""), MROUND(SWITCH(DK95,"sq",DO$7,"bn",DP$7,"dl",DQ$7,"")*IF(DP95&gt;10, DP95/100, VLOOKUP(DP95, _rpe,SUBSTITUTE(DO95,"+","")+1,0)), IF( SWITCH(DK95,"sq",DO$7,"bn",DP$7,"dl", DQ$7,"")&lt; IF(_uom="lbs", 175, 80), 1.25, IF(_uom="lbs",5,2.5))))), "")</f>
        <v/>
      </c>
      <c r="DR95" s="148"/>
      <c r="DS95" s="33"/>
      <c r="DT95" s="171"/>
      <c r="DU95" s="124" t="str">
        <f>IFERROR(__xludf.DUMMYFUNCTION("IF(DQ95=MAX(FILTER(DQ$10:DQ$199,LOOKUP(ROW(DK$10:DK$199),FILTER(ROW(DK$10:DK$199),DK$10:DK$199&lt;&gt;DK$9:DK$198))=LOOKUP(ROW(DK95),FILTER(ROW(DK$10:DK$199),DK$10:DK$199&lt;&gt;DK$9:DK$198)))),DR95,)"),"")</f>
        <v/>
      </c>
      <c r="DV95" s="122"/>
      <c r="DW95" s="33"/>
      <c r="DX95" s="143"/>
      <c r="DY95" s="38"/>
      <c r="DZ95" s="144"/>
      <c r="EA95" s="150"/>
      <c r="EB95" s="174"/>
      <c r="EC95" s="175"/>
      <c r="ED95" s="176"/>
      <c r="EE95" s="155"/>
      <c r="EF95" s="148"/>
      <c r="EG95" s="33"/>
      <c r="EH95" s="155"/>
      <c r="EI95" s="148"/>
      <c r="EJ95" s="33"/>
      <c r="EK95" s="33"/>
      <c r="EL95" s="143"/>
      <c r="EM95" s="38"/>
      <c r="EN95" s="144"/>
      <c r="EO95" s="150"/>
      <c r="EP95" s="174"/>
      <c r="EQ95" s="175"/>
      <c r="ER95" s="176"/>
      <c r="ES95" s="155"/>
      <c r="ET95" s="148"/>
      <c r="EU95" s="33"/>
      <c r="EV95" s="155"/>
      <c r="EW95" s="148"/>
      <c r="EX95" s="33"/>
      <c r="EY95" s="33"/>
      <c r="EZ95" s="143"/>
      <c r="FA95" s="38"/>
      <c r="FB95" s="144"/>
      <c r="FC95" s="150"/>
      <c r="FD95" s="174"/>
      <c r="FE95" s="175"/>
      <c r="FF95" s="176"/>
      <c r="FG95" s="155"/>
      <c r="FH95" s="148"/>
      <c r="FI95" s="33"/>
      <c r="FJ95" s="155"/>
      <c r="FK95" s="148"/>
      <c r="FL95" s="33"/>
      <c r="FM95" s="33"/>
      <c r="FN95" s="143"/>
      <c r="FO95" s="38"/>
      <c r="FP95" s="144"/>
      <c r="FQ95" s="150"/>
      <c r="FR95" s="174"/>
      <c r="FS95" s="175"/>
      <c r="FT95" s="176"/>
      <c r="FU95" s="155"/>
      <c r="FV95" s="148"/>
      <c r="FW95" s="33"/>
      <c r="FX95" s="155"/>
      <c r="FY95" s="148"/>
      <c r="FZ95" s="33"/>
      <c r="GA95" s="33"/>
      <c r="GB95" s="143"/>
      <c r="GC95" s="38"/>
      <c r="GD95" s="144"/>
      <c r="GE95" s="150"/>
      <c r="GF95" s="174"/>
      <c r="GG95" s="175"/>
      <c r="GH95" s="176"/>
      <c r="GI95" s="155"/>
      <c r="GJ95" s="148"/>
      <c r="GK95" s="33"/>
      <c r="GL95" s="155"/>
      <c r="GM95" s="148"/>
      <c r="GN95" s="33"/>
      <c r="GO95" s="33"/>
      <c r="GP95" s="143"/>
      <c r="GQ95" s="38"/>
      <c r="GR95" s="144"/>
      <c r="GS95" s="150"/>
      <c r="GT95" s="174"/>
      <c r="GU95" s="175"/>
      <c r="GV95" s="176"/>
      <c r="GW95" s="155"/>
      <c r="GX95" s="148"/>
      <c r="GY95" s="33"/>
      <c r="GZ95" s="155"/>
      <c r="HA95" s="148"/>
      <c r="HB95" s="33"/>
      <c r="HC95" s="33"/>
      <c r="HD95" s="143"/>
      <c r="HE95" s="38"/>
      <c r="HF95" s="144"/>
      <c r="HG95" s="150"/>
      <c r="HH95" s="174"/>
      <c r="HI95" s="175"/>
      <c r="HJ95" s="176"/>
      <c r="HK95" s="155"/>
      <c r="HL95" s="148"/>
      <c r="HM95" s="33"/>
      <c r="HN95" s="155"/>
      <c r="HO95" s="148"/>
      <c r="HP95" s="33"/>
      <c r="HQ95" s="33"/>
      <c r="HR95" s="143"/>
      <c r="HS95" s="38"/>
      <c r="HT95" s="144"/>
      <c r="HU95" s="150"/>
      <c r="HV95" s="174"/>
      <c r="HW95" s="175"/>
      <c r="HX95" s="176"/>
      <c r="HY95" s="155"/>
      <c r="HZ95" s="148"/>
      <c r="IA95" s="33"/>
      <c r="IB95" s="155"/>
      <c r="IC95" s="148"/>
      <c r="ID95" s="33"/>
      <c r="IE95" s="33"/>
      <c r="IF95" s="143"/>
      <c r="IG95" s="38"/>
      <c r="IH95" s="144"/>
      <c r="II95" s="150"/>
      <c r="IJ95" s="174"/>
      <c r="IK95" s="175"/>
      <c r="IL95" s="176"/>
      <c r="IM95" s="155"/>
      <c r="IN95" s="148"/>
      <c r="IO95" s="33"/>
      <c r="IP95" s="155"/>
      <c r="IQ95" s="148"/>
      <c r="IR95" s="33"/>
      <c r="IS95" s="33"/>
      <c r="IT95" s="143"/>
      <c r="IU95" s="38"/>
      <c r="IV95" s="144"/>
      <c r="IW95" s="143"/>
      <c r="IX95" s="38"/>
      <c r="IY95" s="144" t="e">
        <v>#REF!</v>
      </c>
    </row>
    <row r="96">
      <c r="A96" s="33"/>
      <c r="B96" s="181"/>
      <c r="C96" s="38" t="str">
        <f>IFERROR(__xludf.DUMMYFUNCTION("""COMPUTED_VALUE"""),"")</f>
        <v/>
      </c>
      <c r="D96" s="144">
        <v>46111.0</v>
      </c>
      <c r="E96" s="182"/>
      <c r="F96" s="168"/>
      <c r="G96" s="169"/>
      <c r="H96" s="170"/>
      <c r="I96" s="171" t="str">
        <f t="array" ref="I96">IFERROR(IF(C96="ac"+ISNUMBER(SEARCH("'",H96))+G96="","", MROUND(SWITCH(C96,"sq",'Personal Info'!$O$15,"bn",'Personal Info'!$S$15,"dl",'Personal Info'!$W$15,"")*IF(H96&gt;10, H96/100, VLOOKUP(H96, _rpe,SUBSTITUTE(G96,"+","")+1,0)), IF( SWITCH(C96:C210,"sq",'Personal Info'!$O$15,"bn",'Personal Info'!$S$15,"dl", 'Personal Info'!$W$15,"")&lt; IF(_uom="lbs", 175, 80), 1.25, IF(_uom="lbs",5,2.5)))),"")</f>
        <v/>
      </c>
      <c r="J96" s="148"/>
      <c r="K96" s="33"/>
      <c r="L96" s="171"/>
      <c r="M96" s="124" t="str">
        <f>IFERROR(__xludf.DUMMYFUNCTION("IF(I96=MAX(FILTER(I$10:I$199,LOOKUP(ROW(C$10:C$199),FILTER(ROW(C$10:C$199),C$10:C$199&lt;&gt;C$9:C$198))=LOOKUP(ROW(C96),FILTER(ROW(C$10:C$199),C$10:C$199&lt;&gt;C$9:C$198)))),J96,)"),"")</f>
        <v/>
      </c>
      <c r="N96" s="122"/>
      <c r="O96" s="33"/>
      <c r="P96" s="143" t="str">
        <f t="shared" si="12"/>
        <v/>
      </c>
      <c r="Q96" s="38" t="str">
        <f>IFERROR(__xludf.DUMMYFUNCTION("""COMPUTED_VALUE"""),"")</f>
        <v/>
      </c>
      <c r="R96" s="144">
        <v>46118.0</v>
      </c>
      <c r="S96" s="167" t="str">
        <f t="shared" si="13"/>
        <v/>
      </c>
      <c r="T96" s="168" t="str">
        <f t="shared" si="319"/>
        <v/>
      </c>
      <c r="U96" s="169" t="str">
        <f t="shared" si="320"/>
        <v/>
      </c>
      <c r="V96" s="172" t="str">
        <f t="shared" si="321"/>
        <v/>
      </c>
      <c r="W96" s="171" t="str">
        <f t="array" ref="W96">IFERROR(IF(Q96="ac"+ISNUMBER(SEARCH("'",V96))+U96="","", IF(ISNUMBER(SEARCH("lw",V96)), I96 + SUBSTITUTE(V96,"lw+",""), MROUND(SWITCH(Q96,"sq",U$7,"bn",V$7,"dl",W$7,"")*IF(V96&gt;10, V96/100, VLOOKUP(V96, _rpe,SUBSTITUTE(U96,"+","")+1,0)), IF( SWITCH(Q96,"sq",U$7,"bn",V$7,"dl", W$7,"")&lt; IF(_uom="lbs", 175, 80), 1.25, IF(_uom="lbs",5,2.5))))), "")</f>
        <v/>
      </c>
      <c r="X96" s="148"/>
      <c r="Y96" s="33"/>
      <c r="Z96" s="171"/>
      <c r="AA96" s="124" t="str">
        <f>IFERROR(__xludf.DUMMYFUNCTION("IF(W96=MAX(FILTER(W$10:W$199,LOOKUP(ROW(Q$10:Q$199),FILTER(ROW(Q$10:Q$199),Q$10:Q$199&lt;&gt;Q$9:Q$198))=LOOKUP(ROW(Q96),FILTER(ROW(Q$10:Q$199),Q$10:Q$199&lt;&gt;Q$9:Q$198)))),X96,)"),"")</f>
        <v/>
      </c>
      <c r="AB96" s="122"/>
      <c r="AC96" s="33"/>
      <c r="AD96" s="143" t="str">
        <f t="shared" si="14"/>
        <v/>
      </c>
      <c r="AE96" s="38" t="str">
        <f>IFERROR(__xludf.DUMMYFUNCTION("""COMPUTED_VALUE"""),"")</f>
        <v/>
      </c>
      <c r="AF96" s="144">
        <v>46125.0</v>
      </c>
      <c r="AG96" s="167" t="str">
        <f t="shared" si="54"/>
        <v/>
      </c>
      <c r="AH96" s="168" t="str">
        <f t="shared" si="322"/>
        <v/>
      </c>
      <c r="AI96" s="169" t="str">
        <f t="shared" si="323"/>
        <v/>
      </c>
      <c r="AJ96" s="172" t="str">
        <f t="shared" si="324"/>
        <v/>
      </c>
      <c r="AK96" s="171" t="str">
        <f t="array" ref="AK96">IFERROR(IF(AE96="ac"+ISNUMBER(SEARCH("'",AJ96))+AI96="","", IF(ISNUMBER(SEARCH("lw",AJ96)), W96 + SUBSTITUTE(AJ96,"lw+",""), MROUND(SWITCH(AE96,"sq",AI$7,"bn",AJ$7,"dl",AK$7,"")*IF(AJ96&gt;10, AJ96/100, VLOOKUP(AJ96, _rpe,SUBSTITUTE(AI96,"+","")+1,0)), IF( SWITCH(AE96,"sq",AI$7,"bn",AJ$7,"dl", AK$7,"")&lt; IF(_uom="lbs", 175, 80), 1.25, IF(_uom="lbs",5,2.5))))), "")</f>
        <v/>
      </c>
      <c r="AL96" s="148"/>
      <c r="AM96" s="33"/>
      <c r="AN96" s="171"/>
      <c r="AO96" s="124" t="str">
        <f>IFERROR(__xludf.DUMMYFUNCTION("IF(AK96=MAX(FILTER(AK$10:AK$199,LOOKUP(ROW(AE$10:AE$199),FILTER(ROW(AE$10:AE$199),AE$10:AE$199&lt;&gt;AE$9:AE$198))=LOOKUP(ROW(AE96),FILTER(ROW(AE$10:AE$199),AE$10:AE$199&lt;&gt;AE$9:AE$198)))),AL96,)"),"")</f>
        <v/>
      </c>
      <c r="AP96" s="122"/>
      <c r="AQ96" s="33"/>
      <c r="AR96" s="143" t="str">
        <f t="shared" si="16"/>
        <v/>
      </c>
      <c r="AS96" s="38" t="str">
        <f>IFERROR(__xludf.DUMMYFUNCTION("""COMPUTED_VALUE"""),"")</f>
        <v/>
      </c>
      <c r="AT96" s="144">
        <v>46132.0</v>
      </c>
      <c r="AU96" s="167" t="str">
        <f t="shared" si="26"/>
        <v/>
      </c>
      <c r="AV96" s="168" t="str">
        <f t="shared" si="325"/>
        <v/>
      </c>
      <c r="AW96" s="169" t="str">
        <f t="shared" si="326"/>
        <v/>
      </c>
      <c r="AX96" s="172" t="str">
        <f t="shared" si="327"/>
        <v/>
      </c>
      <c r="AY96" s="171" t="str">
        <f t="array" ref="AY96">IFERROR(IF(AS96="ac"+ISNUMBER(SEARCH("'",AX96))+AW96="","", IF(ISNUMBER(SEARCH("lw",AX96)), AK96 + SUBSTITUTE(AX96,"lw+",""), MROUND(SWITCH(AS96,"sq",AW$7,"bn",AX$7,"dl",AY$7,"")*IF(AX96&gt;10, AX96/100, VLOOKUP(AX96, _rpe,SUBSTITUTE(AW96,"+","")+1,0)), IF( SWITCH(AS96,"sq",AW$7,"bn",AX$7,"dl", AY$7,"")&lt; IF(_uom="lbs", 175, 80), 1.25, IF(_uom="lbs",5,2.5))))), "")</f>
        <v/>
      </c>
      <c r="AZ96" s="148"/>
      <c r="BA96" s="33"/>
      <c r="BB96" s="171"/>
      <c r="BC96" s="124" t="str">
        <f>IFERROR(__xludf.DUMMYFUNCTION("IF(AY96=MAX(FILTER(AY$10:AY$199,LOOKUP(ROW(AS$10:AS$199),FILTER(ROW(AS$10:AS$199),AS$10:AS$199&lt;&gt;AS$9:AS$198))=LOOKUP(ROW(AS96),FILTER(ROW(AS$10:AS$199),AS$10:AS$199&lt;&gt;AS$9:AS$198)))),AZ96,)"),"")</f>
        <v/>
      </c>
      <c r="BD96" s="122"/>
      <c r="BE96" s="33"/>
      <c r="BF96" s="143" t="str">
        <f t="shared" si="17"/>
        <v/>
      </c>
      <c r="BG96" s="38" t="str">
        <f>IFERROR(__xludf.DUMMYFUNCTION("""COMPUTED_VALUE"""),"")</f>
        <v/>
      </c>
      <c r="BH96" s="144">
        <v>46139.0</v>
      </c>
      <c r="BI96" s="167" t="str">
        <f t="shared" si="18"/>
        <v/>
      </c>
      <c r="BJ96" s="168" t="str">
        <f t="shared" si="328"/>
        <v/>
      </c>
      <c r="BK96" s="169" t="str">
        <f t="shared" si="329"/>
        <v/>
      </c>
      <c r="BL96" s="172" t="str">
        <f t="shared" si="330"/>
        <v/>
      </c>
      <c r="BM96" s="171" t="str">
        <f t="array" ref="BM96">IFERROR(IF(BG96="ac"+ISNUMBER(SEARCH("'",BL96))+BK96="","", IF(ISNUMBER(SEARCH("lw",BL96)), AY96 + SUBSTITUTE(BL96,"lw+",""), MROUND(SWITCH(BG96,"sq",BK$7,"bn",BL$7,"dl",BM$7,"")*IF(BL96&gt;10, BL96/100, VLOOKUP(BL96, _rpe,SUBSTITUTE(BK96,"+","")+1,0)), IF( SWITCH(BG96,"sq",BK$7,"bn",BL$7,"dl", BM$7,"")&lt; IF(_uom="lbs", 175, 80), 1.25, IF(_uom="lbs",5,2.5))))), "")</f>
        <v/>
      </c>
      <c r="BN96" s="148"/>
      <c r="BO96" s="33"/>
      <c r="BP96" s="171"/>
      <c r="BQ96" s="124" t="str">
        <f>IFERROR(__xludf.DUMMYFUNCTION("IF(BM96=MAX(FILTER(BM$10:BM$199,LOOKUP(ROW(BG$10:BG$199),FILTER(ROW(BG$10:BG$199),BG$10:BG$199&lt;&gt;BG$9:BG$198))=LOOKUP(ROW(BG96),FILTER(ROW(BG$10:BG$199),BG$10:BG$199&lt;&gt;BG$9:BG$198)))),BN96,)"),"")</f>
        <v/>
      </c>
      <c r="BR96" s="122"/>
      <c r="BS96" s="33"/>
      <c r="BT96" s="143" t="str">
        <f t="shared" si="19"/>
        <v/>
      </c>
      <c r="BU96" s="38" t="str">
        <f>IFERROR(__xludf.DUMMYFUNCTION("""COMPUTED_VALUE"""),"")</f>
        <v/>
      </c>
      <c r="BV96" s="144">
        <v>46146.0</v>
      </c>
      <c r="BW96" s="167" t="str">
        <f t="shared" si="20"/>
        <v/>
      </c>
      <c r="BX96" s="168" t="str">
        <f t="shared" si="331"/>
        <v/>
      </c>
      <c r="BY96" s="169" t="str">
        <f t="shared" si="332"/>
        <v/>
      </c>
      <c r="BZ96" s="172" t="str">
        <f t="shared" si="333"/>
        <v/>
      </c>
      <c r="CA96" s="171" t="str">
        <f t="array" ref="CA96">IFERROR(IF(BU96="ac"+ISNUMBER(SEARCH("'",BZ96))+BY96="","", IF(ISNUMBER(SEARCH("lw",BZ96)), BM96 + SUBSTITUTE(BZ96,"lw+",""), MROUND(SWITCH(BU96,"sq",BY$7,"bn",BZ$7,"dl",CA$7,"")*IF(BZ96&gt;10, BZ96/100, VLOOKUP(BZ96, _rpe,SUBSTITUTE(BY96,"+","")+1,0)), IF( SWITCH(BU96,"sq",BY$7,"bn",BZ$7,"dl", CA$7,"")&lt; IF(_uom="lbs", 175, 80), 1.25, IF(_uom="lbs",5,2.5))))), "")</f>
        <v/>
      </c>
      <c r="CB96" s="148"/>
      <c r="CC96" s="33"/>
      <c r="CD96" s="171"/>
      <c r="CE96" s="124" t="str">
        <f>IFERROR(__xludf.DUMMYFUNCTION("IF(CA96=MAX(FILTER(CA$10:CA$199,LOOKUP(ROW(BU$10:BU$199),FILTER(ROW(BU$10:BU$199),BU$10:BU$199&lt;&gt;BU$9:BU$198))=LOOKUP(ROW(BU96),FILTER(ROW(BU$10:BU$199),BU$10:BU$199&lt;&gt;BU$9:BU$198)))),CB96,)"),"")</f>
        <v/>
      </c>
      <c r="CF96" s="122"/>
      <c r="CG96" s="33"/>
      <c r="CH96" s="143" t="str">
        <f t="shared" si="21"/>
        <v/>
      </c>
      <c r="CI96" s="38" t="str">
        <f>IFERROR(__xludf.DUMMYFUNCTION("""COMPUTED_VALUE"""),"")</f>
        <v/>
      </c>
      <c r="CJ96" s="144">
        <v>46153.0</v>
      </c>
      <c r="CK96" s="167" t="str">
        <f t="shared" si="27"/>
        <v/>
      </c>
      <c r="CL96" s="168" t="str">
        <f t="shared" si="334"/>
        <v/>
      </c>
      <c r="CM96" s="169" t="str">
        <f t="shared" si="335"/>
        <v/>
      </c>
      <c r="CN96" s="172" t="str">
        <f t="shared" si="336"/>
        <v/>
      </c>
      <c r="CO96" s="171" t="str">
        <f t="array" ref="CO96">IFERROR(IF(CI96="ac"+ISNUMBER(SEARCH("'",CN96))+CM96="","", IF(ISNUMBER(SEARCH("lw",CN96)), CA96 + SUBSTITUTE(CN96,"lw+",""), MROUND(SWITCH(CI96,"sq",CM$7,"bn",CN$7,"dl",CO$7,"")*IF(CN96&gt;10, CN96/100, VLOOKUP(CN96, _rpe,SUBSTITUTE(CM96,"+","")+1,0)), IF( SWITCH(CI96,"sq",CM$7,"bn",CN$7,"dl", CO$7,"")&lt; IF(_uom="lbs", 175, 80), 1.25, IF(_uom="lbs",5,2.5))))), "")</f>
        <v/>
      </c>
      <c r="CP96" s="148"/>
      <c r="CQ96" s="33"/>
      <c r="CR96" s="171"/>
      <c r="CS96" s="124" t="str">
        <f>IFERROR(__xludf.DUMMYFUNCTION("IF(CO96=MAX(FILTER(CO$10:CO$199,LOOKUP(ROW(CI$10:CI$199),FILTER(ROW(CI$10:CI$199),CI$10:CI$199&lt;&gt;CI$9:CI$198))=LOOKUP(ROW(CI96),FILTER(ROW(CI$10:CI$199),CI$10:CI$199&lt;&gt;CI$9:CI$198)))),CP96,)"),"")</f>
        <v/>
      </c>
      <c r="CT96" s="122"/>
      <c r="CU96" s="33"/>
      <c r="CV96" s="143" t="str">
        <f t="shared" si="22"/>
        <v/>
      </c>
      <c r="CW96" s="38" t="str">
        <f>IFERROR(__xludf.DUMMYFUNCTION("""COMPUTED_VALUE"""),"")</f>
        <v/>
      </c>
      <c r="CX96" s="144">
        <v>46160.0</v>
      </c>
      <c r="CY96" s="167" t="str">
        <f t="shared" si="28"/>
        <v/>
      </c>
      <c r="CZ96" s="168" t="str">
        <f t="shared" si="337"/>
        <v/>
      </c>
      <c r="DA96" s="169" t="str">
        <f t="shared" si="338"/>
        <v/>
      </c>
      <c r="DB96" s="172" t="str">
        <f t="shared" si="339"/>
        <v/>
      </c>
      <c r="DC96" s="171" t="str">
        <f t="array" ref="DC96">IFERROR(IF(CW96="ac"+ISNUMBER(SEARCH("'",DB96))+DA96="","", IF(ISNUMBER(SEARCH("lw",DB96)), CO96 + SUBSTITUTE(DB96,"lw+",""), MROUND(SWITCH(CW96,"sq",DA$7,"bn",DB$7,"dl",DC$7,"")*IF(DB96&gt;10, DB96/100, VLOOKUP(DB96, _rpe,SUBSTITUTE(DA96,"+","")+1,0)), IF( SWITCH(CW96,"sq",DA$7,"bn",DB$7,"dl", DC$7,"")&lt; IF(_uom="lbs", 175, 80), 1.25, IF(_uom="lbs",5,2.5))))), "")</f>
        <v/>
      </c>
      <c r="DD96" s="148"/>
      <c r="DE96" s="33"/>
      <c r="DF96" s="171"/>
      <c r="DG96" s="124" t="str">
        <f>IFERROR(__xludf.DUMMYFUNCTION("IF(DC96=MAX(FILTER(DC$10:DC$199,LOOKUP(ROW(CW$10:CW$199),FILTER(ROW(CW$10:CW$199),CW$10:CW$199&lt;&gt;CW$9:CW$198))=LOOKUP(ROW(CW96),FILTER(ROW(CW$10:CW$199),CW$10:CW$199&lt;&gt;CW$9:CW$198)))),DD96,)"),"")</f>
        <v/>
      </c>
      <c r="DH96" s="122"/>
      <c r="DI96" s="33"/>
      <c r="DJ96" s="143" t="str">
        <f t="shared" si="23"/>
        <v/>
      </c>
      <c r="DK96" s="38" t="str">
        <f>IFERROR(__xludf.DUMMYFUNCTION("""COMPUTED_VALUE"""),"")</f>
        <v/>
      </c>
      <c r="DL96" s="144">
        <v>46167.0</v>
      </c>
      <c r="DM96" s="167" t="str">
        <f t="shared" ref="DM96:DN96" si="348">IF(ISBLANK(CY96),"",CY96)</f>
        <v/>
      </c>
      <c r="DN96" s="168" t="str">
        <f t="shared" si="348"/>
        <v/>
      </c>
      <c r="DO96" s="169" t="str">
        <f t="shared" si="341"/>
        <v/>
      </c>
      <c r="DP96" s="172" t="str">
        <f t="shared" si="342"/>
        <v/>
      </c>
      <c r="DQ96" s="171" t="str">
        <f t="array" ref="DQ96">IFERROR(IF(DK96="ac"+ISNUMBER(SEARCH("'",DP96))+DO96="","", IF(ISNUMBER(SEARCH("lw",DP96)), DC96 + SUBSTITUTE(DP96,"lw+",""), MROUND(SWITCH(DK96,"sq",DO$7,"bn",DP$7,"dl",DQ$7,"")*IF(DP96&gt;10, DP96/100, VLOOKUP(DP96, _rpe,SUBSTITUTE(DO96,"+","")+1,0)), IF( SWITCH(DK96,"sq",DO$7,"bn",DP$7,"dl", DQ$7,"")&lt; IF(_uom="lbs", 175, 80), 1.25, IF(_uom="lbs",5,2.5))))), "")</f>
        <v/>
      </c>
      <c r="DR96" s="148"/>
      <c r="DS96" s="33"/>
      <c r="DT96" s="171"/>
      <c r="DU96" s="124" t="str">
        <f>IFERROR(__xludf.DUMMYFUNCTION("IF(DQ96=MAX(FILTER(DQ$10:DQ$199,LOOKUP(ROW(DK$10:DK$199),FILTER(ROW(DK$10:DK$199),DK$10:DK$199&lt;&gt;DK$9:DK$198))=LOOKUP(ROW(DK96),FILTER(ROW(DK$10:DK$199),DK$10:DK$199&lt;&gt;DK$9:DK$198)))),DR96,)"),"")</f>
        <v/>
      </c>
      <c r="DV96" s="122"/>
      <c r="DW96" s="33"/>
      <c r="DX96" s="143"/>
      <c r="DY96" s="38"/>
      <c r="DZ96" s="144"/>
      <c r="EA96" s="150"/>
      <c r="EB96" s="174"/>
      <c r="EC96" s="175"/>
      <c r="ED96" s="176"/>
      <c r="EE96" s="155"/>
      <c r="EF96" s="148"/>
      <c r="EG96" s="33"/>
      <c r="EH96" s="155"/>
      <c r="EI96" s="148"/>
      <c r="EJ96" s="33"/>
      <c r="EK96" s="33"/>
      <c r="EL96" s="143"/>
      <c r="EM96" s="38"/>
      <c r="EN96" s="144"/>
      <c r="EO96" s="150"/>
      <c r="EP96" s="174"/>
      <c r="EQ96" s="175"/>
      <c r="ER96" s="176"/>
      <c r="ES96" s="155"/>
      <c r="ET96" s="148"/>
      <c r="EU96" s="33"/>
      <c r="EV96" s="155"/>
      <c r="EW96" s="148"/>
      <c r="EX96" s="33"/>
      <c r="EY96" s="33"/>
      <c r="EZ96" s="143"/>
      <c r="FA96" s="38"/>
      <c r="FB96" s="144"/>
      <c r="FC96" s="150"/>
      <c r="FD96" s="174"/>
      <c r="FE96" s="175"/>
      <c r="FF96" s="176"/>
      <c r="FG96" s="155"/>
      <c r="FH96" s="148"/>
      <c r="FI96" s="33"/>
      <c r="FJ96" s="155"/>
      <c r="FK96" s="148"/>
      <c r="FL96" s="33"/>
      <c r="FM96" s="33"/>
      <c r="FN96" s="143"/>
      <c r="FO96" s="38"/>
      <c r="FP96" s="144"/>
      <c r="FQ96" s="150"/>
      <c r="FR96" s="174"/>
      <c r="FS96" s="175"/>
      <c r="FT96" s="176"/>
      <c r="FU96" s="155"/>
      <c r="FV96" s="148"/>
      <c r="FW96" s="33"/>
      <c r="FX96" s="155"/>
      <c r="FY96" s="148"/>
      <c r="FZ96" s="33"/>
      <c r="GA96" s="33"/>
      <c r="GB96" s="143"/>
      <c r="GC96" s="38"/>
      <c r="GD96" s="144"/>
      <c r="GE96" s="150"/>
      <c r="GF96" s="174"/>
      <c r="GG96" s="175"/>
      <c r="GH96" s="176"/>
      <c r="GI96" s="155"/>
      <c r="GJ96" s="148"/>
      <c r="GK96" s="33"/>
      <c r="GL96" s="155"/>
      <c r="GM96" s="148"/>
      <c r="GN96" s="33"/>
      <c r="GO96" s="33"/>
      <c r="GP96" s="143"/>
      <c r="GQ96" s="38"/>
      <c r="GR96" s="144"/>
      <c r="GS96" s="150"/>
      <c r="GT96" s="174"/>
      <c r="GU96" s="175"/>
      <c r="GV96" s="176"/>
      <c r="GW96" s="155"/>
      <c r="GX96" s="148"/>
      <c r="GY96" s="33"/>
      <c r="GZ96" s="155"/>
      <c r="HA96" s="148"/>
      <c r="HB96" s="33"/>
      <c r="HC96" s="33"/>
      <c r="HD96" s="143"/>
      <c r="HE96" s="38"/>
      <c r="HF96" s="144"/>
      <c r="HG96" s="150"/>
      <c r="HH96" s="174"/>
      <c r="HI96" s="175"/>
      <c r="HJ96" s="176"/>
      <c r="HK96" s="155"/>
      <c r="HL96" s="148"/>
      <c r="HM96" s="33"/>
      <c r="HN96" s="155"/>
      <c r="HO96" s="148"/>
      <c r="HP96" s="33"/>
      <c r="HQ96" s="33"/>
      <c r="HR96" s="143"/>
      <c r="HS96" s="38"/>
      <c r="HT96" s="144"/>
      <c r="HU96" s="150"/>
      <c r="HV96" s="174"/>
      <c r="HW96" s="175"/>
      <c r="HX96" s="176"/>
      <c r="HY96" s="155"/>
      <c r="HZ96" s="148"/>
      <c r="IA96" s="33"/>
      <c r="IB96" s="155"/>
      <c r="IC96" s="148"/>
      <c r="ID96" s="33"/>
      <c r="IE96" s="33"/>
      <c r="IF96" s="143"/>
      <c r="IG96" s="38"/>
      <c r="IH96" s="144"/>
      <c r="II96" s="150"/>
      <c r="IJ96" s="174"/>
      <c r="IK96" s="175"/>
      <c r="IL96" s="176"/>
      <c r="IM96" s="155"/>
      <c r="IN96" s="148"/>
      <c r="IO96" s="33"/>
      <c r="IP96" s="155"/>
      <c r="IQ96" s="148"/>
      <c r="IR96" s="33"/>
      <c r="IS96" s="33"/>
      <c r="IT96" s="143"/>
      <c r="IU96" s="38"/>
      <c r="IV96" s="144"/>
      <c r="IW96" s="143"/>
      <c r="IX96" s="38"/>
      <c r="IY96" s="144" t="e">
        <v>#REF!</v>
      </c>
    </row>
    <row r="97">
      <c r="A97" s="33"/>
      <c r="B97" s="181"/>
      <c r="C97" s="38" t="str">
        <f>IFERROR(__xludf.DUMMYFUNCTION("""COMPUTED_VALUE"""),"")</f>
        <v/>
      </c>
      <c r="D97" s="144">
        <v>46111.0</v>
      </c>
      <c r="E97" s="167"/>
      <c r="F97" s="168"/>
      <c r="G97" s="169"/>
      <c r="H97" s="170"/>
      <c r="I97" s="171" t="str">
        <f t="array" ref="I97">IFERROR(IF(C97="ac"+ISNUMBER(SEARCH("'",H97))+G97="","", MROUND(SWITCH(C97,"sq",'Personal Info'!$O$15,"bn",'Personal Info'!$S$15,"dl",'Personal Info'!$W$15,"")*IF(H97&gt;10, H97/100, VLOOKUP(H97, _rpe,SUBSTITUTE(G97,"+","")+1,0)), IF( SWITCH(C97:C210,"sq",'Personal Info'!$O$15,"bn",'Personal Info'!$S$15,"dl", 'Personal Info'!$W$15,"")&lt; IF(_uom="lbs", 175, 80), 1.25, IF(_uom="lbs",5,2.5)))),"")</f>
        <v/>
      </c>
      <c r="J97" s="148"/>
      <c r="K97" s="33"/>
      <c r="L97" s="171"/>
      <c r="M97" s="124" t="str">
        <f>IFERROR(__xludf.DUMMYFUNCTION("IF(I97=MAX(FILTER(I$10:I$199,LOOKUP(ROW(C$10:C$199),FILTER(ROW(C$10:C$199),C$10:C$199&lt;&gt;C$9:C$198))=LOOKUP(ROW(C97),FILTER(ROW(C$10:C$199),C$10:C$199&lt;&gt;C$9:C$198)))),J97,)"),"")</f>
        <v/>
      </c>
      <c r="N97" s="122"/>
      <c r="O97" s="33"/>
      <c r="P97" s="143" t="str">
        <f t="shared" si="12"/>
        <v/>
      </c>
      <c r="Q97" s="38" t="str">
        <f>IFERROR(__xludf.DUMMYFUNCTION("""COMPUTED_VALUE"""),"")</f>
        <v/>
      </c>
      <c r="R97" s="144">
        <v>46118.0</v>
      </c>
      <c r="S97" s="167" t="str">
        <f t="shared" si="13"/>
        <v/>
      </c>
      <c r="T97" s="168" t="str">
        <f t="shared" si="319"/>
        <v/>
      </c>
      <c r="U97" s="169" t="str">
        <f t="shared" si="320"/>
        <v/>
      </c>
      <c r="V97" s="172" t="str">
        <f t="shared" si="321"/>
        <v/>
      </c>
      <c r="W97" s="171" t="str">
        <f t="array" ref="W97">IFERROR(IF(Q97="ac"+ISNUMBER(SEARCH("'",V97))+U97="","", IF(ISNUMBER(SEARCH("lw",V97)), I97 + SUBSTITUTE(V97,"lw+",""), MROUND(SWITCH(Q97,"sq",U$7,"bn",V$7,"dl",W$7,"")*IF(V97&gt;10, V97/100, VLOOKUP(V97, _rpe,SUBSTITUTE(U97,"+","")+1,0)), IF( SWITCH(Q97,"sq",U$7,"bn",V$7,"dl", W$7,"")&lt; IF(_uom="lbs", 175, 80), 1.25, IF(_uom="lbs",5,2.5))))), "")</f>
        <v/>
      </c>
      <c r="X97" s="148"/>
      <c r="Y97" s="33"/>
      <c r="Z97" s="171"/>
      <c r="AA97" s="124" t="str">
        <f>IFERROR(__xludf.DUMMYFUNCTION("IF(W97=MAX(FILTER(W$10:W$199,LOOKUP(ROW(Q$10:Q$199),FILTER(ROW(Q$10:Q$199),Q$10:Q$199&lt;&gt;Q$9:Q$198))=LOOKUP(ROW(Q97),FILTER(ROW(Q$10:Q$199),Q$10:Q$199&lt;&gt;Q$9:Q$198)))),X97,)"),"")</f>
        <v/>
      </c>
      <c r="AB97" s="122"/>
      <c r="AC97" s="33"/>
      <c r="AD97" s="143" t="str">
        <f t="shared" si="14"/>
        <v/>
      </c>
      <c r="AE97" s="38" t="str">
        <f>IFERROR(__xludf.DUMMYFUNCTION("""COMPUTED_VALUE"""),"")</f>
        <v/>
      </c>
      <c r="AF97" s="144">
        <v>46125.0</v>
      </c>
      <c r="AG97" s="167" t="str">
        <f t="shared" si="54"/>
        <v/>
      </c>
      <c r="AH97" s="168" t="str">
        <f t="shared" si="322"/>
        <v/>
      </c>
      <c r="AI97" s="169" t="str">
        <f t="shared" si="323"/>
        <v/>
      </c>
      <c r="AJ97" s="172" t="str">
        <f t="shared" si="324"/>
        <v/>
      </c>
      <c r="AK97" s="171" t="str">
        <f t="array" ref="AK97">IFERROR(IF(AE97="ac"+ISNUMBER(SEARCH("'",AJ97))+AI97="","", IF(ISNUMBER(SEARCH("lw",AJ97)), W97 + SUBSTITUTE(AJ97,"lw+",""), MROUND(SWITCH(AE97,"sq",AI$7,"bn",AJ$7,"dl",AK$7,"")*IF(AJ97&gt;10, AJ97/100, VLOOKUP(AJ97, _rpe,SUBSTITUTE(AI97,"+","")+1,0)), IF( SWITCH(AE97,"sq",AI$7,"bn",AJ$7,"dl", AK$7,"")&lt; IF(_uom="lbs", 175, 80), 1.25, IF(_uom="lbs",5,2.5))))), "")</f>
        <v/>
      </c>
      <c r="AL97" s="148"/>
      <c r="AM97" s="33"/>
      <c r="AN97" s="171"/>
      <c r="AO97" s="124" t="str">
        <f>IFERROR(__xludf.DUMMYFUNCTION("IF(AK97=MAX(FILTER(AK$10:AK$199,LOOKUP(ROW(AE$10:AE$199),FILTER(ROW(AE$10:AE$199),AE$10:AE$199&lt;&gt;AE$9:AE$198))=LOOKUP(ROW(AE97),FILTER(ROW(AE$10:AE$199),AE$10:AE$199&lt;&gt;AE$9:AE$198)))),AL97,)"),"")</f>
        <v/>
      </c>
      <c r="AP97" s="122"/>
      <c r="AQ97" s="33"/>
      <c r="AR97" s="143" t="str">
        <f t="shared" si="16"/>
        <v/>
      </c>
      <c r="AS97" s="38" t="str">
        <f>IFERROR(__xludf.DUMMYFUNCTION("""COMPUTED_VALUE"""),"")</f>
        <v/>
      </c>
      <c r="AT97" s="144">
        <v>46132.0</v>
      </c>
      <c r="AU97" s="167" t="str">
        <f t="shared" si="26"/>
        <v/>
      </c>
      <c r="AV97" s="168" t="str">
        <f t="shared" si="325"/>
        <v/>
      </c>
      <c r="AW97" s="169" t="str">
        <f t="shared" si="326"/>
        <v/>
      </c>
      <c r="AX97" s="172" t="str">
        <f t="shared" si="327"/>
        <v/>
      </c>
      <c r="AY97" s="171" t="str">
        <f t="array" ref="AY97">IFERROR(IF(AS97="ac"+ISNUMBER(SEARCH("'",AX97))+AW97="","", IF(ISNUMBER(SEARCH("lw",AX97)), AK97 + SUBSTITUTE(AX97,"lw+",""), MROUND(SWITCH(AS97,"sq",AW$7,"bn",AX$7,"dl",AY$7,"")*IF(AX97&gt;10, AX97/100, VLOOKUP(AX97, _rpe,SUBSTITUTE(AW97,"+","")+1,0)), IF( SWITCH(AS97,"sq",AW$7,"bn",AX$7,"dl", AY$7,"")&lt; IF(_uom="lbs", 175, 80), 1.25, IF(_uom="lbs",5,2.5))))), "")</f>
        <v/>
      </c>
      <c r="AZ97" s="148"/>
      <c r="BA97" s="33"/>
      <c r="BB97" s="171"/>
      <c r="BC97" s="124" t="str">
        <f>IFERROR(__xludf.DUMMYFUNCTION("IF(AY97=MAX(FILTER(AY$10:AY$199,LOOKUP(ROW(AS$10:AS$199),FILTER(ROW(AS$10:AS$199),AS$10:AS$199&lt;&gt;AS$9:AS$198))=LOOKUP(ROW(AS97),FILTER(ROW(AS$10:AS$199),AS$10:AS$199&lt;&gt;AS$9:AS$198)))),AZ97,)"),"")</f>
        <v/>
      </c>
      <c r="BD97" s="122"/>
      <c r="BE97" s="33"/>
      <c r="BF97" s="143" t="str">
        <f t="shared" si="17"/>
        <v/>
      </c>
      <c r="BG97" s="38" t="str">
        <f>IFERROR(__xludf.DUMMYFUNCTION("""COMPUTED_VALUE"""),"")</f>
        <v/>
      </c>
      <c r="BH97" s="144">
        <v>46139.0</v>
      </c>
      <c r="BI97" s="167" t="str">
        <f t="shared" si="18"/>
        <v/>
      </c>
      <c r="BJ97" s="168" t="str">
        <f t="shared" si="328"/>
        <v/>
      </c>
      <c r="BK97" s="169" t="str">
        <f t="shared" si="329"/>
        <v/>
      </c>
      <c r="BL97" s="172" t="str">
        <f t="shared" si="330"/>
        <v/>
      </c>
      <c r="BM97" s="171" t="str">
        <f t="array" ref="BM97">IFERROR(IF(BG97="ac"+ISNUMBER(SEARCH("'",BL97))+BK97="","", IF(ISNUMBER(SEARCH("lw",BL97)), AY97 + SUBSTITUTE(BL97,"lw+",""), MROUND(SWITCH(BG97,"sq",BK$7,"bn",BL$7,"dl",BM$7,"")*IF(BL97&gt;10, BL97/100, VLOOKUP(BL97, _rpe,SUBSTITUTE(BK97,"+","")+1,0)), IF( SWITCH(BG97,"sq",BK$7,"bn",BL$7,"dl", BM$7,"")&lt; IF(_uom="lbs", 175, 80), 1.25, IF(_uom="lbs",5,2.5))))), "")</f>
        <v/>
      </c>
      <c r="BN97" s="148"/>
      <c r="BO97" s="33"/>
      <c r="BP97" s="171"/>
      <c r="BQ97" s="124" t="str">
        <f>IFERROR(__xludf.DUMMYFUNCTION("IF(BM97=MAX(FILTER(BM$10:BM$199,LOOKUP(ROW(BG$10:BG$199),FILTER(ROW(BG$10:BG$199),BG$10:BG$199&lt;&gt;BG$9:BG$198))=LOOKUP(ROW(BG97),FILTER(ROW(BG$10:BG$199),BG$10:BG$199&lt;&gt;BG$9:BG$198)))),BN97,)"),"")</f>
        <v/>
      </c>
      <c r="BR97" s="122"/>
      <c r="BS97" s="33"/>
      <c r="BT97" s="143" t="str">
        <f t="shared" si="19"/>
        <v/>
      </c>
      <c r="BU97" s="38" t="str">
        <f>IFERROR(__xludf.DUMMYFUNCTION("""COMPUTED_VALUE"""),"")</f>
        <v/>
      </c>
      <c r="BV97" s="144">
        <v>46146.0</v>
      </c>
      <c r="BW97" s="167" t="str">
        <f t="shared" si="20"/>
        <v/>
      </c>
      <c r="BX97" s="168" t="str">
        <f t="shared" si="331"/>
        <v/>
      </c>
      <c r="BY97" s="169" t="str">
        <f t="shared" si="332"/>
        <v/>
      </c>
      <c r="BZ97" s="172" t="str">
        <f t="shared" si="333"/>
        <v/>
      </c>
      <c r="CA97" s="171" t="str">
        <f t="array" ref="CA97">IFERROR(IF(BU97="ac"+ISNUMBER(SEARCH("'",BZ97))+BY97="","", IF(ISNUMBER(SEARCH("lw",BZ97)), BM97 + SUBSTITUTE(BZ97,"lw+",""), MROUND(SWITCH(BU97,"sq",BY$7,"bn",BZ$7,"dl",CA$7,"")*IF(BZ97&gt;10, BZ97/100, VLOOKUP(BZ97, _rpe,SUBSTITUTE(BY97,"+","")+1,0)), IF( SWITCH(BU97,"sq",BY$7,"bn",BZ$7,"dl", CA$7,"")&lt; IF(_uom="lbs", 175, 80), 1.25, IF(_uom="lbs",5,2.5))))), "")</f>
        <v/>
      </c>
      <c r="CB97" s="148"/>
      <c r="CC97" s="33"/>
      <c r="CD97" s="171"/>
      <c r="CE97" s="124" t="str">
        <f>IFERROR(__xludf.DUMMYFUNCTION("IF(CA97=MAX(FILTER(CA$10:CA$199,LOOKUP(ROW(BU$10:BU$199),FILTER(ROW(BU$10:BU$199),BU$10:BU$199&lt;&gt;BU$9:BU$198))=LOOKUP(ROW(BU97),FILTER(ROW(BU$10:BU$199),BU$10:BU$199&lt;&gt;BU$9:BU$198)))),CB97,)"),"")</f>
        <v/>
      </c>
      <c r="CF97" s="122"/>
      <c r="CG97" s="33"/>
      <c r="CH97" s="143" t="str">
        <f t="shared" si="21"/>
        <v/>
      </c>
      <c r="CI97" s="38" t="str">
        <f>IFERROR(__xludf.DUMMYFUNCTION("""COMPUTED_VALUE"""),"")</f>
        <v/>
      </c>
      <c r="CJ97" s="144">
        <v>46153.0</v>
      </c>
      <c r="CK97" s="167" t="str">
        <f t="shared" si="27"/>
        <v/>
      </c>
      <c r="CL97" s="168" t="str">
        <f t="shared" si="334"/>
        <v/>
      </c>
      <c r="CM97" s="169" t="str">
        <f t="shared" si="335"/>
        <v/>
      </c>
      <c r="CN97" s="172" t="str">
        <f t="shared" si="336"/>
        <v/>
      </c>
      <c r="CO97" s="171" t="str">
        <f t="array" ref="CO97">IFERROR(IF(CI97="ac"+ISNUMBER(SEARCH("'",CN97))+CM97="","", IF(ISNUMBER(SEARCH("lw",CN97)), CA97 + SUBSTITUTE(CN97,"lw+",""), MROUND(SWITCH(CI97,"sq",CM$7,"bn",CN$7,"dl",CO$7,"")*IF(CN97&gt;10, CN97/100, VLOOKUP(CN97, _rpe,SUBSTITUTE(CM97,"+","")+1,0)), IF( SWITCH(CI97,"sq",CM$7,"bn",CN$7,"dl", CO$7,"")&lt; IF(_uom="lbs", 175, 80), 1.25, IF(_uom="lbs",5,2.5))))), "")</f>
        <v/>
      </c>
      <c r="CP97" s="148"/>
      <c r="CQ97" s="33"/>
      <c r="CR97" s="171"/>
      <c r="CS97" s="124" t="str">
        <f>IFERROR(__xludf.DUMMYFUNCTION("IF(CO97=MAX(FILTER(CO$10:CO$199,LOOKUP(ROW(CI$10:CI$199),FILTER(ROW(CI$10:CI$199),CI$10:CI$199&lt;&gt;CI$9:CI$198))=LOOKUP(ROW(CI97),FILTER(ROW(CI$10:CI$199),CI$10:CI$199&lt;&gt;CI$9:CI$198)))),CP97,)"),"")</f>
        <v/>
      </c>
      <c r="CT97" s="122"/>
      <c r="CU97" s="33"/>
      <c r="CV97" s="143" t="str">
        <f t="shared" si="22"/>
        <v/>
      </c>
      <c r="CW97" s="38" t="str">
        <f>IFERROR(__xludf.DUMMYFUNCTION("""COMPUTED_VALUE"""),"")</f>
        <v/>
      </c>
      <c r="CX97" s="144">
        <v>46160.0</v>
      </c>
      <c r="CY97" s="167" t="str">
        <f t="shared" si="28"/>
        <v/>
      </c>
      <c r="CZ97" s="168" t="str">
        <f t="shared" si="337"/>
        <v/>
      </c>
      <c r="DA97" s="169" t="str">
        <f t="shared" si="338"/>
        <v/>
      </c>
      <c r="DB97" s="172" t="str">
        <f t="shared" si="339"/>
        <v/>
      </c>
      <c r="DC97" s="171" t="str">
        <f t="array" ref="DC97">IFERROR(IF(CW97="ac"+ISNUMBER(SEARCH("'",DB97))+DA97="","", IF(ISNUMBER(SEARCH("lw",DB97)), CO97 + SUBSTITUTE(DB97,"lw+",""), MROUND(SWITCH(CW97,"sq",DA$7,"bn",DB$7,"dl",DC$7,"")*IF(DB97&gt;10, DB97/100, VLOOKUP(DB97, _rpe,SUBSTITUTE(DA97,"+","")+1,0)), IF( SWITCH(CW97,"sq",DA$7,"bn",DB$7,"dl", DC$7,"")&lt; IF(_uom="lbs", 175, 80), 1.25, IF(_uom="lbs",5,2.5))))), "")</f>
        <v/>
      </c>
      <c r="DD97" s="148"/>
      <c r="DE97" s="33"/>
      <c r="DF97" s="171"/>
      <c r="DG97" s="124" t="str">
        <f>IFERROR(__xludf.DUMMYFUNCTION("IF(DC97=MAX(FILTER(DC$10:DC$199,LOOKUP(ROW(CW$10:CW$199),FILTER(ROW(CW$10:CW$199),CW$10:CW$199&lt;&gt;CW$9:CW$198))=LOOKUP(ROW(CW97),FILTER(ROW(CW$10:CW$199),CW$10:CW$199&lt;&gt;CW$9:CW$198)))),DD97,)"),"")</f>
        <v/>
      </c>
      <c r="DH97" s="122"/>
      <c r="DI97" s="33"/>
      <c r="DJ97" s="143" t="str">
        <f t="shared" si="23"/>
        <v/>
      </c>
      <c r="DK97" s="38" t="str">
        <f>IFERROR(__xludf.DUMMYFUNCTION("""COMPUTED_VALUE"""),"")</f>
        <v/>
      </c>
      <c r="DL97" s="144">
        <v>46167.0</v>
      </c>
      <c r="DM97" s="167" t="str">
        <f t="shared" ref="DM97:DN97" si="349">IF(ISBLANK(CY97),"",CY97)</f>
        <v/>
      </c>
      <c r="DN97" s="168" t="str">
        <f t="shared" si="349"/>
        <v/>
      </c>
      <c r="DO97" s="169" t="str">
        <f t="shared" si="341"/>
        <v/>
      </c>
      <c r="DP97" s="172" t="str">
        <f t="shared" si="342"/>
        <v/>
      </c>
      <c r="DQ97" s="171" t="str">
        <f t="array" ref="DQ97">IFERROR(IF(DK97="ac"+ISNUMBER(SEARCH("'",DP97))+DO97="","", IF(ISNUMBER(SEARCH("lw",DP97)), DC97 + SUBSTITUTE(DP97,"lw+",""), MROUND(SWITCH(DK97,"sq",DO$7,"bn",DP$7,"dl",DQ$7,"")*IF(DP97&gt;10, DP97/100, VLOOKUP(DP97, _rpe,SUBSTITUTE(DO97,"+","")+1,0)), IF( SWITCH(DK97,"sq",DO$7,"bn",DP$7,"dl", DQ$7,"")&lt; IF(_uom="lbs", 175, 80), 1.25, IF(_uom="lbs",5,2.5))))), "")</f>
        <v/>
      </c>
      <c r="DR97" s="148"/>
      <c r="DS97" s="33"/>
      <c r="DT97" s="171"/>
      <c r="DU97" s="124" t="str">
        <f>IFERROR(__xludf.DUMMYFUNCTION("IF(DQ97=MAX(FILTER(DQ$10:DQ$199,LOOKUP(ROW(DK$10:DK$199),FILTER(ROW(DK$10:DK$199),DK$10:DK$199&lt;&gt;DK$9:DK$198))=LOOKUP(ROW(DK97),FILTER(ROW(DK$10:DK$199),DK$10:DK$199&lt;&gt;DK$9:DK$198)))),DR97,)"),"")</f>
        <v/>
      </c>
      <c r="DV97" s="122"/>
      <c r="DW97" s="33"/>
      <c r="DX97" s="143"/>
      <c r="DY97" s="38"/>
      <c r="DZ97" s="144"/>
      <c r="EA97" s="150"/>
      <c r="EB97" s="174"/>
      <c r="EC97" s="175"/>
      <c r="ED97" s="176"/>
      <c r="EE97" s="155"/>
      <c r="EF97" s="148"/>
      <c r="EG97" s="33"/>
      <c r="EH97" s="155"/>
      <c r="EI97" s="148"/>
      <c r="EJ97" s="33"/>
      <c r="EK97" s="33"/>
      <c r="EL97" s="143"/>
      <c r="EM97" s="38"/>
      <c r="EN97" s="144"/>
      <c r="EO97" s="150"/>
      <c r="EP97" s="174"/>
      <c r="EQ97" s="175"/>
      <c r="ER97" s="176"/>
      <c r="ES97" s="155"/>
      <c r="ET97" s="148"/>
      <c r="EU97" s="33"/>
      <c r="EV97" s="155"/>
      <c r="EW97" s="148"/>
      <c r="EX97" s="33"/>
      <c r="EY97" s="33"/>
      <c r="EZ97" s="143"/>
      <c r="FA97" s="38"/>
      <c r="FB97" s="144"/>
      <c r="FC97" s="150"/>
      <c r="FD97" s="174"/>
      <c r="FE97" s="175"/>
      <c r="FF97" s="176"/>
      <c r="FG97" s="155"/>
      <c r="FH97" s="148"/>
      <c r="FI97" s="33"/>
      <c r="FJ97" s="155"/>
      <c r="FK97" s="148"/>
      <c r="FL97" s="33"/>
      <c r="FM97" s="33"/>
      <c r="FN97" s="143"/>
      <c r="FO97" s="38"/>
      <c r="FP97" s="144"/>
      <c r="FQ97" s="150"/>
      <c r="FR97" s="174"/>
      <c r="FS97" s="175"/>
      <c r="FT97" s="176"/>
      <c r="FU97" s="155"/>
      <c r="FV97" s="148"/>
      <c r="FW97" s="33"/>
      <c r="FX97" s="155"/>
      <c r="FY97" s="148"/>
      <c r="FZ97" s="33"/>
      <c r="GA97" s="33"/>
      <c r="GB97" s="143"/>
      <c r="GC97" s="38"/>
      <c r="GD97" s="144"/>
      <c r="GE97" s="150"/>
      <c r="GF97" s="174"/>
      <c r="GG97" s="175"/>
      <c r="GH97" s="176"/>
      <c r="GI97" s="155"/>
      <c r="GJ97" s="148"/>
      <c r="GK97" s="33"/>
      <c r="GL97" s="155"/>
      <c r="GM97" s="148"/>
      <c r="GN97" s="33"/>
      <c r="GO97" s="33"/>
      <c r="GP97" s="143"/>
      <c r="GQ97" s="38"/>
      <c r="GR97" s="144"/>
      <c r="GS97" s="150"/>
      <c r="GT97" s="174"/>
      <c r="GU97" s="175"/>
      <c r="GV97" s="176"/>
      <c r="GW97" s="155"/>
      <c r="GX97" s="148"/>
      <c r="GY97" s="33"/>
      <c r="GZ97" s="155"/>
      <c r="HA97" s="148"/>
      <c r="HB97" s="33"/>
      <c r="HC97" s="33"/>
      <c r="HD97" s="143"/>
      <c r="HE97" s="38"/>
      <c r="HF97" s="144"/>
      <c r="HG97" s="150"/>
      <c r="HH97" s="174"/>
      <c r="HI97" s="175"/>
      <c r="HJ97" s="176"/>
      <c r="HK97" s="155"/>
      <c r="HL97" s="148"/>
      <c r="HM97" s="33"/>
      <c r="HN97" s="155"/>
      <c r="HO97" s="148"/>
      <c r="HP97" s="33"/>
      <c r="HQ97" s="33"/>
      <c r="HR97" s="143"/>
      <c r="HS97" s="38"/>
      <c r="HT97" s="144"/>
      <c r="HU97" s="150"/>
      <c r="HV97" s="174"/>
      <c r="HW97" s="175"/>
      <c r="HX97" s="176"/>
      <c r="HY97" s="155"/>
      <c r="HZ97" s="148"/>
      <c r="IA97" s="33"/>
      <c r="IB97" s="155"/>
      <c r="IC97" s="148"/>
      <c r="ID97" s="33"/>
      <c r="IE97" s="33"/>
      <c r="IF97" s="143"/>
      <c r="IG97" s="38"/>
      <c r="IH97" s="144"/>
      <c r="II97" s="150"/>
      <c r="IJ97" s="174"/>
      <c r="IK97" s="175"/>
      <c r="IL97" s="176"/>
      <c r="IM97" s="155"/>
      <c r="IN97" s="148"/>
      <c r="IO97" s="33"/>
      <c r="IP97" s="155"/>
      <c r="IQ97" s="148"/>
      <c r="IR97" s="33"/>
      <c r="IS97" s="33"/>
      <c r="IT97" s="143"/>
      <c r="IU97" s="38"/>
      <c r="IV97" s="144"/>
      <c r="IW97" s="143"/>
      <c r="IX97" s="38"/>
      <c r="IY97" s="144" t="e">
        <v>#REF!</v>
      </c>
    </row>
    <row r="98">
      <c r="A98" s="33"/>
      <c r="B98" s="181"/>
      <c r="C98" s="38" t="str">
        <f>IFERROR(__xludf.DUMMYFUNCTION("""COMPUTED_VALUE"""),"")</f>
        <v/>
      </c>
      <c r="D98" s="144">
        <v>46111.0</v>
      </c>
      <c r="E98" s="182"/>
      <c r="F98" s="168"/>
      <c r="G98" s="169"/>
      <c r="H98" s="170"/>
      <c r="I98" s="171" t="str">
        <f t="array" ref="I98">IFERROR(IF(C98="ac"+ISNUMBER(SEARCH("'",H98))+G98="","", MROUND(SWITCH(C98,"sq",'Personal Info'!$O$15,"bn",'Personal Info'!$S$15,"dl",'Personal Info'!$W$15,"")*IF(H98&gt;10, H98/100, VLOOKUP(H98, _rpe,SUBSTITUTE(G98,"+","")+1,0)), IF( SWITCH(C98:C210,"sq",'Personal Info'!$O$15,"bn",'Personal Info'!$S$15,"dl", 'Personal Info'!$W$15,"")&lt; IF(_uom="lbs", 175, 80), 1.25, IF(_uom="lbs",5,2.5)))),"")</f>
        <v/>
      </c>
      <c r="J98" s="148"/>
      <c r="K98" s="33"/>
      <c r="L98" s="171"/>
      <c r="M98" s="124" t="str">
        <f>IFERROR(__xludf.DUMMYFUNCTION("IF(I98=MAX(FILTER(I$10:I$199,LOOKUP(ROW(C$10:C$199),FILTER(ROW(C$10:C$199),C$10:C$199&lt;&gt;C$9:C$198))=LOOKUP(ROW(C98),FILTER(ROW(C$10:C$199),C$10:C$199&lt;&gt;C$9:C$198)))),J98,)"),"")</f>
        <v/>
      </c>
      <c r="N98" s="122"/>
      <c r="O98" s="33"/>
      <c r="P98" s="143" t="str">
        <f t="shared" si="12"/>
        <v/>
      </c>
      <c r="Q98" s="38" t="str">
        <f>IFERROR(__xludf.DUMMYFUNCTION("""COMPUTED_VALUE"""),"")</f>
        <v/>
      </c>
      <c r="R98" s="144">
        <v>46118.0</v>
      </c>
      <c r="S98" s="167" t="str">
        <f t="shared" si="13"/>
        <v/>
      </c>
      <c r="T98" s="168" t="str">
        <f t="shared" si="319"/>
        <v/>
      </c>
      <c r="U98" s="169" t="str">
        <f t="shared" si="320"/>
        <v/>
      </c>
      <c r="V98" s="172" t="str">
        <f t="shared" si="321"/>
        <v/>
      </c>
      <c r="W98" s="171" t="str">
        <f t="array" ref="W98">IFERROR(IF(Q98="ac"+ISNUMBER(SEARCH("'",V98))+U98="","", IF(ISNUMBER(SEARCH("lw",V98)), I98 + SUBSTITUTE(V98,"lw+",""), MROUND(SWITCH(Q98,"sq",U$7,"bn",V$7,"dl",W$7,"")*IF(V98&gt;10, V98/100, VLOOKUP(V98, _rpe,SUBSTITUTE(U98,"+","")+1,0)), IF( SWITCH(Q98,"sq",U$7,"bn",V$7,"dl", W$7,"")&lt; IF(_uom="lbs", 175, 80), 1.25, IF(_uom="lbs",5,2.5))))), "")</f>
        <v/>
      </c>
      <c r="X98" s="148"/>
      <c r="Y98" s="33"/>
      <c r="Z98" s="171"/>
      <c r="AA98" s="124" t="str">
        <f>IFERROR(__xludf.DUMMYFUNCTION("IF(W98=MAX(FILTER(W$10:W$199,LOOKUP(ROW(Q$10:Q$199),FILTER(ROW(Q$10:Q$199),Q$10:Q$199&lt;&gt;Q$9:Q$198))=LOOKUP(ROW(Q98),FILTER(ROW(Q$10:Q$199),Q$10:Q$199&lt;&gt;Q$9:Q$198)))),X98,)"),"")</f>
        <v/>
      </c>
      <c r="AB98" s="122"/>
      <c r="AC98" s="33"/>
      <c r="AD98" s="143" t="str">
        <f t="shared" si="14"/>
        <v/>
      </c>
      <c r="AE98" s="38" t="str">
        <f>IFERROR(__xludf.DUMMYFUNCTION("""COMPUTED_VALUE"""),"")</f>
        <v/>
      </c>
      <c r="AF98" s="144">
        <v>46125.0</v>
      </c>
      <c r="AG98" s="167" t="str">
        <f t="shared" si="54"/>
        <v/>
      </c>
      <c r="AH98" s="168" t="str">
        <f t="shared" si="322"/>
        <v/>
      </c>
      <c r="AI98" s="169" t="str">
        <f t="shared" si="323"/>
        <v/>
      </c>
      <c r="AJ98" s="172" t="str">
        <f t="shared" si="324"/>
        <v/>
      </c>
      <c r="AK98" s="171" t="str">
        <f t="array" ref="AK98">IFERROR(IF(AE98="ac"+ISNUMBER(SEARCH("'",AJ98))+AI98="","", IF(ISNUMBER(SEARCH("lw",AJ98)), W98 + SUBSTITUTE(AJ98,"lw+",""), MROUND(SWITCH(AE98,"sq",AI$7,"bn",AJ$7,"dl",AK$7,"")*IF(AJ98&gt;10, AJ98/100, VLOOKUP(AJ98, _rpe,SUBSTITUTE(AI98,"+","")+1,0)), IF( SWITCH(AE98,"sq",AI$7,"bn",AJ$7,"dl", AK$7,"")&lt; IF(_uom="lbs", 175, 80), 1.25, IF(_uom="lbs",5,2.5))))), "")</f>
        <v/>
      </c>
      <c r="AL98" s="148"/>
      <c r="AM98" s="33"/>
      <c r="AN98" s="171"/>
      <c r="AO98" s="124" t="str">
        <f>IFERROR(__xludf.DUMMYFUNCTION("IF(AK98=MAX(FILTER(AK$10:AK$199,LOOKUP(ROW(AE$10:AE$199),FILTER(ROW(AE$10:AE$199),AE$10:AE$199&lt;&gt;AE$9:AE$198))=LOOKUP(ROW(AE98),FILTER(ROW(AE$10:AE$199),AE$10:AE$199&lt;&gt;AE$9:AE$198)))),AL98,)"),"")</f>
        <v/>
      </c>
      <c r="AP98" s="122"/>
      <c r="AQ98" s="33"/>
      <c r="AR98" s="143" t="str">
        <f t="shared" si="16"/>
        <v/>
      </c>
      <c r="AS98" s="38" t="str">
        <f>IFERROR(__xludf.DUMMYFUNCTION("""COMPUTED_VALUE"""),"")</f>
        <v/>
      </c>
      <c r="AT98" s="144">
        <v>46132.0</v>
      </c>
      <c r="AU98" s="167" t="str">
        <f t="shared" si="26"/>
        <v/>
      </c>
      <c r="AV98" s="168" t="str">
        <f t="shared" si="325"/>
        <v/>
      </c>
      <c r="AW98" s="169" t="str">
        <f t="shared" si="326"/>
        <v/>
      </c>
      <c r="AX98" s="172" t="str">
        <f t="shared" si="327"/>
        <v/>
      </c>
      <c r="AY98" s="171" t="str">
        <f t="array" ref="AY98">IFERROR(IF(AS98="ac"+ISNUMBER(SEARCH("'",AX98))+AW98="","", IF(ISNUMBER(SEARCH("lw",AX98)), AK98 + SUBSTITUTE(AX98,"lw+",""), MROUND(SWITCH(AS98,"sq",AW$7,"bn",AX$7,"dl",AY$7,"")*IF(AX98&gt;10, AX98/100, VLOOKUP(AX98, _rpe,SUBSTITUTE(AW98,"+","")+1,0)), IF( SWITCH(AS98,"sq",AW$7,"bn",AX$7,"dl", AY$7,"")&lt; IF(_uom="lbs", 175, 80), 1.25, IF(_uom="lbs",5,2.5))))), "")</f>
        <v/>
      </c>
      <c r="AZ98" s="148"/>
      <c r="BA98" s="33"/>
      <c r="BB98" s="171"/>
      <c r="BC98" s="124" t="str">
        <f>IFERROR(__xludf.DUMMYFUNCTION("IF(AY98=MAX(FILTER(AY$10:AY$199,LOOKUP(ROW(AS$10:AS$199),FILTER(ROW(AS$10:AS$199),AS$10:AS$199&lt;&gt;AS$9:AS$198))=LOOKUP(ROW(AS98),FILTER(ROW(AS$10:AS$199),AS$10:AS$199&lt;&gt;AS$9:AS$198)))),AZ98,)"),"")</f>
        <v/>
      </c>
      <c r="BD98" s="122"/>
      <c r="BE98" s="33"/>
      <c r="BF98" s="143" t="str">
        <f t="shared" si="17"/>
        <v/>
      </c>
      <c r="BG98" s="38" t="str">
        <f>IFERROR(__xludf.DUMMYFUNCTION("""COMPUTED_VALUE"""),"")</f>
        <v/>
      </c>
      <c r="BH98" s="144">
        <v>46139.0</v>
      </c>
      <c r="BI98" s="167" t="str">
        <f t="shared" si="18"/>
        <v/>
      </c>
      <c r="BJ98" s="168" t="str">
        <f t="shared" si="328"/>
        <v/>
      </c>
      <c r="BK98" s="169" t="str">
        <f t="shared" si="329"/>
        <v/>
      </c>
      <c r="BL98" s="172" t="str">
        <f t="shared" si="330"/>
        <v/>
      </c>
      <c r="BM98" s="171" t="str">
        <f t="array" ref="BM98">IFERROR(IF(BG98="ac"+ISNUMBER(SEARCH("'",BL98))+BK98="","", IF(ISNUMBER(SEARCH("lw",BL98)), AY98 + SUBSTITUTE(BL98,"lw+",""), MROUND(SWITCH(BG98,"sq",BK$7,"bn",BL$7,"dl",BM$7,"")*IF(BL98&gt;10, BL98/100, VLOOKUP(BL98, _rpe,SUBSTITUTE(BK98,"+","")+1,0)), IF( SWITCH(BG98,"sq",BK$7,"bn",BL$7,"dl", BM$7,"")&lt; IF(_uom="lbs", 175, 80), 1.25, IF(_uom="lbs",5,2.5))))), "")</f>
        <v/>
      </c>
      <c r="BN98" s="148"/>
      <c r="BO98" s="33"/>
      <c r="BP98" s="171"/>
      <c r="BQ98" s="124" t="str">
        <f>IFERROR(__xludf.DUMMYFUNCTION("IF(BM98=MAX(FILTER(BM$10:BM$199,LOOKUP(ROW(BG$10:BG$199),FILTER(ROW(BG$10:BG$199),BG$10:BG$199&lt;&gt;BG$9:BG$198))=LOOKUP(ROW(BG98),FILTER(ROW(BG$10:BG$199),BG$10:BG$199&lt;&gt;BG$9:BG$198)))),BN98,)"),"")</f>
        <v/>
      </c>
      <c r="BR98" s="122"/>
      <c r="BS98" s="33"/>
      <c r="BT98" s="143" t="str">
        <f t="shared" si="19"/>
        <v/>
      </c>
      <c r="BU98" s="38" t="str">
        <f>IFERROR(__xludf.DUMMYFUNCTION("""COMPUTED_VALUE"""),"")</f>
        <v/>
      </c>
      <c r="BV98" s="144">
        <v>46146.0</v>
      </c>
      <c r="BW98" s="167" t="str">
        <f t="shared" si="20"/>
        <v/>
      </c>
      <c r="BX98" s="168" t="str">
        <f t="shared" si="331"/>
        <v/>
      </c>
      <c r="BY98" s="169" t="str">
        <f t="shared" si="332"/>
        <v/>
      </c>
      <c r="BZ98" s="172" t="str">
        <f t="shared" si="333"/>
        <v/>
      </c>
      <c r="CA98" s="171" t="str">
        <f t="array" ref="CA98">IFERROR(IF(BU98="ac"+ISNUMBER(SEARCH("'",BZ98))+BY98="","", IF(ISNUMBER(SEARCH("lw",BZ98)), BM98 + SUBSTITUTE(BZ98,"lw+",""), MROUND(SWITCH(BU98,"sq",BY$7,"bn",BZ$7,"dl",CA$7,"")*IF(BZ98&gt;10, BZ98/100, VLOOKUP(BZ98, _rpe,SUBSTITUTE(BY98,"+","")+1,0)), IF( SWITCH(BU98,"sq",BY$7,"bn",BZ$7,"dl", CA$7,"")&lt; IF(_uom="lbs", 175, 80), 1.25, IF(_uom="lbs",5,2.5))))), "")</f>
        <v/>
      </c>
      <c r="CB98" s="148"/>
      <c r="CC98" s="33"/>
      <c r="CD98" s="171"/>
      <c r="CE98" s="124" t="str">
        <f>IFERROR(__xludf.DUMMYFUNCTION("IF(CA98=MAX(FILTER(CA$10:CA$199,LOOKUP(ROW(BU$10:BU$199),FILTER(ROW(BU$10:BU$199),BU$10:BU$199&lt;&gt;BU$9:BU$198))=LOOKUP(ROW(BU98),FILTER(ROW(BU$10:BU$199),BU$10:BU$199&lt;&gt;BU$9:BU$198)))),CB98,)"),"")</f>
        <v/>
      </c>
      <c r="CF98" s="122"/>
      <c r="CG98" s="33"/>
      <c r="CH98" s="143" t="str">
        <f t="shared" si="21"/>
        <v/>
      </c>
      <c r="CI98" s="38" t="str">
        <f>IFERROR(__xludf.DUMMYFUNCTION("""COMPUTED_VALUE"""),"")</f>
        <v/>
      </c>
      <c r="CJ98" s="144">
        <v>46153.0</v>
      </c>
      <c r="CK98" s="167" t="str">
        <f t="shared" si="27"/>
        <v/>
      </c>
      <c r="CL98" s="168" t="str">
        <f t="shared" si="334"/>
        <v/>
      </c>
      <c r="CM98" s="169" t="str">
        <f t="shared" si="335"/>
        <v/>
      </c>
      <c r="CN98" s="172" t="str">
        <f t="shared" si="336"/>
        <v/>
      </c>
      <c r="CO98" s="171" t="str">
        <f t="array" ref="CO98">IFERROR(IF(CI98="ac"+ISNUMBER(SEARCH("'",CN98))+CM98="","", IF(ISNUMBER(SEARCH("lw",CN98)), CA98 + SUBSTITUTE(CN98,"lw+",""), MROUND(SWITCH(CI98,"sq",CM$7,"bn",CN$7,"dl",CO$7,"")*IF(CN98&gt;10, CN98/100, VLOOKUP(CN98, _rpe,SUBSTITUTE(CM98,"+","")+1,0)), IF( SWITCH(CI98,"sq",CM$7,"bn",CN$7,"dl", CO$7,"")&lt; IF(_uom="lbs", 175, 80), 1.25, IF(_uom="lbs",5,2.5))))), "")</f>
        <v/>
      </c>
      <c r="CP98" s="148"/>
      <c r="CQ98" s="33"/>
      <c r="CR98" s="171"/>
      <c r="CS98" s="124" t="str">
        <f>IFERROR(__xludf.DUMMYFUNCTION("IF(CO98=MAX(FILTER(CO$10:CO$199,LOOKUP(ROW(CI$10:CI$199),FILTER(ROW(CI$10:CI$199),CI$10:CI$199&lt;&gt;CI$9:CI$198))=LOOKUP(ROW(CI98),FILTER(ROW(CI$10:CI$199),CI$10:CI$199&lt;&gt;CI$9:CI$198)))),CP98,)"),"")</f>
        <v/>
      </c>
      <c r="CT98" s="122"/>
      <c r="CU98" s="33"/>
      <c r="CV98" s="143" t="str">
        <f t="shared" si="22"/>
        <v/>
      </c>
      <c r="CW98" s="38" t="str">
        <f>IFERROR(__xludf.DUMMYFUNCTION("""COMPUTED_VALUE"""),"")</f>
        <v/>
      </c>
      <c r="CX98" s="144">
        <v>46160.0</v>
      </c>
      <c r="CY98" s="167" t="str">
        <f t="shared" si="28"/>
        <v/>
      </c>
      <c r="CZ98" s="168" t="str">
        <f t="shared" si="337"/>
        <v/>
      </c>
      <c r="DA98" s="169" t="str">
        <f t="shared" si="338"/>
        <v/>
      </c>
      <c r="DB98" s="172" t="str">
        <f t="shared" si="339"/>
        <v/>
      </c>
      <c r="DC98" s="171" t="str">
        <f t="array" ref="DC98">IFERROR(IF(CW98="ac"+ISNUMBER(SEARCH("'",DB98))+DA98="","", IF(ISNUMBER(SEARCH("lw",DB98)), CO98 + SUBSTITUTE(DB98,"lw+",""), MROUND(SWITCH(CW98,"sq",DA$7,"bn",DB$7,"dl",DC$7,"")*IF(DB98&gt;10, DB98/100, VLOOKUP(DB98, _rpe,SUBSTITUTE(DA98,"+","")+1,0)), IF( SWITCH(CW98,"sq",DA$7,"bn",DB$7,"dl", DC$7,"")&lt; IF(_uom="lbs", 175, 80), 1.25, IF(_uom="lbs",5,2.5))))), "")</f>
        <v/>
      </c>
      <c r="DD98" s="148"/>
      <c r="DE98" s="33"/>
      <c r="DF98" s="171"/>
      <c r="DG98" s="124" t="str">
        <f>IFERROR(__xludf.DUMMYFUNCTION("IF(DC98=MAX(FILTER(DC$10:DC$199,LOOKUP(ROW(CW$10:CW$199),FILTER(ROW(CW$10:CW$199),CW$10:CW$199&lt;&gt;CW$9:CW$198))=LOOKUP(ROW(CW98),FILTER(ROW(CW$10:CW$199),CW$10:CW$199&lt;&gt;CW$9:CW$198)))),DD98,)"),"")</f>
        <v/>
      </c>
      <c r="DH98" s="122"/>
      <c r="DI98" s="33"/>
      <c r="DJ98" s="143" t="str">
        <f t="shared" si="23"/>
        <v/>
      </c>
      <c r="DK98" s="38" t="str">
        <f>IFERROR(__xludf.DUMMYFUNCTION("""COMPUTED_VALUE"""),"")</f>
        <v/>
      </c>
      <c r="DL98" s="144">
        <v>46167.0</v>
      </c>
      <c r="DM98" s="167" t="str">
        <f t="shared" ref="DM98:DN98" si="350">IF(ISBLANK(CY98),"",CY98)</f>
        <v/>
      </c>
      <c r="DN98" s="168" t="str">
        <f t="shared" si="350"/>
        <v/>
      </c>
      <c r="DO98" s="169" t="str">
        <f t="shared" si="341"/>
        <v/>
      </c>
      <c r="DP98" s="172" t="str">
        <f t="shared" si="342"/>
        <v/>
      </c>
      <c r="DQ98" s="171" t="str">
        <f t="array" ref="DQ98">IFERROR(IF(DK98="ac"+ISNUMBER(SEARCH("'",DP98))+DO98="","", IF(ISNUMBER(SEARCH("lw",DP98)), DC98 + SUBSTITUTE(DP98,"lw+",""), MROUND(SWITCH(DK98,"sq",DO$7,"bn",DP$7,"dl",DQ$7,"")*IF(DP98&gt;10, DP98/100, VLOOKUP(DP98, _rpe,SUBSTITUTE(DO98,"+","")+1,0)), IF( SWITCH(DK98,"sq",DO$7,"bn",DP$7,"dl", DQ$7,"")&lt; IF(_uom="lbs", 175, 80), 1.25, IF(_uom="lbs",5,2.5))))), "")</f>
        <v/>
      </c>
      <c r="DR98" s="148"/>
      <c r="DS98" s="33"/>
      <c r="DT98" s="171"/>
      <c r="DU98" s="124" t="str">
        <f>IFERROR(__xludf.DUMMYFUNCTION("IF(DQ98=MAX(FILTER(DQ$10:DQ$199,LOOKUP(ROW(DK$10:DK$199),FILTER(ROW(DK$10:DK$199),DK$10:DK$199&lt;&gt;DK$9:DK$198))=LOOKUP(ROW(DK98),FILTER(ROW(DK$10:DK$199),DK$10:DK$199&lt;&gt;DK$9:DK$198)))),DR98,)"),"")</f>
        <v/>
      </c>
      <c r="DV98" s="122"/>
      <c r="DW98" s="33"/>
      <c r="DX98" s="143"/>
      <c r="DY98" s="38"/>
      <c r="DZ98" s="144"/>
      <c r="EA98" s="150"/>
      <c r="EB98" s="174"/>
      <c r="EC98" s="175"/>
      <c r="ED98" s="176"/>
      <c r="EE98" s="155"/>
      <c r="EF98" s="148"/>
      <c r="EG98" s="33"/>
      <c r="EH98" s="155"/>
      <c r="EI98" s="148"/>
      <c r="EJ98" s="33"/>
      <c r="EK98" s="33"/>
      <c r="EL98" s="143"/>
      <c r="EM98" s="38"/>
      <c r="EN98" s="144"/>
      <c r="EO98" s="150"/>
      <c r="EP98" s="174"/>
      <c r="EQ98" s="175"/>
      <c r="ER98" s="176"/>
      <c r="ES98" s="155"/>
      <c r="ET98" s="148"/>
      <c r="EU98" s="33"/>
      <c r="EV98" s="155"/>
      <c r="EW98" s="148"/>
      <c r="EX98" s="33"/>
      <c r="EY98" s="33"/>
      <c r="EZ98" s="143"/>
      <c r="FA98" s="38"/>
      <c r="FB98" s="144"/>
      <c r="FC98" s="150"/>
      <c r="FD98" s="174"/>
      <c r="FE98" s="175"/>
      <c r="FF98" s="176"/>
      <c r="FG98" s="155"/>
      <c r="FH98" s="148"/>
      <c r="FI98" s="33"/>
      <c r="FJ98" s="155"/>
      <c r="FK98" s="148"/>
      <c r="FL98" s="33"/>
      <c r="FM98" s="33"/>
      <c r="FN98" s="143"/>
      <c r="FO98" s="38"/>
      <c r="FP98" s="144"/>
      <c r="FQ98" s="150"/>
      <c r="FR98" s="174"/>
      <c r="FS98" s="175"/>
      <c r="FT98" s="176"/>
      <c r="FU98" s="155"/>
      <c r="FV98" s="148"/>
      <c r="FW98" s="33"/>
      <c r="FX98" s="155"/>
      <c r="FY98" s="148"/>
      <c r="FZ98" s="33"/>
      <c r="GA98" s="33"/>
      <c r="GB98" s="143"/>
      <c r="GC98" s="38"/>
      <c r="GD98" s="144"/>
      <c r="GE98" s="150"/>
      <c r="GF98" s="174"/>
      <c r="GG98" s="175"/>
      <c r="GH98" s="176"/>
      <c r="GI98" s="155"/>
      <c r="GJ98" s="148"/>
      <c r="GK98" s="33"/>
      <c r="GL98" s="155"/>
      <c r="GM98" s="148"/>
      <c r="GN98" s="33"/>
      <c r="GO98" s="33"/>
      <c r="GP98" s="143"/>
      <c r="GQ98" s="38"/>
      <c r="GR98" s="144"/>
      <c r="GS98" s="150"/>
      <c r="GT98" s="174"/>
      <c r="GU98" s="175"/>
      <c r="GV98" s="176"/>
      <c r="GW98" s="155"/>
      <c r="GX98" s="148"/>
      <c r="GY98" s="33"/>
      <c r="GZ98" s="155"/>
      <c r="HA98" s="148"/>
      <c r="HB98" s="33"/>
      <c r="HC98" s="33"/>
      <c r="HD98" s="143"/>
      <c r="HE98" s="38"/>
      <c r="HF98" s="144"/>
      <c r="HG98" s="150"/>
      <c r="HH98" s="174"/>
      <c r="HI98" s="175"/>
      <c r="HJ98" s="176"/>
      <c r="HK98" s="155"/>
      <c r="HL98" s="148"/>
      <c r="HM98" s="33"/>
      <c r="HN98" s="155"/>
      <c r="HO98" s="148"/>
      <c r="HP98" s="33"/>
      <c r="HQ98" s="33"/>
      <c r="HR98" s="143"/>
      <c r="HS98" s="38"/>
      <c r="HT98" s="144"/>
      <c r="HU98" s="150"/>
      <c r="HV98" s="174"/>
      <c r="HW98" s="175"/>
      <c r="HX98" s="176"/>
      <c r="HY98" s="155"/>
      <c r="HZ98" s="148"/>
      <c r="IA98" s="33"/>
      <c r="IB98" s="155"/>
      <c r="IC98" s="148"/>
      <c r="ID98" s="33"/>
      <c r="IE98" s="33"/>
      <c r="IF98" s="143"/>
      <c r="IG98" s="38"/>
      <c r="IH98" s="144"/>
      <c r="II98" s="150"/>
      <c r="IJ98" s="174"/>
      <c r="IK98" s="175"/>
      <c r="IL98" s="176"/>
      <c r="IM98" s="155"/>
      <c r="IN98" s="148"/>
      <c r="IO98" s="33"/>
      <c r="IP98" s="155"/>
      <c r="IQ98" s="148"/>
      <c r="IR98" s="33"/>
      <c r="IS98" s="33"/>
      <c r="IT98" s="143"/>
      <c r="IU98" s="38"/>
      <c r="IV98" s="144"/>
      <c r="IW98" s="143"/>
      <c r="IX98" s="38"/>
      <c r="IY98" s="144" t="e">
        <v>#REF!</v>
      </c>
    </row>
    <row r="99">
      <c r="A99" s="33"/>
      <c r="B99" s="181"/>
      <c r="C99" s="38" t="str">
        <f>IFERROR(__xludf.DUMMYFUNCTION("""COMPUTED_VALUE"""),"")</f>
        <v/>
      </c>
      <c r="D99" s="144">
        <v>46111.0</v>
      </c>
      <c r="E99" s="182"/>
      <c r="F99" s="168"/>
      <c r="G99" s="169"/>
      <c r="H99" s="170"/>
      <c r="I99" s="171" t="str">
        <f t="array" ref="I99">IFERROR(IF(C99="ac"+ISNUMBER(SEARCH("'",H99))+G99="","", MROUND(SWITCH(C99,"sq",'Personal Info'!$O$15,"bn",'Personal Info'!$S$15,"dl",'Personal Info'!$W$15,"")*IF(H99&gt;10, H99/100, VLOOKUP(H99, _rpe,SUBSTITUTE(G99,"+","")+1,0)), IF( SWITCH(C99:C210,"sq",'Personal Info'!$O$15,"bn",'Personal Info'!$S$15,"dl", 'Personal Info'!$W$15,"")&lt; IF(_uom="lbs", 175, 80), 1.25, IF(_uom="lbs",5,2.5)))),"")</f>
        <v/>
      </c>
      <c r="J99" s="148"/>
      <c r="K99" s="33"/>
      <c r="L99" s="171"/>
      <c r="M99" s="124" t="str">
        <f>IFERROR(__xludf.DUMMYFUNCTION("IF(I99=MAX(FILTER(I$10:I$199,LOOKUP(ROW(C$10:C$199),FILTER(ROW(C$10:C$199),C$10:C$199&lt;&gt;C$9:C$198))=LOOKUP(ROW(C99),FILTER(ROW(C$10:C$199),C$10:C$199&lt;&gt;C$9:C$198)))),J99,)"),"")</f>
        <v/>
      </c>
      <c r="N99" s="122"/>
      <c r="O99" s="33"/>
      <c r="P99" s="143" t="str">
        <f t="shared" si="12"/>
        <v/>
      </c>
      <c r="Q99" s="38" t="str">
        <f>IFERROR(__xludf.DUMMYFUNCTION("""COMPUTED_VALUE"""),"")</f>
        <v/>
      </c>
      <c r="R99" s="144">
        <v>46118.0</v>
      </c>
      <c r="S99" s="167" t="str">
        <f t="shared" si="13"/>
        <v/>
      </c>
      <c r="T99" s="168" t="str">
        <f t="shared" si="319"/>
        <v/>
      </c>
      <c r="U99" s="169" t="str">
        <f t="shared" si="320"/>
        <v/>
      </c>
      <c r="V99" s="172" t="str">
        <f t="shared" si="321"/>
        <v/>
      </c>
      <c r="W99" s="171" t="str">
        <f t="array" ref="W99">IFERROR(IF(Q99="ac"+ISNUMBER(SEARCH("'",V99))+U99="","", IF(ISNUMBER(SEARCH("lw",V99)), I99 + SUBSTITUTE(V99,"lw+",""), MROUND(SWITCH(Q99,"sq",U$7,"bn",V$7,"dl",W$7,"")*IF(V99&gt;10, V99/100, VLOOKUP(V99, _rpe,SUBSTITUTE(U99,"+","")+1,0)), IF( SWITCH(Q99,"sq",U$7,"bn",V$7,"dl", W$7,"")&lt; IF(_uom="lbs", 175, 80), 1.25, IF(_uom="lbs",5,2.5))))), "")</f>
        <v/>
      </c>
      <c r="X99" s="148"/>
      <c r="Y99" s="33"/>
      <c r="Z99" s="171"/>
      <c r="AA99" s="124" t="str">
        <f>IFERROR(__xludf.DUMMYFUNCTION("IF(W99=MAX(FILTER(W$10:W$199,LOOKUP(ROW(Q$10:Q$199),FILTER(ROW(Q$10:Q$199),Q$10:Q$199&lt;&gt;Q$9:Q$198))=LOOKUP(ROW(Q99),FILTER(ROW(Q$10:Q$199),Q$10:Q$199&lt;&gt;Q$9:Q$198)))),X99,)"),"")</f>
        <v/>
      </c>
      <c r="AB99" s="122"/>
      <c r="AC99" s="33"/>
      <c r="AD99" s="143" t="str">
        <f t="shared" si="14"/>
        <v/>
      </c>
      <c r="AE99" s="38" t="str">
        <f>IFERROR(__xludf.DUMMYFUNCTION("""COMPUTED_VALUE"""),"")</f>
        <v/>
      </c>
      <c r="AF99" s="144">
        <v>46125.0</v>
      </c>
      <c r="AG99" s="167" t="str">
        <f t="shared" si="54"/>
        <v/>
      </c>
      <c r="AH99" s="168" t="str">
        <f t="shared" si="322"/>
        <v/>
      </c>
      <c r="AI99" s="169" t="str">
        <f t="shared" si="323"/>
        <v/>
      </c>
      <c r="AJ99" s="172" t="str">
        <f t="shared" si="324"/>
        <v/>
      </c>
      <c r="AK99" s="171" t="str">
        <f t="array" ref="AK99">IFERROR(IF(AE99="ac"+ISNUMBER(SEARCH("'",AJ99))+AI99="","", IF(ISNUMBER(SEARCH("lw",AJ99)), W99 + SUBSTITUTE(AJ99,"lw+",""), MROUND(SWITCH(AE99,"sq",AI$7,"bn",AJ$7,"dl",AK$7,"")*IF(AJ99&gt;10, AJ99/100, VLOOKUP(AJ99, _rpe,SUBSTITUTE(AI99,"+","")+1,0)), IF( SWITCH(AE99,"sq",AI$7,"bn",AJ$7,"dl", AK$7,"")&lt; IF(_uom="lbs", 175, 80), 1.25, IF(_uom="lbs",5,2.5))))), "")</f>
        <v/>
      </c>
      <c r="AL99" s="148"/>
      <c r="AM99" s="33"/>
      <c r="AN99" s="171"/>
      <c r="AO99" s="124" t="str">
        <f>IFERROR(__xludf.DUMMYFUNCTION("IF(AK99=MAX(FILTER(AK$10:AK$199,LOOKUP(ROW(AE$10:AE$199),FILTER(ROW(AE$10:AE$199),AE$10:AE$199&lt;&gt;AE$9:AE$198))=LOOKUP(ROW(AE99),FILTER(ROW(AE$10:AE$199),AE$10:AE$199&lt;&gt;AE$9:AE$198)))),AL99,)"),"")</f>
        <v/>
      </c>
      <c r="AP99" s="122"/>
      <c r="AQ99" s="33"/>
      <c r="AR99" s="143" t="str">
        <f t="shared" si="16"/>
        <v/>
      </c>
      <c r="AS99" s="38" t="str">
        <f>IFERROR(__xludf.DUMMYFUNCTION("""COMPUTED_VALUE"""),"")</f>
        <v/>
      </c>
      <c r="AT99" s="144">
        <v>46132.0</v>
      </c>
      <c r="AU99" s="167" t="str">
        <f t="shared" si="26"/>
        <v/>
      </c>
      <c r="AV99" s="168" t="str">
        <f t="shared" si="325"/>
        <v/>
      </c>
      <c r="AW99" s="169" t="str">
        <f t="shared" si="326"/>
        <v/>
      </c>
      <c r="AX99" s="172" t="str">
        <f t="shared" si="327"/>
        <v/>
      </c>
      <c r="AY99" s="171" t="str">
        <f t="array" ref="AY99">IFERROR(IF(AS99="ac"+ISNUMBER(SEARCH("'",AX99))+AW99="","", IF(ISNUMBER(SEARCH("lw",AX99)), AK99 + SUBSTITUTE(AX99,"lw+",""), MROUND(SWITCH(AS99,"sq",AW$7,"bn",AX$7,"dl",AY$7,"")*IF(AX99&gt;10, AX99/100, VLOOKUP(AX99, _rpe,SUBSTITUTE(AW99,"+","")+1,0)), IF( SWITCH(AS99,"sq",AW$7,"bn",AX$7,"dl", AY$7,"")&lt; IF(_uom="lbs", 175, 80), 1.25, IF(_uom="lbs",5,2.5))))), "")</f>
        <v/>
      </c>
      <c r="AZ99" s="148"/>
      <c r="BA99" s="33"/>
      <c r="BB99" s="171"/>
      <c r="BC99" s="124" t="str">
        <f>IFERROR(__xludf.DUMMYFUNCTION("IF(AY99=MAX(FILTER(AY$10:AY$199,LOOKUP(ROW(AS$10:AS$199),FILTER(ROW(AS$10:AS$199),AS$10:AS$199&lt;&gt;AS$9:AS$198))=LOOKUP(ROW(AS99),FILTER(ROW(AS$10:AS$199),AS$10:AS$199&lt;&gt;AS$9:AS$198)))),AZ99,)"),"")</f>
        <v/>
      </c>
      <c r="BD99" s="122"/>
      <c r="BE99" s="33"/>
      <c r="BF99" s="143" t="str">
        <f t="shared" si="17"/>
        <v/>
      </c>
      <c r="BG99" s="38" t="str">
        <f>IFERROR(__xludf.DUMMYFUNCTION("""COMPUTED_VALUE"""),"")</f>
        <v/>
      </c>
      <c r="BH99" s="144">
        <v>46139.0</v>
      </c>
      <c r="BI99" s="167" t="str">
        <f t="shared" si="18"/>
        <v/>
      </c>
      <c r="BJ99" s="168" t="str">
        <f t="shared" si="328"/>
        <v/>
      </c>
      <c r="BK99" s="169" t="str">
        <f t="shared" si="329"/>
        <v/>
      </c>
      <c r="BL99" s="172" t="str">
        <f t="shared" si="330"/>
        <v/>
      </c>
      <c r="BM99" s="171" t="str">
        <f t="array" ref="BM99">IFERROR(IF(BG99="ac"+ISNUMBER(SEARCH("'",BL99))+BK99="","", IF(ISNUMBER(SEARCH("lw",BL99)), AY99 + SUBSTITUTE(BL99,"lw+",""), MROUND(SWITCH(BG99,"sq",BK$7,"bn",BL$7,"dl",BM$7,"")*IF(BL99&gt;10, BL99/100, VLOOKUP(BL99, _rpe,SUBSTITUTE(BK99,"+","")+1,0)), IF( SWITCH(BG99,"sq",BK$7,"bn",BL$7,"dl", BM$7,"")&lt; IF(_uom="lbs", 175, 80), 1.25, IF(_uom="lbs",5,2.5))))), "")</f>
        <v/>
      </c>
      <c r="BN99" s="148"/>
      <c r="BO99" s="33"/>
      <c r="BP99" s="171"/>
      <c r="BQ99" s="124" t="str">
        <f>IFERROR(__xludf.DUMMYFUNCTION("IF(BM99=MAX(FILTER(BM$10:BM$199,LOOKUP(ROW(BG$10:BG$199),FILTER(ROW(BG$10:BG$199),BG$10:BG$199&lt;&gt;BG$9:BG$198))=LOOKUP(ROW(BG99),FILTER(ROW(BG$10:BG$199),BG$10:BG$199&lt;&gt;BG$9:BG$198)))),BN99,)"),"")</f>
        <v/>
      </c>
      <c r="BR99" s="122"/>
      <c r="BS99" s="33"/>
      <c r="BT99" s="143" t="str">
        <f t="shared" si="19"/>
        <v/>
      </c>
      <c r="BU99" s="38" t="str">
        <f>IFERROR(__xludf.DUMMYFUNCTION("""COMPUTED_VALUE"""),"")</f>
        <v/>
      </c>
      <c r="BV99" s="144">
        <v>46146.0</v>
      </c>
      <c r="BW99" s="167" t="str">
        <f t="shared" si="20"/>
        <v/>
      </c>
      <c r="BX99" s="168" t="str">
        <f t="shared" si="331"/>
        <v/>
      </c>
      <c r="BY99" s="169" t="str">
        <f t="shared" si="332"/>
        <v/>
      </c>
      <c r="BZ99" s="172" t="str">
        <f t="shared" si="333"/>
        <v/>
      </c>
      <c r="CA99" s="171" t="str">
        <f t="array" ref="CA99">IFERROR(IF(BU99="ac"+ISNUMBER(SEARCH("'",BZ99))+BY99="","", IF(ISNUMBER(SEARCH("lw",BZ99)), BM99 + SUBSTITUTE(BZ99,"lw+",""), MROUND(SWITCH(BU99,"sq",BY$7,"bn",BZ$7,"dl",CA$7,"")*IF(BZ99&gt;10, BZ99/100, VLOOKUP(BZ99, _rpe,SUBSTITUTE(BY99,"+","")+1,0)), IF( SWITCH(BU99,"sq",BY$7,"bn",BZ$7,"dl", CA$7,"")&lt; IF(_uom="lbs", 175, 80), 1.25, IF(_uom="lbs",5,2.5))))), "")</f>
        <v/>
      </c>
      <c r="CB99" s="148"/>
      <c r="CC99" s="33"/>
      <c r="CD99" s="171"/>
      <c r="CE99" s="124" t="str">
        <f>IFERROR(__xludf.DUMMYFUNCTION("IF(CA99=MAX(FILTER(CA$10:CA$199,LOOKUP(ROW(BU$10:BU$199),FILTER(ROW(BU$10:BU$199),BU$10:BU$199&lt;&gt;BU$9:BU$198))=LOOKUP(ROW(BU99),FILTER(ROW(BU$10:BU$199),BU$10:BU$199&lt;&gt;BU$9:BU$198)))),CB99,)"),"")</f>
        <v/>
      </c>
      <c r="CF99" s="122"/>
      <c r="CG99" s="33"/>
      <c r="CH99" s="143" t="str">
        <f t="shared" si="21"/>
        <v/>
      </c>
      <c r="CI99" s="38" t="str">
        <f>IFERROR(__xludf.DUMMYFUNCTION("""COMPUTED_VALUE"""),"")</f>
        <v/>
      </c>
      <c r="CJ99" s="144">
        <v>46153.0</v>
      </c>
      <c r="CK99" s="167" t="str">
        <f t="shared" si="27"/>
        <v/>
      </c>
      <c r="CL99" s="168" t="str">
        <f t="shared" si="334"/>
        <v/>
      </c>
      <c r="CM99" s="169" t="str">
        <f t="shared" si="335"/>
        <v/>
      </c>
      <c r="CN99" s="172" t="str">
        <f t="shared" si="336"/>
        <v/>
      </c>
      <c r="CO99" s="171" t="str">
        <f t="array" ref="CO99">IFERROR(IF(CI99="ac"+ISNUMBER(SEARCH("'",CN99))+CM99="","", IF(ISNUMBER(SEARCH("lw",CN99)), CA99 + SUBSTITUTE(CN99,"lw+",""), MROUND(SWITCH(CI99,"sq",CM$7,"bn",CN$7,"dl",CO$7,"")*IF(CN99&gt;10, CN99/100, VLOOKUP(CN99, _rpe,SUBSTITUTE(CM99,"+","")+1,0)), IF( SWITCH(CI99,"sq",CM$7,"bn",CN$7,"dl", CO$7,"")&lt; IF(_uom="lbs", 175, 80), 1.25, IF(_uom="lbs",5,2.5))))), "")</f>
        <v/>
      </c>
      <c r="CP99" s="148"/>
      <c r="CQ99" s="33"/>
      <c r="CR99" s="171"/>
      <c r="CS99" s="124" t="str">
        <f>IFERROR(__xludf.DUMMYFUNCTION("IF(CO99=MAX(FILTER(CO$10:CO$199,LOOKUP(ROW(CI$10:CI$199),FILTER(ROW(CI$10:CI$199),CI$10:CI$199&lt;&gt;CI$9:CI$198))=LOOKUP(ROW(CI99),FILTER(ROW(CI$10:CI$199),CI$10:CI$199&lt;&gt;CI$9:CI$198)))),CP99,)"),"")</f>
        <v/>
      </c>
      <c r="CT99" s="122"/>
      <c r="CU99" s="33"/>
      <c r="CV99" s="143" t="str">
        <f t="shared" si="22"/>
        <v/>
      </c>
      <c r="CW99" s="38" t="str">
        <f>IFERROR(__xludf.DUMMYFUNCTION("""COMPUTED_VALUE"""),"")</f>
        <v/>
      </c>
      <c r="CX99" s="144">
        <v>46160.0</v>
      </c>
      <c r="CY99" s="167" t="str">
        <f t="shared" si="28"/>
        <v/>
      </c>
      <c r="CZ99" s="168" t="str">
        <f t="shared" si="337"/>
        <v/>
      </c>
      <c r="DA99" s="169" t="str">
        <f t="shared" si="338"/>
        <v/>
      </c>
      <c r="DB99" s="172" t="str">
        <f t="shared" si="339"/>
        <v/>
      </c>
      <c r="DC99" s="171" t="str">
        <f t="array" ref="DC99">IFERROR(IF(CW99="ac"+ISNUMBER(SEARCH("'",DB99))+DA99="","", IF(ISNUMBER(SEARCH("lw",DB99)), CO99 + SUBSTITUTE(DB99,"lw+",""), MROUND(SWITCH(CW99,"sq",DA$7,"bn",DB$7,"dl",DC$7,"")*IF(DB99&gt;10, DB99/100, VLOOKUP(DB99, _rpe,SUBSTITUTE(DA99,"+","")+1,0)), IF( SWITCH(CW99,"sq",DA$7,"bn",DB$7,"dl", DC$7,"")&lt; IF(_uom="lbs", 175, 80), 1.25, IF(_uom="lbs",5,2.5))))), "")</f>
        <v/>
      </c>
      <c r="DD99" s="148"/>
      <c r="DE99" s="33"/>
      <c r="DF99" s="171"/>
      <c r="DG99" s="124" t="str">
        <f>IFERROR(__xludf.DUMMYFUNCTION("IF(DC99=MAX(FILTER(DC$10:DC$199,LOOKUP(ROW(CW$10:CW$199),FILTER(ROW(CW$10:CW$199),CW$10:CW$199&lt;&gt;CW$9:CW$198))=LOOKUP(ROW(CW99),FILTER(ROW(CW$10:CW$199),CW$10:CW$199&lt;&gt;CW$9:CW$198)))),DD99,)"),"")</f>
        <v/>
      </c>
      <c r="DH99" s="122"/>
      <c r="DI99" s="33"/>
      <c r="DJ99" s="143" t="str">
        <f t="shared" si="23"/>
        <v/>
      </c>
      <c r="DK99" s="38" t="str">
        <f>IFERROR(__xludf.DUMMYFUNCTION("""COMPUTED_VALUE"""),"")</f>
        <v/>
      </c>
      <c r="DL99" s="144">
        <v>46167.0</v>
      </c>
      <c r="DM99" s="167" t="str">
        <f t="shared" ref="DM99:DN99" si="351">IF(ISBLANK(CY99),"",CY99)</f>
        <v/>
      </c>
      <c r="DN99" s="168" t="str">
        <f t="shared" si="351"/>
        <v/>
      </c>
      <c r="DO99" s="169" t="str">
        <f t="shared" si="341"/>
        <v/>
      </c>
      <c r="DP99" s="172" t="str">
        <f t="shared" si="342"/>
        <v/>
      </c>
      <c r="DQ99" s="171" t="str">
        <f t="array" ref="DQ99">IFERROR(IF(DK99="ac"+ISNUMBER(SEARCH("'",DP99))+DO99="","", IF(ISNUMBER(SEARCH("lw",DP99)), DC99 + SUBSTITUTE(DP99,"lw+",""), MROUND(SWITCH(DK99,"sq",DO$7,"bn",DP$7,"dl",DQ$7,"")*IF(DP99&gt;10, DP99/100, VLOOKUP(DP99, _rpe,SUBSTITUTE(DO99,"+","")+1,0)), IF( SWITCH(DK99,"sq",DO$7,"bn",DP$7,"dl", DQ$7,"")&lt; IF(_uom="lbs", 175, 80), 1.25, IF(_uom="lbs",5,2.5))))), "")</f>
        <v/>
      </c>
      <c r="DR99" s="148"/>
      <c r="DS99" s="33"/>
      <c r="DT99" s="171"/>
      <c r="DU99" s="124" t="str">
        <f>IFERROR(__xludf.DUMMYFUNCTION("IF(DQ99=MAX(FILTER(DQ$10:DQ$199,LOOKUP(ROW(DK$10:DK$199),FILTER(ROW(DK$10:DK$199),DK$10:DK$199&lt;&gt;DK$9:DK$198))=LOOKUP(ROW(DK99),FILTER(ROW(DK$10:DK$199),DK$10:DK$199&lt;&gt;DK$9:DK$198)))),DR99,)"),"")</f>
        <v/>
      </c>
      <c r="DV99" s="122"/>
      <c r="DW99" s="33"/>
      <c r="DX99" s="143"/>
      <c r="DY99" s="38"/>
      <c r="DZ99" s="144"/>
      <c r="EA99" s="150"/>
      <c r="EB99" s="174"/>
      <c r="EC99" s="175"/>
      <c r="ED99" s="176"/>
      <c r="EE99" s="155"/>
      <c r="EF99" s="148"/>
      <c r="EG99" s="33"/>
      <c r="EH99" s="155"/>
      <c r="EI99" s="148"/>
      <c r="EJ99" s="33"/>
      <c r="EK99" s="33"/>
      <c r="EL99" s="143"/>
      <c r="EM99" s="38"/>
      <c r="EN99" s="144"/>
      <c r="EO99" s="150"/>
      <c r="EP99" s="174"/>
      <c r="EQ99" s="175"/>
      <c r="ER99" s="176"/>
      <c r="ES99" s="155"/>
      <c r="ET99" s="148"/>
      <c r="EU99" s="33"/>
      <c r="EV99" s="155"/>
      <c r="EW99" s="148"/>
      <c r="EX99" s="33"/>
      <c r="EY99" s="33"/>
      <c r="EZ99" s="143"/>
      <c r="FA99" s="38"/>
      <c r="FB99" s="144"/>
      <c r="FC99" s="150"/>
      <c r="FD99" s="174"/>
      <c r="FE99" s="175"/>
      <c r="FF99" s="176"/>
      <c r="FG99" s="155"/>
      <c r="FH99" s="148"/>
      <c r="FI99" s="33"/>
      <c r="FJ99" s="155"/>
      <c r="FK99" s="148"/>
      <c r="FL99" s="33"/>
      <c r="FM99" s="33"/>
      <c r="FN99" s="143"/>
      <c r="FO99" s="38"/>
      <c r="FP99" s="144"/>
      <c r="FQ99" s="150"/>
      <c r="FR99" s="174"/>
      <c r="FS99" s="175"/>
      <c r="FT99" s="176"/>
      <c r="FU99" s="155"/>
      <c r="FV99" s="148"/>
      <c r="FW99" s="33"/>
      <c r="FX99" s="155"/>
      <c r="FY99" s="148"/>
      <c r="FZ99" s="33"/>
      <c r="GA99" s="33"/>
      <c r="GB99" s="143"/>
      <c r="GC99" s="38"/>
      <c r="GD99" s="144"/>
      <c r="GE99" s="150"/>
      <c r="GF99" s="174"/>
      <c r="GG99" s="175"/>
      <c r="GH99" s="176"/>
      <c r="GI99" s="155"/>
      <c r="GJ99" s="148"/>
      <c r="GK99" s="33"/>
      <c r="GL99" s="155"/>
      <c r="GM99" s="148"/>
      <c r="GN99" s="33"/>
      <c r="GO99" s="33"/>
      <c r="GP99" s="143"/>
      <c r="GQ99" s="38"/>
      <c r="GR99" s="144"/>
      <c r="GS99" s="150"/>
      <c r="GT99" s="174"/>
      <c r="GU99" s="175"/>
      <c r="GV99" s="176"/>
      <c r="GW99" s="155"/>
      <c r="GX99" s="148"/>
      <c r="GY99" s="33"/>
      <c r="GZ99" s="155"/>
      <c r="HA99" s="148"/>
      <c r="HB99" s="33"/>
      <c r="HC99" s="33"/>
      <c r="HD99" s="143"/>
      <c r="HE99" s="38"/>
      <c r="HF99" s="144"/>
      <c r="HG99" s="150"/>
      <c r="HH99" s="174"/>
      <c r="HI99" s="175"/>
      <c r="HJ99" s="176"/>
      <c r="HK99" s="155"/>
      <c r="HL99" s="148"/>
      <c r="HM99" s="33"/>
      <c r="HN99" s="155"/>
      <c r="HO99" s="148"/>
      <c r="HP99" s="33"/>
      <c r="HQ99" s="33"/>
      <c r="HR99" s="143"/>
      <c r="HS99" s="38"/>
      <c r="HT99" s="144"/>
      <c r="HU99" s="150"/>
      <c r="HV99" s="174"/>
      <c r="HW99" s="175"/>
      <c r="HX99" s="176"/>
      <c r="HY99" s="155"/>
      <c r="HZ99" s="148"/>
      <c r="IA99" s="33"/>
      <c r="IB99" s="155"/>
      <c r="IC99" s="148"/>
      <c r="ID99" s="33"/>
      <c r="IE99" s="33"/>
      <c r="IF99" s="143"/>
      <c r="IG99" s="38"/>
      <c r="IH99" s="144"/>
      <c r="II99" s="150"/>
      <c r="IJ99" s="174"/>
      <c r="IK99" s="175"/>
      <c r="IL99" s="176"/>
      <c r="IM99" s="155"/>
      <c r="IN99" s="148"/>
      <c r="IO99" s="33"/>
      <c r="IP99" s="155"/>
      <c r="IQ99" s="148"/>
      <c r="IR99" s="33"/>
      <c r="IS99" s="33"/>
      <c r="IT99" s="143"/>
      <c r="IU99" s="38"/>
      <c r="IV99" s="144"/>
      <c r="IW99" s="143"/>
      <c r="IX99" s="38"/>
      <c r="IY99" s="144" t="e">
        <v>#REF!</v>
      </c>
    </row>
    <row r="100">
      <c r="A100" s="33"/>
      <c r="B100" s="181"/>
      <c r="C100" s="38" t="str">
        <f>IFERROR(__xludf.DUMMYFUNCTION("""COMPUTED_VALUE"""),"")</f>
        <v/>
      </c>
      <c r="D100" s="144">
        <v>46111.0</v>
      </c>
      <c r="E100" s="182"/>
      <c r="F100" s="168"/>
      <c r="G100" s="169"/>
      <c r="H100" s="170"/>
      <c r="I100" s="171" t="str">
        <f t="array" ref="I100">IFERROR(IF(C100="ac"+ISNUMBER(SEARCH("'",H100))+G100="","", MROUND(SWITCH(C100,"sq",'Personal Info'!$O$15,"bn",'Personal Info'!$S$15,"dl",'Personal Info'!$W$15,"")*IF(H100&gt;10, H100/100, VLOOKUP(H100, _rpe,SUBSTITUTE(G100,"+","")+1,0)), IF( SWITCH(C100:C210,"sq",'Personal Info'!$O$15,"bn",'Personal Info'!$S$15,"dl", 'Personal Info'!$W$15,"")&lt; IF(_uom="lbs", 175, 80), 1.25, IF(_uom="lbs",5,2.5)))),"")</f>
        <v/>
      </c>
      <c r="J100" s="148"/>
      <c r="K100" s="33"/>
      <c r="L100" s="171"/>
      <c r="M100" s="124" t="str">
        <f>IFERROR(__xludf.DUMMYFUNCTION("IF(I100=MAX(FILTER(I$10:I$199,LOOKUP(ROW(C$10:C$199),FILTER(ROW(C$10:C$199),C$10:C$199&lt;&gt;C$9:C$198))=LOOKUP(ROW(C100),FILTER(ROW(C$10:C$199),C$10:C$199&lt;&gt;C$9:C$198)))),J100,)"),"")</f>
        <v/>
      </c>
      <c r="N100" s="122"/>
      <c r="O100" s="33"/>
      <c r="P100" s="143" t="str">
        <f t="shared" si="12"/>
        <v/>
      </c>
      <c r="Q100" s="38" t="str">
        <f>IFERROR(__xludf.DUMMYFUNCTION("""COMPUTED_VALUE"""),"")</f>
        <v/>
      </c>
      <c r="R100" s="144">
        <v>46118.0</v>
      </c>
      <c r="S100" s="167" t="str">
        <f t="shared" si="13"/>
        <v/>
      </c>
      <c r="T100" s="168" t="str">
        <f t="shared" si="319"/>
        <v/>
      </c>
      <c r="U100" s="169" t="str">
        <f t="shared" si="320"/>
        <v/>
      </c>
      <c r="V100" s="172" t="str">
        <f t="shared" si="321"/>
        <v/>
      </c>
      <c r="W100" s="171" t="str">
        <f t="array" ref="W100">IFERROR(IF(Q100="ac"+ISNUMBER(SEARCH("'",V100))+U100="","", IF(ISNUMBER(SEARCH("lw",V100)), I100 + SUBSTITUTE(V100,"lw+",""), MROUND(SWITCH(Q100,"sq",U$7,"bn",V$7,"dl",W$7,"")*IF(V100&gt;10, V100/100, VLOOKUP(V100, _rpe,SUBSTITUTE(U100,"+","")+1,0)), IF( SWITCH(Q100,"sq",U$7,"bn",V$7,"dl", W$7,"")&lt; IF(_uom="lbs", 175, 80), 1.25, IF(_uom="lbs",5,2.5))))), "")</f>
        <v/>
      </c>
      <c r="X100" s="148"/>
      <c r="Y100" s="33"/>
      <c r="Z100" s="171"/>
      <c r="AA100" s="124" t="str">
        <f>IFERROR(__xludf.DUMMYFUNCTION("IF(W100=MAX(FILTER(W$10:W$199,LOOKUP(ROW(Q$10:Q$199),FILTER(ROW(Q$10:Q$199),Q$10:Q$199&lt;&gt;Q$9:Q$198))=LOOKUP(ROW(Q100),FILTER(ROW(Q$10:Q$199),Q$10:Q$199&lt;&gt;Q$9:Q$198)))),X100,)"),"")</f>
        <v/>
      </c>
      <c r="AB100" s="122"/>
      <c r="AC100" s="33"/>
      <c r="AD100" s="143" t="str">
        <f t="shared" si="14"/>
        <v/>
      </c>
      <c r="AE100" s="38" t="str">
        <f>IFERROR(__xludf.DUMMYFUNCTION("""COMPUTED_VALUE"""),"")</f>
        <v/>
      </c>
      <c r="AF100" s="144">
        <v>46125.0</v>
      </c>
      <c r="AG100" s="167" t="str">
        <f t="shared" si="54"/>
        <v/>
      </c>
      <c r="AH100" s="168" t="str">
        <f t="shared" si="322"/>
        <v/>
      </c>
      <c r="AI100" s="169" t="str">
        <f t="shared" si="323"/>
        <v/>
      </c>
      <c r="AJ100" s="172" t="str">
        <f t="shared" si="324"/>
        <v/>
      </c>
      <c r="AK100" s="171" t="str">
        <f t="array" ref="AK100">IFERROR(IF(AE100="ac"+ISNUMBER(SEARCH("'",AJ100))+AI100="","", IF(ISNUMBER(SEARCH("lw",AJ100)), W100 + SUBSTITUTE(AJ100,"lw+",""), MROUND(SWITCH(AE100,"sq",AI$7,"bn",AJ$7,"dl",AK$7,"")*IF(AJ100&gt;10, AJ100/100, VLOOKUP(AJ100, _rpe,SUBSTITUTE(AI100,"+","")+1,0)), IF( SWITCH(AE100,"sq",AI$7,"bn",AJ$7,"dl", AK$7,"")&lt; IF(_uom="lbs", 175, 80), 1.25, IF(_uom="lbs",5,2.5))))), "")</f>
        <v/>
      </c>
      <c r="AL100" s="148"/>
      <c r="AM100" s="33"/>
      <c r="AN100" s="171"/>
      <c r="AO100" s="124" t="str">
        <f>IFERROR(__xludf.DUMMYFUNCTION("IF(AK100=MAX(FILTER(AK$10:AK$199,LOOKUP(ROW(AE$10:AE$199),FILTER(ROW(AE$10:AE$199),AE$10:AE$199&lt;&gt;AE$9:AE$198))=LOOKUP(ROW(AE100),FILTER(ROW(AE$10:AE$199),AE$10:AE$199&lt;&gt;AE$9:AE$198)))),AL100,)"),"")</f>
        <v/>
      </c>
      <c r="AP100" s="122"/>
      <c r="AQ100" s="33"/>
      <c r="AR100" s="143" t="str">
        <f t="shared" si="16"/>
        <v/>
      </c>
      <c r="AS100" s="38" t="str">
        <f>IFERROR(__xludf.DUMMYFUNCTION("""COMPUTED_VALUE"""),"")</f>
        <v/>
      </c>
      <c r="AT100" s="144">
        <v>46132.0</v>
      </c>
      <c r="AU100" s="167" t="str">
        <f t="shared" si="26"/>
        <v/>
      </c>
      <c r="AV100" s="168" t="str">
        <f t="shared" si="325"/>
        <v/>
      </c>
      <c r="AW100" s="169" t="str">
        <f t="shared" si="326"/>
        <v/>
      </c>
      <c r="AX100" s="172" t="str">
        <f t="shared" si="327"/>
        <v/>
      </c>
      <c r="AY100" s="171" t="str">
        <f t="array" ref="AY100">IFERROR(IF(AS100="ac"+ISNUMBER(SEARCH("'",AX100))+AW100="","", IF(ISNUMBER(SEARCH("lw",AX100)), AK100 + SUBSTITUTE(AX100,"lw+",""), MROUND(SWITCH(AS100,"sq",AW$7,"bn",AX$7,"dl",AY$7,"")*IF(AX100&gt;10, AX100/100, VLOOKUP(AX100, _rpe,SUBSTITUTE(AW100,"+","")+1,0)), IF( SWITCH(AS100,"sq",AW$7,"bn",AX$7,"dl", AY$7,"")&lt; IF(_uom="lbs", 175, 80), 1.25, IF(_uom="lbs",5,2.5))))), "")</f>
        <v/>
      </c>
      <c r="AZ100" s="148"/>
      <c r="BA100" s="33"/>
      <c r="BB100" s="171"/>
      <c r="BC100" s="124" t="str">
        <f>IFERROR(__xludf.DUMMYFUNCTION("IF(AY100=MAX(FILTER(AY$10:AY$199,LOOKUP(ROW(AS$10:AS$199),FILTER(ROW(AS$10:AS$199),AS$10:AS$199&lt;&gt;AS$9:AS$198))=LOOKUP(ROW(AS100),FILTER(ROW(AS$10:AS$199),AS$10:AS$199&lt;&gt;AS$9:AS$198)))),AZ100,)"),"")</f>
        <v/>
      </c>
      <c r="BD100" s="122"/>
      <c r="BE100" s="33"/>
      <c r="BF100" s="143" t="str">
        <f t="shared" si="17"/>
        <v/>
      </c>
      <c r="BG100" s="38" t="str">
        <f>IFERROR(__xludf.DUMMYFUNCTION("""COMPUTED_VALUE"""),"")</f>
        <v/>
      </c>
      <c r="BH100" s="144">
        <v>46139.0</v>
      </c>
      <c r="BI100" s="167" t="str">
        <f t="shared" si="18"/>
        <v/>
      </c>
      <c r="BJ100" s="168" t="str">
        <f t="shared" si="328"/>
        <v/>
      </c>
      <c r="BK100" s="169" t="str">
        <f t="shared" si="329"/>
        <v/>
      </c>
      <c r="BL100" s="172" t="str">
        <f t="shared" si="330"/>
        <v/>
      </c>
      <c r="BM100" s="171" t="str">
        <f t="array" ref="BM100">IFERROR(IF(BG100="ac"+ISNUMBER(SEARCH("'",BL100))+BK100="","", IF(ISNUMBER(SEARCH("lw",BL100)), AY100 + SUBSTITUTE(BL100,"lw+",""), MROUND(SWITCH(BG100,"sq",BK$7,"bn",BL$7,"dl",BM$7,"")*IF(BL100&gt;10, BL100/100, VLOOKUP(BL100, _rpe,SUBSTITUTE(BK100,"+","")+1,0)), IF( SWITCH(BG100,"sq",BK$7,"bn",BL$7,"dl", BM$7,"")&lt; IF(_uom="lbs", 175, 80), 1.25, IF(_uom="lbs",5,2.5))))), "")</f>
        <v/>
      </c>
      <c r="BN100" s="148"/>
      <c r="BO100" s="33"/>
      <c r="BP100" s="171"/>
      <c r="BQ100" s="124" t="str">
        <f>IFERROR(__xludf.DUMMYFUNCTION("IF(BM100=MAX(FILTER(BM$10:BM$199,LOOKUP(ROW(BG$10:BG$199),FILTER(ROW(BG$10:BG$199),BG$10:BG$199&lt;&gt;BG$9:BG$198))=LOOKUP(ROW(BG100),FILTER(ROW(BG$10:BG$199),BG$10:BG$199&lt;&gt;BG$9:BG$198)))),BN100,)"),"")</f>
        <v/>
      </c>
      <c r="BR100" s="122"/>
      <c r="BS100" s="33"/>
      <c r="BT100" s="143" t="str">
        <f t="shared" si="19"/>
        <v/>
      </c>
      <c r="BU100" s="38" t="str">
        <f>IFERROR(__xludf.DUMMYFUNCTION("""COMPUTED_VALUE"""),"")</f>
        <v/>
      </c>
      <c r="BV100" s="144">
        <v>46146.0</v>
      </c>
      <c r="BW100" s="167" t="str">
        <f t="shared" si="20"/>
        <v/>
      </c>
      <c r="BX100" s="168" t="str">
        <f t="shared" si="331"/>
        <v/>
      </c>
      <c r="BY100" s="169" t="str">
        <f t="shared" si="332"/>
        <v/>
      </c>
      <c r="BZ100" s="172" t="str">
        <f t="shared" si="333"/>
        <v/>
      </c>
      <c r="CA100" s="171" t="str">
        <f t="array" ref="CA100">IFERROR(IF(BU100="ac"+ISNUMBER(SEARCH("'",BZ100))+BY100="","", IF(ISNUMBER(SEARCH("lw",BZ100)), BM100 + SUBSTITUTE(BZ100,"lw+",""), MROUND(SWITCH(BU100,"sq",BY$7,"bn",BZ$7,"dl",CA$7,"")*IF(BZ100&gt;10, BZ100/100, VLOOKUP(BZ100, _rpe,SUBSTITUTE(BY100,"+","")+1,0)), IF( SWITCH(BU100,"sq",BY$7,"bn",BZ$7,"dl", CA$7,"")&lt; IF(_uom="lbs", 175, 80), 1.25, IF(_uom="lbs",5,2.5))))), "")</f>
        <v/>
      </c>
      <c r="CB100" s="148"/>
      <c r="CC100" s="33"/>
      <c r="CD100" s="171"/>
      <c r="CE100" s="124" t="str">
        <f>IFERROR(__xludf.DUMMYFUNCTION("IF(CA100=MAX(FILTER(CA$10:CA$199,LOOKUP(ROW(BU$10:BU$199),FILTER(ROW(BU$10:BU$199),BU$10:BU$199&lt;&gt;BU$9:BU$198))=LOOKUP(ROW(BU100),FILTER(ROW(BU$10:BU$199),BU$10:BU$199&lt;&gt;BU$9:BU$198)))),CB100,)"),"")</f>
        <v/>
      </c>
      <c r="CF100" s="122"/>
      <c r="CG100" s="33"/>
      <c r="CH100" s="143" t="str">
        <f t="shared" si="21"/>
        <v/>
      </c>
      <c r="CI100" s="38" t="str">
        <f>IFERROR(__xludf.DUMMYFUNCTION("""COMPUTED_VALUE"""),"")</f>
        <v/>
      </c>
      <c r="CJ100" s="144">
        <v>46153.0</v>
      </c>
      <c r="CK100" s="167" t="str">
        <f t="shared" si="27"/>
        <v/>
      </c>
      <c r="CL100" s="168" t="str">
        <f t="shared" si="334"/>
        <v/>
      </c>
      <c r="CM100" s="169" t="str">
        <f t="shared" si="335"/>
        <v/>
      </c>
      <c r="CN100" s="172" t="str">
        <f t="shared" si="336"/>
        <v/>
      </c>
      <c r="CO100" s="171" t="str">
        <f t="array" ref="CO100">IFERROR(IF(CI100="ac"+ISNUMBER(SEARCH("'",CN100))+CM100="","", IF(ISNUMBER(SEARCH("lw",CN100)), CA100 + SUBSTITUTE(CN100,"lw+",""), MROUND(SWITCH(CI100,"sq",CM$7,"bn",CN$7,"dl",CO$7,"")*IF(CN100&gt;10, CN100/100, VLOOKUP(CN100, _rpe,SUBSTITUTE(CM100,"+","")+1,0)), IF( SWITCH(CI100,"sq",CM$7,"bn",CN$7,"dl", CO$7,"")&lt; IF(_uom="lbs", 175, 80), 1.25, IF(_uom="lbs",5,2.5))))), "")</f>
        <v/>
      </c>
      <c r="CP100" s="148"/>
      <c r="CQ100" s="33"/>
      <c r="CR100" s="171"/>
      <c r="CS100" s="124" t="str">
        <f>IFERROR(__xludf.DUMMYFUNCTION("IF(CO100=MAX(FILTER(CO$10:CO$199,LOOKUP(ROW(CI$10:CI$199),FILTER(ROW(CI$10:CI$199),CI$10:CI$199&lt;&gt;CI$9:CI$198))=LOOKUP(ROW(CI100),FILTER(ROW(CI$10:CI$199),CI$10:CI$199&lt;&gt;CI$9:CI$198)))),CP100,)"),"")</f>
        <v/>
      </c>
      <c r="CT100" s="122"/>
      <c r="CU100" s="33"/>
      <c r="CV100" s="143" t="str">
        <f t="shared" si="22"/>
        <v/>
      </c>
      <c r="CW100" s="38" t="str">
        <f>IFERROR(__xludf.DUMMYFUNCTION("""COMPUTED_VALUE"""),"")</f>
        <v/>
      </c>
      <c r="CX100" s="144">
        <v>46160.0</v>
      </c>
      <c r="CY100" s="167" t="str">
        <f t="shared" si="28"/>
        <v/>
      </c>
      <c r="CZ100" s="168" t="str">
        <f t="shared" si="337"/>
        <v/>
      </c>
      <c r="DA100" s="169" t="str">
        <f t="shared" si="338"/>
        <v/>
      </c>
      <c r="DB100" s="172" t="str">
        <f t="shared" si="339"/>
        <v/>
      </c>
      <c r="DC100" s="171" t="str">
        <f t="array" ref="DC100">IFERROR(IF(CW100="ac"+ISNUMBER(SEARCH("'",DB100))+DA100="","", IF(ISNUMBER(SEARCH("lw",DB100)), CO100 + SUBSTITUTE(DB100,"lw+",""), MROUND(SWITCH(CW100,"sq",DA$7,"bn",DB$7,"dl",DC$7,"")*IF(DB100&gt;10, DB100/100, VLOOKUP(DB100, _rpe,SUBSTITUTE(DA100,"+","")+1,0)), IF( SWITCH(CW100,"sq",DA$7,"bn",DB$7,"dl", DC$7,"")&lt; IF(_uom="lbs", 175, 80), 1.25, IF(_uom="lbs",5,2.5))))), "")</f>
        <v/>
      </c>
      <c r="DD100" s="148"/>
      <c r="DE100" s="33"/>
      <c r="DF100" s="171"/>
      <c r="DG100" s="124" t="str">
        <f>IFERROR(__xludf.DUMMYFUNCTION("IF(DC100=MAX(FILTER(DC$10:DC$199,LOOKUP(ROW(CW$10:CW$199),FILTER(ROW(CW$10:CW$199),CW$10:CW$199&lt;&gt;CW$9:CW$198))=LOOKUP(ROW(CW100),FILTER(ROW(CW$10:CW$199),CW$10:CW$199&lt;&gt;CW$9:CW$198)))),DD100,)"),"")</f>
        <v/>
      </c>
      <c r="DH100" s="122"/>
      <c r="DI100" s="33"/>
      <c r="DJ100" s="143" t="str">
        <f t="shared" si="23"/>
        <v/>
      </c>
      <c r="DK100" s="38" t="str">
        <f>IFERROR(__xludf.DUMMYFUNCTION("""COMPUTED_VALUE"""),"")</f>
        <v/>
      </c>
      <c r="DL100" s="144">
        <v>46167.0</v>
      </c>
      <c r="DM100" s="167" t="str">
        <f t="shared" ref="DM100:DN100" si="352">IF(ISBLANK(CY100),"",CY100)</f>
        <v/>
      </c>
      <c r="DN100" s="168" t="str">
        <f t="shared" si="352"/>
        <v/>
      </c>
      <c r="DO100" s="169" t="str">
        <f t="shared" si="341"/>
        <v/>
      </c>
      <c r="DP100" s="172" t="str">
        <f t="shared" si="342"/>
        <v/>
      </c>
      <c r="DQ100" s="171" t="str">
        <f t="array" ref="DQ100">IFERROR(IF(DK100="ac"+ISNUMBER(SEARCH("'",DP100))+DO100="","", IF(ISNUMBER(SEARCH("lw",DP100)), DC100 + SUBSTITUTE(DP100,"lw+",""), MROUND(SWITCH(DK100,"sq",DO$7,"bn",DP$7,"dl",DQ$7,"")*IF(DP100&gt;10, DP100/100, VLOOKUP(DP100, _rpe,SUBSTITUTE(DO100,"+","")+1,0)), IF( SWITCH(DK100,"sq",DO$7,"bn",DP$7,"dl", DQ$7,"")&lt; IF(_uom="lbs", 175, 80), 1.25, IF(_uom="lbs",5,2.5))))), "")</f>
        <v/>
      </c>
      <c r="DR100" s="148"/>
      <c r="DS100" s="33"/>
      <c r="DT100" s="171"/>
      <c r="DU100" s="124" t="str">
        <f>IFERROR(__xludf.DUMMYFUNCTION("IF(DQ100=MAX(FILTER(DQ$10:DQ$199,LOOKUP(ROW(DK$10:DK$199),FILTER(ROW(DK$10:DK$199),DK$10:DK$199&lt;&gt;DK$9:DK$198))=LOOKUP(ROW(DK100),FILTER(ROW(DK$10:DK$199),DK$10:DK$199&lt;&gt;DK$9:DK$198)))),DR100,)"),"")</f>
        <v/>
      </c>
      <c r="DV100" s="122"/>
      <c r="DW100" s="33"/>
      <c r="DX100" s="143"/>
      <c r="DY100" s="38"/>
      <c r="DZ100" s="144"/>
      <c r="EA100" s="150"/>
      <c r="EB100" s="174"/>
      <c r="EC100" s="175"/>
      <c r="ED100" s="176"/>
      <c r="EE100" s="155"/>
      <c r="EF100" s="148"/>
      <c r="EG100" s="33"/>
      <c r="EH100" s="155"/>
      <c r="EI100" s="148"/>
      <c r="EJ100" s="33"/>
      <c r="EK100" s="33"/>
      <c r="EL100" s="143"/>
      <c r="EM100" s="38"/>
      <c r="EN100" s="144"/>
      <c r="EO100" s="150"/>
      <c r="EP100" s="174"/>
      <c r="EQ100" s="175"/>
      <c r="ER100" s="176"/>
      <c r="ES100" s="155"/>
      <c r="ET100" s="148"/>
      <c r="EU100" s="33"/>
      <c r="EV100" s="155"/>
      <c r="EW100" s="148"/>
      <c r="EX100" s="33"/>
      <c r="EY100" s="33"/>
      <c r="EZ100" s="143"/>
      <c r="FA100" s="38"/>
      <c r="FB100" s="144"/>
      <c r="FC100" s="150"/>
      <c r="FD100" s="174"/>
      <c r="FE100" s="175"/>
      <c r="FF100" s="176"/>
      <c r="FG100" s="155"/>
      <c r="FH100" s="148"/>
      <c r="FI100" s="33"/>
      <c r="FJ100" s="155"/>
      <c r="FK100" s="148"/>
      <c r="FL100" s="33"/>
      <c r="FM100" s="33"/>
      <c r="FN100" s="143"/>
      <c r="FO100" s="38"/>
      <c r="FP100" s="144"/>
      <c r="FQ100" s="150"/>
      <c r="FR100" s="174"/>
      <c r="FS100" s="175"/>
      <c r="FT100" s="176"/>
      <c r="FU100" s="155"/>
      <c r="FV100" s="148"/>
      <c r="FW100" s="33"/>
      <c r="FX100" s="155"/>
      <c r="FY100" s="148"/>
      <c r="FZ100" s="33"/>
      <c r="GA100" s="33"/>
      <c r="GB100" s="143"/>
      <c r="GC100" s="38"/>
      <c r="GD100" s="144"/>
      <c r="GE100" s="150"/>
      <c r="GF100" s="174"/>
      <c r="GG100" s="175"/>
      <c r="GH100" s="176"/>
      <c r="GI100" s="155"/>
      <c r="GJ100" s="148"/>
      <c r="GK100" s="33"/>
      <c r="GL100" s="155"/>
      <c r="GM100" s="148"/>
      <c r="GN100" s="33"/>
      <c r="GO100" s="33"/>
      <c r="GP100" s="143"/>
      <c r="GQ100" s="38"/>
      <c r="GR100" s="144"/>
      <c r="GS100" s="150"/>
      <c r="GT100" s="174"/>
      <c r="GU100" s="175"/>
      <c r="GV100" s="176"/>
      <c r="GW100" s="155"/>
      <c r="GX100" s="148"/>
      <c r="GY100" s="33"/>
      <c r="GZ100" s="155"/>
      <c r="HA100" s="148"/>
      <c r="HB100" s="33"/>
      <c r="HC100" s="33"/>
      <c r="HD100" s="143"/>
      <c r="HE100" s="38"/>
      <c r="HF100" s="144"/>
      <c r="HG100" s="150"/>
      <c r="HH100" s="174"/>
      <c r="HI100" s="175"/>
      <c r="HJ100" s="176"/>
      <c r="HK100" s="155"/>
      <c r="HL100" s="148"/>
      <c r="HM100" s="33"/>
      <c r="HN100" s="155"/>
      <c r="HO100" s="148"/>
      <c r="HP100" s="33"/>
      <c r="HQ100" s="33"/>
      <c r="HR100" s="143"/>
      <c r="HS100" s="38"/>
      <c r="HT100" s="144"/>
      <c r="HU100" s="150"/>
      <c r="HV100" s="174"/>
      <c r="HW100" s="175"/>
      <c r="HX100" s="176"/>
      <c r="HY100" s="155"/>
      <c r="HZ100" s="148"/>
      <c r="IA100" s="33"/>
      <c r="IB100" s="155"/>
      <c r="IC100" s="148"/>
      <c r="ID100" s="33"/>
      <c r="IE100" s="33"/>
      <c r="IF100" s="143"/>
      <c r="IG100" s="38"/>
      <c r="IH100" s="144"/>
      <c r="II100" s="150"/>
      <c r="IJ100" s="174"/>
      <c r="IK100" s="175"/>
      <c r="IL100" s="176"/>
      <c r="IM100" s="155"/>
      <c r="IN100" s="148"/>
      <c r="IO100" s="33"/>
      <c r="IP100" s="155"/>
      <c r="IQ100" s="148"/>
      <c r="IR100" s="33"/>
      <c r="IS100" s="33"/>
      <c r="IT100" s="143"/>
      <c r="IU100" s="38"/>
      <c r="IV100" s="144"/>
      <c r="IW100" s="143"/>
      <c r="IX100" s="38"/>
      <c r="IY100" s="144" t="e">
        <v>#REF!</v>
      </c>
    </row>
    <row r="101">
      <c r="A101" s="33"/>
      <c r="B101" s="181"/>
      <c r="C101" s="38" t="str">
        <f>IFERROR(__xludf.DUMMYFUNCTION("""COMPUTED_VALUE"""),"")</f>
        <v/>
      </c>
      <c r="D101" s="144">
        <v>46111.0</v>
      </c>
      <c r="E101" s="182"/>
      <c r="F101" s="168"/>
      <c r="G101" s="169"/>
      <c r="H101" s="170"/>
      <c r="I101" s="171" t="str">
        <f t="array" ref="I101">IFERROR(IF(C101="ac"+ISNUMBER(SEARCH("'",H101))+G101="","", MROUND(SWITCH(C101,"sq",'Personal Info'!$O$15,"bn",'Personal Info'!$S$15,"dl",'Personal Info'!$W$15,"")*IF(H101&gt;10, H101/100, VLOOKUP(H101, _rpe,SUBSTITUTE(G101,"+","")+1,0)), IF( SWITCH(C101:C210,"sq",'Personal Info'!$O$15,"bn",'Personal Info'!$S$15,"dl", 'Personal Info'!$W$15,"")&lt; IF(_uom="lbs", 175, 80), 1.25, IF(_uom="lbs",5,2.5)))),"")</f>
        <v/>
      </c>
      <c r="J101" s="148"/>
      <c r="K101" s="33"/>
      <c r="L101" s="171"/>
      <c r="M101" s="124" t="str">
        <f>IFERROR(__xludf.DUMMYFUNCTION("IF(I101=MAX(FILTER(I$10:I$199,LOOKUP(ROW(C$10:C$199),FILTER(ROW(C$10:C$199),C$10:C$199&lt;&gt;C$9:C$198))=LOOKUP(ROW(C101),FILTER(ROW(C$10:C$199),C$10:C$199&lt;&gt;C$9:C$198)))),J101,)"),"")</f>
        <v/>
      </c>
      <c r="N101" s="122"/>
      <c r="O101" s="33"/>
      <c r="P101" s="143" t="str">
        <f t="shared" si="12"/>
        <v/>
      </c>
      <c r="Q101" s="38" t="str">
        <f>IFERROR(__xludf.DUMMYFUNCTION("""COMPUTED_VALUE"""),"")</f>
        <v/>
      </c>
      <c r="R101" s="144">
        <v>46118.0</v>
      </c>
      <c r="S101" s="167" t="str">
        <f t="shared" si="13"/>
        <v/>
      </c>
      <c r="T101" s="168" t="str">
        <f t="shared" si="319"/>
        <v/>
      </c>
      <c r="U101" s="169" t="str">
        <f t="shared" si="320"/>
        <v/>
      </c>
      <c r="V101" s="172" t="str">
        <f t="shared" si="321"/>
        <v/>
      </c>
      <c r="W101" s="171" t="str">
        <f t="array" ref="W101">IFERROR(IF(Q101="ac"+ISNUMBER(SEARCH("'",V101))+U101="","", IF(ISNUMBER(SEARCH("lw",V101)), I101 + SUBSTITUTE(V101,"lw+",""), MROUND(SWITCH(Q101,"sq",U$7,"bn",V$7,"dl",W$7,"")*IF(V101&gt;10, V101/100, VLOOKUP(V101, _rpe,SUBSTITUTE(U101,"+","")+1,0)), IF( SWITCH(Q101,"sq",U$7,"bn",V$7,"dl", W$7,"")&lt; IF(_uom="lbs", 175, 80), 1.25, IF(_uom="lbs",5,2.5))))), "")</f>
        <v/>
      </c>
      <c r="X101" s="148"/>
      <c r="Y101" s="33"/>
      <c r="Z101" s="171"/>
      <c r="AA101" s="124" t="str">
        <f>IFERROR(__xludf.DUMMYFUNCTION("IF(W101=MAX(FILTER(W$10:W$199,LOOKUP(ROW(Q$10:Q$199),FILTER(ROW(Q$10:Q$199),Q$10:Q$199&lt;&gt;Q$9:Q$198))=LOOKUP(ROW(Q101),FILTER(ROW(Q$10:Q$199),Q$10:Q$199&lt;&gt;Q$9:Q$198)))),X101,)"),"")</f>
        <v/>
      </c>
      <c r="AB101" s="122"/>
      <c r="AC101" s="33"/>
      <c r="AD101" s="143" t="str">
        <f t="shared" si="14"/>
        <v/>
      </c>
      <c r="AE101" s="38" t="str">
        <f>IFERROR(__xludf.DUMMYFUNCTION("""COMPUTED_VALUE"""),"")</f>
        <v/>
      </c>
      <c r="AF101" s="144">
        <v>46125.0</v>
      </c>
      <c r="AG101" s="167" t="str">
        <f t="shared" si="54"/>
        <v/>
      </c>
      <c r="AH101" s="168" t="str">
        <f t="shared" si="322"/>
        <v/>
      </c>
      <c r="AI101" s="169" t="str">
        <f t="shared" si="323"/>
        <v/>
      </c>
      <c r="AJ101" s="172" t="str">
        <f t="shared" si="324"/>
        <v/>
      </c>
      <c r="AK101" s="171" t="str">
        <f t="array" ref="AK101">IFERROR(IF(AE101="ac"+ISNUMBER(SEARCH("'",AJ101))+AI101="","", IF(ISNUMBER(SEARCH("lw",AJ101)), W101 + SUBSTITUTE(AJ101,"lw+",""), MROUND(SWITCH(AE101,"sq",AI$7,"bn",AJ$7,"dl",AK$7,"")*IF(AJ101&gt;10, AJ101/100, VLOOKUP(AJ101, _rpe,SUBSTITUTE(AI101,"+","")+1,0)), IF( SWITCH(AE101,"sq",AI$7,"bn",AJ$7,"dl", AK$7,"")&lt; IF(_uom="lbs", 175, 80), 1.25, IF(_uom="lbs",5,2.5))))), "")</f>
        <v/>
      </c>
      <c r="AL101" s="148"/>
      <c r="AM101" s="33"/>
      <c r="AN101" s="171"/>
      <c r="AO101" s="124" t="str">
        <f>IFERROR(__xludf.DUMMYFUNCTION("IF(AK101=MAX(FILTER(AK$10:AK$199,LOOKUP(ROW(AE$10:AE$199),FILTER(ROW(AE$10:AE$199),AE$10:AE$199&lt;&gt;AE$9:AE$198))=LOOKUP(ROW(AE101),FILTER(ROW(AE$10:AE$199),AE$10:AE$199&lt;&gt;AE$9:AE$198)))),AL101,)"),"")</f>
        <v/>
      </c>
      <c r="AP101" s="122"/>
      <c r="AQ101" s="33"/>
      <c r="AR101" s="143" t="str">
        <f t="shared" si="16"/>
        <v/>
      </c>
      <c r="AS101" s="38" t="str">
        <f>IFERROR(__xludf.DUMMYFUNCTION("""COMPUTED_VALUE"""),"")</f>
        <v/>
      </c>
      <c r="AT101" s="144">
        <v>46132.0</v>
      </c>
      <c r="AU101" s="167" t="str">
        <f t="shared" si="26"/>
        <v/>
      </c>
      <c r="AV101" s="168" t="str">
        <f t="shared" si="325"/>
        <v/>
      </c>
      <c r="AW101" s="169" t="str">
        <f t="shared" si="326"/>
        <v/>
      </c>
      <c r="AX101" s="172" t="str">
        <f t="shared" si="327"/>
        <v/>
      </c>
      <c r="AY101" s="171" t="str">
        <f t="array" ref="AY101">IFERROR(IF(AS101="ac"+ISNUMBER(SEARCH("'",AX101))+AW101="","", IF(ISNUMBER(SEARCH("lw",AX101)), AK101 + SUBSTITUTE(AX101,"lw+",""), MROUND(SWITCH(AS101,"sq",AW$7,"bn",AX$7,"dl",AY$7,"")*IF(AX101&gt;10, AX101/100, VLOOKUP(AX101, _rpe,SUBSTITUTE(AW101,"+","")+1,0)), IF( SWITCH(AS101,"sq",AW$7,"bn",AX$7,"dl", AY$7,"")&lt; IF(_uom="lbs", 175, 80), 1.25, IF(_uom="lbs",5,2.5))))), "")</f>
        <v/>
      </c>
      <c r="AZ101" s="148"/>
      <c r="BA101" s="33"/>
      <c r="BB101" s="171"/>
      <c r="BC101" s="124" t="str">
        <f>IFERROR(__xludf.DUMMYFUNCTION("IF(AY101=MAX(FILTER(AY$10:AY$199,LOOKUP(ROW(AS$10:AS$199),FILTER(ROW(AS$10:AS$199),AS$10:AS$199&lt;&gt;AS$9:AS$198))=LOOKUP(ROW(AS101),FILTER(ROW(AS$10:AS$199),AS$10:AS$199&lt;&gt;AS$9:AS$198)))),AZ101,)"),"")</f>
        <v/>
      </c>
      <c r="BD101" s="122"/>
      <c r="BE101" s="33"/>
      <c r="BF101" s="143" t="str">
        <f t="shared" si="17"/>
        <v/>
      </c>
      <c r="BG101" s="38" t="str">
        <f>IFERROR(__xludf.DUMMYFUNCTION("""COMPUTED_VALUE"""),"")</f>
        <v/>
      </c>
      <c r="BH101" s="144">
        <v>46139.0</v>
      </c>
      <c r="BI101" s="167" t="str">
        <f t="shared" si="18"/>
        <v/>
      </c>
      <c r="BJ101" s="168" t="str">
        <f t="shared" si="328"/>
        <v/>
      </c>
      <c r="BK101" s="169" t="str">
        <f t="shared" si="329"/>
        <v/>
      </c>
      <c r="BL101" s="172" t="str">
        <f t="shared" si="330"/>
        <v/>
      </c>
      <c r="BM101" s="171" t="str">
        <f t="array" ref="BM101">IFERROR(IF(BG101="ac"+ISNUMBER(SEARCH("'",BL101))+BK101="","", IF(ISNUMBER(SEARCH("lw",BL101)), AY101 + SUBSTITUTE(BL101,"lw+",""), MROUND(SWITCH(BG101,"sq",BK$7,"bn",BL$7,"dl",BM$7,"")*IF(BL101&gt;10, BL101/100, VLOOKUP(BL101, _rpe,SUBSTITUTE(BK101,"+","")+1,0)), IF( SWITCH(BG101,"sq",BK$7,"bn",BL$7,"dl", BM$7,"")&lt; IF(_uom="lbs", 175, 80), 1.25, IF(_uom="lbs",5,2.5))))), "")</f>
        <v/>
      </c>
      <c r="BN101" s="148"/>
      <c r="BO101" s="33"/>
      <c r="BP101" s="171"/>
      <c r="BQ101" s="124" t="str">
        <f>IFERROR(__xludf.DUMMYFUNCTION("IF(BM101=MAX(FILTER(BM$10:BM$199,LOOKUP(ROW(BG$10:BG$199),FILTER(ROW(BG$10:BG$199),BG$10:BG$199&lt;&gt;BG$9:BG$198))=LOOKUP(ROW(BG101),FILTER(ROW(BG$10:BG$199),BG$10:BG$199&lt;&gt;BG$9:BG$198)))),BN101,)"),"")</f>
        <v/>
      </c>
      <c r="BR101" s="122"/>
      <c r="BS101" s="33"/>
      <c r="BT101" s="143" t="str">
        <f t="shared" si="19"/>
        <v/>
      </c>
      <c r="BU101" s="38" t="str">
        <f>IFERROR(__xludf.DUMMYFUNCTION("""COMPUTED_VALUE"""),"")</f>
        <v/>
      </c>
      <c r="BV101" s="144">
        <v>46146.0</v>
      </c>
      <c r="BW101" s="167" t="str">
        <f t="shared" si="20"/>
        <v/>
      </c>
      <c r="BX101" s="168" t="str">
        <f t="shared" si="331"/>
        <v/>
      </c>
      <c r="BY101" s="169" t="str">
        <f t="shared" si="332"/>
        <v/>
      </c>
      <c r="BZ101" s="172" t="str">
        <f t="shared" si="333"/>
        <v/>
      </c>
      <c r="CA101" s="171" t="str">
        <f t="array" ref="CA101">IFERROR(IF(BU101="ac"+ISNUMBER(SEARCH("'",BZ101))+BY101="","", IF(ISNUMBER(SEARCH("lw",BZ101)), BM101 + SUBSTITUTE(BZ101,"lw+",""), MROUND(SWITCH(BU101,"sq",BY$7,"bn",BZ$7,"dl",CA$7,"")*IF(BZ101&gt;10, BZ101/100, VLOOKUP(BZ101, _rpe,SUBSTITUTE(BY101,"+","")+1,0)), IF( SWITCH(BU101,"sq",BY$7,"bn",BZ$7,"dl", CA$7,"")&lt; IF(_uom="lbs", 175, 80), 1.25, IF(_uom="lbs",5,2.5))))), "")</f>
        <v/>
      </c>
      <c r="CB101" s="148"/>
      <c r="CC101" s="33"/>
      <c r="CD101" s="171"/>
      <c r="CE101" s="124" t="str">
        <f>IFERROR(__xludf.DUMMYFUNCTION("IF(CA101=MAX(FILTER(CA$10:CA$199,LOOKUP(ROW(BU$10:BU$199),FILTER(ROW(BU$10:BU$199),BU$10:BU$199&lt;&gt;BU$9:BU$198))=LOOKUP(ROW(BU101),FILTER(ROW(BU$10:BU$199),BU$10:BU$199&lt;&gt;BU$9:BU$198)))),CB101,)"),"")</f>
        <v/>
      </c>
      <c r="CF101" s="122"/>
      <c r="CG101" s="33"/>
      <c r="CH101" s="143" t="str">
        <f t="shared" si="21"/>
        <v/>
      </c>
      <c r="CI101" s="38" t="str">
        <f>IFERROR(__xludf.DUMMYFUNCTION("""COMPUTED_VALUE"""),"")</f>
        <v/>
      </c>
      <c r="CJ101" s="144">
        <v>46153.0</v>
      </c>
      <c r="CK101" s="167" t="str">
        <f t="shared" si="27"/>
        <v/>
      </c>
      <c r="CL101" s="168" t="str">
        <f t="shared" si="334"/>
        <v/>
      </c>
      <c r="CM101" s="169" t="str">
        <f t="shared" si="335"/>
        <v/>
      </c>
      <c r="CN101" s="172" t="str">
        <f t="shared" si="336"/>
        <v/>
      </c>
      <c r="CO101" s="171" t="str">
        <f t="array" ref="CO101">IFERROR(IF(CI101="ac"+ISNUMBER(SEARCH("'",CN101))+CM101="","", IF(ISNUMBER(SEARCH("lw",CN101)), CA101 + SUBSTITUTE(CN101,"lw+",""), MROUND(SWITCH(CI101,"sq",CM$7,"bn",CN$7,"dl",CO$7,"")*IF(CN101&gt;10, CN101/100, VLOOKUP(CN101, _rpe,SUBSTITUTE(CM101,"+","")+1,0)), IF( SWITCH(CI101,"sq",CM$7,"bn",CN$7,"dl", CO$7,"")&lt; IF(_uom="lbs", 175, 80), 1.25, IF(_uom="lbs",5,2.5))))), "")</f>
        <v/>
      </c>
      <c r="CP101" s="148"/>
      <c r="CQ101" s="33"/>
      <c r="CR101" s="171"/>
      <c r="CS101" s="124" t="str">
        <f>IFERROR(__xludf.DUMMYFUNCTION("IF(CO101=MAX(FILTER(CO$10:CO$199,LOOKUP(ROW(CI$10:CI$199),FILTER(ROW(CI$10:CI$199),CI$10:CI$199&lt;&gt;CI$9:CI$198))=LOOKUP(ROW(CI101),FILTER(ROW(CI$10:CI$199),CI$10:CI$199&lt;&gt;CI$9:CI$198)))),CP101,)"),"")</f>
        <v/>
      </c>
      <c r="CT101" s="122"/>
      <c r="CU101" s="33"/>
      <c r="CV101" s="143" t="str">
        <f t="shared" si="22"/>
        <v/>
      </c>
      <c r="CW101" s="38" t="str">
        <f>IFERROR(__xludf.DUMMYFUNCTION("""COMPUTED_VALUE"""),"")</f>
        <v/>
      </c>
      <c r="CX101" s="144">
        <v>46160.0</v>
      </c>
      <c r="CY101" s="167" t="str">
        <f t="shared" si="28"/>
        <v/>
      </c>
      <c r="CZ101" s="168" t="str">
        <f t="shared" si="337"/>
        <v/>
      </c>
      <c r="DA101" s="169" t="str">
        <f t="shared" si="338"/>
        <v/>
      </c>
      <c r="DB101" s="172" t="str">
        <f t="shared" si="339"/>
        <v/>
      </c>
      <c r="DC101" s="171" t="str">
        <f t="array" ref="DC101">IFERROR(IF(CW101="ac"+ISNUMBER(SEARCH("'",DB101))+DA101="","", IF(ISNUMBER(SEARCH("lw",DB101)), CO101 + SUBSTITUTE(DB101,"lw+",""), MROUND(SWITCH(CW101,"sq",DA$7,"bn",DB$7,"dl",DC$7,"")*IF(DB101&gt;10, DB101/100, VLOOKUP(DB101, _rpe,SUBSTITUTE(DA101,"+","")+1,0)), IF( SWITCH(CW101,"sq",DA$7,"bn",DB$7,"dl", DC$7,"")&lt; IF(_uom="lbs", 175, 80), 1.25, IF(_uom="lbs",5,2.5))))), "")</f>
        <v/>
      </c>
      <c r="DD101" s="148"/>
      <c r="DE101" s="33"/>
      <c r="DF101" s="171"/>
      <c r="DG101" s="124" t="str">
        <f>IFERROR(__xludf.DUMMYFUNCTION("IF(DC101=MAX(FILTER(DC$10:DC$199,LOOKUP(ROW(CW$10:CW$199),FILTER(ROW(CW$10:CW$199),CW$10:CW$199&lt;&gt;CW$9:CW$198))=LOOKUP(ROW(CW101),FILTER(ROW(CW$10:CW$199),CW$10:CW$199&lt;&gt;CW$9:CW$198)))),DD101,)"),"")</f>
        <v/>
      </c>
      <c r="DH101" s="122"/>
      <c r="DI101" s="33"/>
      <c r="DJ101" s="143" t="str">
        <f t="shared" si="23"/>
        <v/>
      </c>
      <c r="DK101" s="38" t="str">
        <f>IFERROR(__xludf.DUMMYFUNCTION("""COMPUTED_VALUE"""),"")</f>
        <v/>
      </c>
      <c r="DL101" s="144">
        <v>46167.0</v>
      </c>
      <c r="DM101" s="167" t="str">
        <f t="shared" ref="DM101:DN101" si="353">IF(ISBLANK(CY101),"",CY101)</f>
        <v/>
      </c>
      <c r="DN101" s="168" t="str">
        <f t="shared" si="353"/>
        <v/>
      </c>
      <c r="DO101" s="169" t="str">
        <f t="shared" si="341"/>
        <v/>
      </c>
      <c r="DP101" s="172" t="str">
        <f t="shared" si="342"/>
        <v/>
      </c>
      <c r="DQ101" s="171" t="str">
        <f t="array" ref="DQ101">IFERROR(IF(DK101="ac"+ISNUMBER(SEARCH("'",DP101))+DO101="","", IF(ISNUMBER(SEARCH("lw",DP101)), DC101 + SUBSTITUTE(DP101,"lw+",""), MROUND(SWITCH(DK101,"sq",DO$7,"bn",DP$7,"dl",DQ$7,"")*IF(DP101&gt;10, DP101/100, VLOOKUP(DP101, _rpe,SUBSTITUTE(DO101,"+","")+1,0)), IF( SWITCH(DK101,"sq",DO$7,"bn",DP$7,"dl", DQ$7,"")&lt; IF(_uom="lbs", 175, 80), 1.25, IF(_uom="lbs",5,2.5))))), "")</f>
        <v/>
      </c>
      <c r="DR101" s="148"/>
      <c r="DS101" s="33"/>
      <c r="DT101" s="171"/>
      <c r="DU101" s="124" t="str">
        <f>IFERROR(__xludf.DUMMYFUNCTION("IF(DQ101=MAX(FILTER(DQ$10:DQ$199,LOOKUP(ROW(DK$10:DK$199),FILTER(ROW(DK$10:DK$199),DK$10:DK$199&lt;&gt;DK$9:DK$198))=LOOKUP(ROW(DK101),FILTER(ROW(DK$10:DK$199),DK$10:DK$199&lt;&gt;DK$9:DK$198)))),DR101,)"),"")</f>
        <v/>
      </c>
      <c r="DV101" s="122"/>
      <c r="DW101" s="33"/>
      <c r="DX101" s="143"/>
      <c r="DY101" s="38"/>
      <c r="DZ101" s="144"/>
      <c r="EA101" s="150"/>
      <c r="EB101" s="174"/>
      <c r="EC101" s="175"/>
      <c r="ED101" s="176"/>
      <c r="EE101" s="155"/>
      <c r="EF101" s="148"/>
      <c r="EG101" s="33"/>
      <c r="EH101" s="155"/>
      <c r="EI101" s="148"/>
      <c r="EJ101" s="33"/>
      <c r="EK101" s="33"/>
      <c r="EL101" s="143"/>
      <c r="EM101" s="38"/>
      <c r="EN101" s="144"/>
      <c r="EO101" s="150"/>
      <c r="EP101" s="174"/>
      <c r="EQ101" s="175"/>
      <c r="ER101" s="176"/>
      <c r="ES101" s="155"/>
      <c r="ET101" s="148"/>
      <c r="EU101" s="33"/>
      <c r="EV101" s="155"/>
      <c r="EW101" s="148"/>
      <c r="EX101" s="33"/>
      <c r="EY101" s="33"/>
      <c r="EZ101" s="143"/>
      <c r="FA101" s="38"/>
      <c r="FB101" s="144"/>
      <c r="FC101" s="150"/>
      <c r="FD101" s="174"/>
      <c r="FE101" s="175"/>
      <c r="FF101" s="176"/>
      <c r="FG101" s="155"/>
      <c r="FH101" s="148"/>
      <c r="FI101" s="33"/>
      <c r="FJ101" s="155"/>
      <c r="FK101" s="148"/>
      <c r="FL101" s="33"/>
      <c r="FM101" s="33"/>
      <c r="FN101" s="143"/>
      <c r="FO101" s="38"/>
      <c r="FP101" s="144"/>
      <c r="FQ101" s="150"/>
      <c r="FR101" s="174"/>
      <c r="FS101" s="175"/>
      <c r="FT101" s="176"/>
      <c r="FU101" s="155"/>
      <c r="FV101" s="148"/>
      <c r="FW101" s="33"/>
      <c r="FX101" s="155"/>
      <c r="FY101" s="148"/>
      <c r="FZ101" s="33"/>
      <c r="GA101" s="33"/>
      <c r="GB101" s="143"/>
      <c r="GC101" s="38"/>
      <c r="GD101" s="144"/>
      <c r="GE101" s="150"/>
      <c r="GF101" s="174"/>
      <c r="GG101" s="175"/>
      <c r="GH101" s="176"/>
      <c r="GI101" s="155"/>
      <c r="GJ101" s="148"/>
      <c r="GK101" s="33"/>
      <c r="GL101" s="155"/>
      <c r="GM101" s="148"/>
      <c r="GN101" s="33"/>
      <c r="GO101" s="33"/>
      <c r="GP101" s="143"/>
      <c r="GQ101" s="38"/>
      <c r="GR101" s="144"/>
      <c r="GS101" s="150"/>
      <c r="GT101" s="174"/>
      <c r="GU101" s="175"/>
      <c r="GV101" s="176"/>
      <c r="GW101" s="155"/>
      <c r="GX101" s="148"/>
      <c r="GY101" s="33"/>
      <c r="GZ101" s="155"/>
      <c r="HA101" s="148"/>
      <c r="HB101" s="33"/>
      <c r="HC101" s="33"/>
      <c r="HD101" s="143"/>
      <c r="HE101" s="38"/>
      <c r="HF101" s="144"/>
      <c r="HG101" s="150"/>
      <c r="HH101" s="174"/>
      <c r="HI101" s="175"/>
      <c r="HJ101" s="176"/>
      <c r="HK101" s="155"/>
      <c r="HL101" s="148"/>
      <c r="HM101" s="33"/>
      <c r="HN101" s="155"/>
      <c r="HO101" s="148"/>
      <c r="HP101" s="33"/>
      <c r="HQ101" s="33"/>
      <c r="HR101" s="143"/>
      <c r="HS101" s="38"/>
      <c r="HT101" s="144"/>
      <c r="HU101" s="150"/>
      <c r="HV101" s="174"/>
      <c r="HW101" s="175"/>
      <c r="HX101" s="176"/>
      <c r="HY101" s="155"/>
      <c r="HZ101" s="148"/>
      <c r="IA101" s="33"/>
      <c r="IB101" s="155"/>
      <c r="IC101" s="148"/>
      <c r="ID101" s="33"/>
      <c r="IE101" s="33"/>
      <c r="IF101" s="143"/>
      <c r="IG101" s="38"/>
      <c r="IH101" s="144"/>
      <c r="II101" s="150"/>
      <c r="IJ101" s="174"/>
      <c r="IK101" s="175"/>
      <c r="IL101" s="176"/>
      <c r="IM101" s="155"/>
      <c r="IN101" s="148"/>
      <c r="IO101" s="33"/>
      <c r="IP101" s="155"/>
      <c r="IQ101" s="148"/>
      <c r="IR101" s="33"/>
      <c r="IS101" s="33"/>
      <c r="IT101" s="143"/>
      <c r="IU101" s="38"/>
      <c r="IV101" s="144"/>
      <c r="IW101" s="143"/>
      <c r="IX101" s="38"/>
      <c r="IY101" s="144" t="e">
        <v>#REF!</v>
      </c>
    </row>
    <row r="102">
      <c r="A102" s="33"/>
      <c r="B102" s="181"/>
      <c r="C102" s="38" t="str">
        <f>IFERROR(__xludf.DUMMYFUNCTION("""COMPUTED_VALUE"""),"")</f>
        <v/>
      </c>
      <c r="D102" s="144">
        <v>46111.0</v>
      </c>
      <c r="E102" s="182"/>
      <c r="F102" s="168"/>
      <c r="G102" s="169"/>
      <c r="H102" s="170"/>
      <c r="I102" s="171" t="str">
        <f t="array" ref="I102">IFERROR(IF(C102="ac"+ISNUMBER(SEARCH("'",H102))+G102="","", MROUND(SWITCH(C102,"sq",'Personal Info'!$O$15,"bn",'Personal Info'!$S$15,"dl",'Personal Info'!$W$15,"")*IF(H102&gt;10, H102/100, VLOOKUP(H102, _rpe,SUBSTITUTE(G102,"+","")+1,0)), IF( SWITCH(C102:C210,"sq",'Personal Info'!$O$15,"bn",'Personal Info'!$S$15,"dl", 'Personal Info'!$W$15,"")&lt; IF(_uom="lbs", 175, 80), 1.25, IF(_uom="lbs",5,2.5)))),"")</f>
        <v/>
      </c>
      <c r="J102" s="148"/>
      <c r="K102" s="33"/>
      <c r="L102" s="171"/>
      <c r="M102" s="124" t="str">
        <f>IFERROR(__xludf.DUMMYFUNCTION("IF(I102=MAX(FILTER(I$10:I$199,LOOKUP(ROW(C$10:C$199),FILTER(ROW(C$10:C$199),C$10:C$199&lt;&gt;C$9:C$198))=LOOKUP(ROW(C102),FILTER(ROW(C$10:C$199),C$10:C$199&lt;&gt;C$9:C$198)))),J102,)"),"")</f>
        <v/>
      </c>
      <c r="N102" s="122"/>
      <c r="O102" s="33"/>
      <c r="P102" s="143" t="str">
        <f t="shared" si="12"/>
        <v/>
      </c>
      <c r="Q102" s="38" t="str">
        <f>IFERROR(__xludf.DUMMYFUNCTION("""COMPUTED_VALUE"""),"")</f>
        <v/>
      </c>
      <c r="R102" s="144">
        <v>46118.0</v>
      </c>
      <c r="S102" s="167" t="str">
        <f t="shared" si="13"/>
        <v/>
      </c>
      <c r="T102" s="168" t="str">
        <f t="shared" si="319"/>
        <v/>
      </c>
      <c r="U102" s="169" t="str">
        <f t="shared" si="320"/>
        <v/>
      </c>
      <c r="V102" s="172" t="str">
        <f t="shared" si="321"/>
        <v/>
      </c>
      <c r="W102" s="171" t="str">
        <f t="array" ref="W102">IFERROR(IF(Q102="ac"+ISNUMBER(SEARCH("'",V102))+U102="","", IF(ISNUMBER(SEARCH("lw",V102)), I102 + SUBSTITUTE(V102,"lw+",""), MROUND(SWITCH(Q102,"sq",U$7,"bn",V$7,"dl",W$7,"")*IF(V102&gt;10, V102/100, VLOOKUP(V102, _rpe,SUBSTITUTE(U102,"+","")+1,0)), IF( SWITCH(Q102,"sq",U$7,"bn",V$7,"dl", W$7,"")&lt; IF(_uom="lbs", 175, 80), 1.25, IF(_uom="lbs",5,2.5))))), "")</f>
        <v/>
      </c>
      <c r="X102" s="148"/>
      <c r="Y102" s="33"/>
      <c r="Z102" s="171"/>
      <c r="AA102" s="124" t="str">
        <f>IFERROR(__xludf.DUMMYFUNCTION("IF(W102=MAX(FILTER(W$10:W$199,LOOKUP(ROW(Q$10:Q$199),FILTER(ROW(Q$10:Q$199),Q$10:Q$199&lt;&gt;Q$9:Q$198))=LOOKUP(ROW(Q102),FILTER(ROW(Q$10:Q$199),Q$10:Q$199&lt;&gt;Q$9:Q$198)))),X102,)"),"")</f>
        <v/>
      </c>
      <c r="AB102" s="122"/>
      <c r="AC102" s="33"/>
      <c r="AD102" s="143" t="str">
        <f t="shared" si="14"/>
        <v/>
      </c>
      <c r="AE102" s="38" t="str">
        <f>IFERROR(__xludf.DUMMYFUNCTION("""COMPUTED_VALUE"""),"")</f>
        <v/>
      </c>
      <c r="AF102" s="144">
        <v>46125.0</v>
      </c>
      <c r="AG102" s="167" t="str">
        <f t="shared" si="54"/>
        <v/>
      </c>
      <c r="AH102" s="168" t="str">
        <f t="shared" si="322"/>
        <v/>
      </c>
      <c r="AI102" s="169" t="str">
        <f t="shared" si="323"/>
        <v/>
      </c>
      <c r="AJ102" s="172" t="str">
        <f t="shared" si="324"/>
        <v/>
      </c>
      <c r="AK102" s="171" t="str">
        <f t="array" ref="AK102">IFERROR(IF(AE102="ac"+ISNUMBER(SEARCH("'",AJ102))+AI102="","", IF(ISNUMBER(SEARCH("lw",AJ102)), W102 + SUBSTITUTE(AJ102,"lw+",""), MROUND(SWITCH(AE102,"sq",AI$7,"bn",AJ$7,"dl",AK$7,"")*IF(AJ102&gt;10, AJ102/100, VLOOKUP(AJ102, _rpe,SUBSTITUTE(AI102,"+","")+1,0)), IF( SWITCH(AE102,"sq",AI$7,"bn",AJ$7,"dl", AK$7,"")&lt; IF(_uom="lbs", 175, 80), 1.25, IF(_uom="lbs",5,2.5))))), "")</f>
        <v/>
      </c>
      <c r="AL102" s="148"/>
      <c r="AM102" s="33"/>
      <c r="AN102" s="171"/>
      <c r="AO102" s="124" t="str">
        <f>IFERROR(__xludf.DUMMYFUNCTION("IF(AK102=MAX(FILTER(AK$10:AK$199,LOOKUP(ROW(AE$10:AE$199),FILTER(ROW(AE$10:AE$199),AE$10:AE$199&lt;&gt;AE$9:AE$198))=LOOKUP(ROW(AE102),FILTER(ROW(AE$10:AE$199),AE$10:AE$199&lt;&gt;AE$9:AE$198)))),AL102,)"),"")</f>
        <v/>
      </c>
      <c r="AP102" s="122"/>
      <c r="AQ102" s="33"/>
      <c r="AR102" s="143" t="str">
        <f t="shared" si="16"/>
        <v/>
      </c>
      <c r="AS102" s="38" t="str">
        <f>IFERROR(__xludf.DUMMYFUNCTION("""COMPUTED_VALUE"""),"")</f>
        <v/>
      </c>
      <c r="AT102" s="144">
        <v>46132.0</v>
      </c>
      <c r="AU102" s="167" t="str">
        <f t="shared" si="26"/>
        <v/>
      </c>
      <c r="AV102" s="168" t="str">
        <f t="shared" si="325"/>
        <v/>
      </c>
      <c r="AW102" s="169" t="str">
        <f t="shared" si="326"/>
        <v/>
      </c>
      <c r="AX102" s="172" t="str">
        <f t="shared" si="327"/>
        <v/>
      </c>
      <c r="AY102" s="171" t="str">
        <f t="array" ref="AY102">IFERROR(IF(AS102="ac"+ISNUMBER(SEARCH("'",AX102))+AW102="","", IF(ISNUMBER(SEARCH("lw",AX102)), AK102 + SUBSTITUTE(AX102,"lw+",""), MROUND(SWITCH(AS102,"sq",AW$7,"bn",AX$7,"dl",AY$7,"")*IF(AX102&gt;10, AX102/100, VLOOKUP(AX102, _rpe,SUBSTITUTE(AW102,"+","")+1,0)), IF( SWITCH(AS102,"sq",AW$7,"bn",AX$7,"dl", AY$7,"")&lt; IF(_uom="lbs", 175, 80), 1.25, IF(_uom="lbs",5,2.5))))), "")</f>
        <v/>
      </c>
      <c r="AZ102" s="148"/>
      <c r="BA102" s="33"/>
      <c r="BB102" s="171"/>
      <c r="BC102" s="124" t="str">
        <f>IFERROR(__xludf.DUMMYFUNCTION("IF(AY102=MAX(FILTER(AY$10:AY$199,LOOKUP(ROW(AS$10:AS$199),FILTER(ROW(AS$10:AS$199),AS$10:AS$199&lt;&gt;AS$9:AS$198))=LOOKUP(ROW(AS102),FILTER(ROW(AS$10:AS$199),AS$10:AS$199&lt;&gt;AS$9:AS$198)))),AZ102,)"),"")</f>
        <v/>
      </c>
      <c r="BD102" s="122"/>
      <c r="BE102" s="33"/>
      <c r="BF102" s="143" t="str">
        <f t="shared" si="17"/>
        <v/>
      </c>
      <c r="BG102" s="38" t="str">
        <f>IFERROR(__xludf.DUMMYFUNCTION("""COMPUTED_VALUE"""),"")</f>
        <v/>
      </c>
      <c r="BH102" s="144">
        <v>46139.0</v>
      </c>
      <c r="BI102" s="167" t="str">
        <f t="shared" si="18"/>
        <v/>
      </c>
      <c r="BJ102" s="168" t="str">
        <f t="shared" si="328"/>
        <v/>
      </c>
      <c r="BK102" s="169" t="str">
        <f t="shared" si="329"/>
        <v/>
      </c>
      <c r="BL102" s="172" t="str">
        <f t="shared" si="330"/>
        <v/>
      </c>
      <c r="BM102" s="171" t="str">
        <f t="array" ref="BM102">IFERROR(IF(BG102="ac"+ISNUMBER(SEARCH("'",BL102))+BK102="","", IF(ISNUMBER(SEARCH("lw",BL102)), AY102 + SUBSTITUTE(BL102,"lw+",""), MROUND(SWITCH(BG102,"sq",BK$7,"bn",BL$7,"dl",BM$7,"")*IF(BL102&gt;10, BL102/100, VLOOKUP(BL102, _rpe,SUBSTITUTE(BK102,"+","")+1,0)), IF( SWITCH(BG102,"sq",BK$7,"bn",BL$7,"dl", BM$7,"")&lt; IF(_uom="lbs", 175, 80), 1.25, IF(_uom="lbs",5,2.5))))), "")</f>
        <v/>
      </c>
      <c r="BN102" s="148"/>
      <c r="BO102" s="33"/>
      <c r="BP102" s="171"/>
      <c r="BQ102" s="124" t="str">
        <f>IFERROR(__xludf.DUMMYFUNCTION("IF(BM102=MAX(FILTER(BM$10:BM$199,LOOKUP(ROW(BG$10:BG$199),FILTER(ROW(BG$10:BG$199),BG$10:BG$199&lt;&gt;BG$9:BG$198))=LOOKUP(ROW(BG102),FILTER(ROW(BG$10:BG$199),BG$10:BG$199&lt;&gt;BG$9:BG$198)))),BN102,)"),"")</f>
        <v/>
      </c>
      <c r="BR102" s="122"/>
      <c r="BS102" s="33"/>
      <c r="BT102" s="143" t="str">
        <f t="shared" si="19"/>
        <v/>
      </c>
      <c r="BU102" s="38" t="str">
        <f>IFERROR(__xludf.DUMMYFUNCTION("""COMPUTED_VALUE"""),"")</f>
        <v/>
      </c>
      <c r="BV102" s="144">
        <v>46146.0</v>
      </c>
      <c r="BW102" s="167" t="str">
        <f t="shared" si="20"/>
        <v/>
      </c>
      <c r="BX102" s="168" t="str">
        <f t="shared" si="331"/>
        <v/>
      </c>
      <c r="BY102" s="169" t="str">
        <f t="shared" si="332"/>
        <v/>
      </c>
      <c r="BZ102" s="172" t="str">
        <f t="shared" si="333"/>
        <v/>
      </c>
      <c r="CA102" s="171" t="str">
        <f t="array" ref="CA102">IFERROR(IF(BU102="ac"+ISNUMBER(SEARCH("'",BZ102))+BY102="","", IF(ISNUMBER(SEARCH("lw",BZ102)), BM102 + SUBSTITUTE(BZ102,"lw+",""), MROUND(SWITCH(BU102,"sq",BY$7,"bn",BZ$7,"dl",CA$7,"")*IF(BZ102&gt;10, BZ102/100, VLOOKUP(BZ102, _rpe,SUBSTITUTE(BY102,"+","")+1,0)), IF( SWITCH(BU102,"sq",BY$7,"bn",BZ$7,"dl", CA$7,"")&lt; IF(_uom="lbs", 175, 80), 1.25, IF(_uom="lbs",5,2.5))))), "")</f>
        <v/>
      </c>
      <c r="CB102" s="148"/>
      <c r="CC102" s="33"/>
      <c r="CD102" s="171"/>
      <c r="CE102" s="124" t="str">
        <f>IFERROR(__xludf.DUMMYFUNCTION("IF(CA102=MAX(FILTER(CA$10:CA$199,LOOKUP(ROW(BU$10:BU$199),FILTER(ROW(BU$10:BU$199),BU$10:BU$199&lt;&gt;BU$9:BU$198))=LOOKUP(ROW(BU102),FILTER(ROW(BU$10:BU$199),BU$10:BU$199&lt;&gt;BU$9:BU$198)))),CB102,)"),"")</f>
        <v/>
      </c>
      <c r="CF102" s="122"/>
      <c r="CG102" s="33"/>
      <c r="CH102" s="143" t="str">
        <f t="shared" si="21"/>
        <v/>
      </c>
      <c r="CI102" s="38" t="str">
        <f>IFERROR(__xludf.DUMMYFUNCTION("""COMPUTED_VALUE"""),"")</f>
        <v/>
      </c>
      <c r="CJ102" s="144">
        <v>46153.0</v>
      </c>
      <c r="CK102" s="167" t="str">
        <f t="shared" si="27"/>
        <v/>
      </c>
      <c r="CL102" s="168" t="str">
        <f t="shared" si="334"/>
        <v/>
      </c>
      <c r="CM102" s="169" t="str">
        <f t="shared" si="335"/>
        <v/>
      </c>
      <c r="CN102" s="172" t="str">
        <f t="shared" si="336"/>
        <v/>
      </c>
      <c r="CO102" s="171" t="str">
        <f t="array" ref="CO102">IFERROR(IF(CI102="ac"+ISNUMBER(SEARCH("'",CN102))+CM102="","", IF(ISNUMBER(SEARCH("lw",CN102)), CA102 + SUBSTITUTE(CN102,"lw+",""), MROUND(SWITCH(CI102,"sq",CM$7,"bn",CN$7,"dl",CO$7,"")*IF(CN102&gt;10, CN102/100, VLOOKUP(CN102, _rpe,SUBSTITUTE(CM102,"+","")+1,0)), IF( SWITCH(CI102,"sq",CM$7,"bn",CN$7,"dl", CO$7,"")&lt; IF(_uom="lbs", 175, 80), 1.25, IF(_uom="lbs",5,2.5))))), "")</f>
        <v/>
      </c>
      <c r="CP102" s="148"/>
      <c r="CQ102" s="33"/>
      <c r="CR102" s="171"/>
      <c r="CS102" s="124" t="str">
        <f>IFERROR(__xludf.DUMMYFUNCTION("IF(CO102=MAX(FILTER(CO$10:CO$199,LOOKUP(ROW(CI$10:CI$199),FILTER(ROW(CI$10:CI$199),CI$10:CI$199&lt;&gt;CI$9:CI$198))=LOOKUP(ROW(CI102),FILTER(ROW(CI$10:CI$199),CI$10:CI$199&lt;&gt;CI$9:CI$198)))),CP102,)"),"")</f>
        <v/>
      </c>
      <c r="CT102" s="122"/>
      <c r="CU102" s="33"/>
      <c r="CV102" s="143" t="str">
        <f t="shared" si="22"/>
        <v/>
      </c>
      <c r="CW102" s="38" t="str">
        <f>IFERROR(__xludf.DUMMYFUNCTION("""COMPUTED_VALUE"""),"")</f>
        <v/>
      </c>
      <c r="CX102" s="144">
        <v>46160.0</v>
      </c>
      <c r="CY102" s="167" t="str">
        <f t="shared" si="28"/>
        <v/>
      </c>
      <c r="CZ102" s="168" t="str">
        <f t="shared" si="337"/>
        <v/>
      </c>
      <c r="DA102" s="169" t="str">
        <f t="shared" si="338"/>
        <v/>
      </c>
      <c r="DB102" s="172" t="str">
        <f t="shared" si="339"/>
        <v/>
      </c>
      <c r="DC102" s="171" t="str">
        <f t="array" ref="DC102">IFERROR(IF(CW102="ac"+ISNUMBER(SEARCH("'",DB102))+DA102="","", IF(ISNUMBER(SEARCH("lw",DB102)), CO102 + SUBSTITUTE(DB102,"lw+",""), MROUND(SWITCH(CW102,"sq",DA$7,"bn",DB$7,"dl",DC$7,"")*IF(DB102&gt;10, DB102/100, VLOOKUP(DB102, _rpe,SUBSTITUTE(DA102,"+","")+1,0)), IF( SWITCH(CW102,"sq",DA$7,"bn",DB$7,"dl", DC$7,"")&lt; IF(_uom="lbs", 175, 80), 1.25, IF(_uom="lbs",5,2.5))))), "")</f>
        <v/>
      </c>
      <c r="DD102" s="148"/>
      <c r="DE102" s="33"/>
      <c r="DF102" s="171"/>
      <c r="DG102" s="124" t="str">
        <f>IFERROR(__xludf.DUMMYFUNCTION("IF(DC102=MAX(FILTER(DC$10:DC$199,LOOKUP(ROW(CW$10:CW$199),FILTER(ROW(CW$10:CW$199),CW$10:CW$199&lt;&gt;CW$9:CW$198))=LOOKUP(ROW(CW102),FILTER(ROW(CW$10:CW$199),CW$10:CW$199&lt;&gt;CW$9:CW$198)))),DD102,)"),"")</f>
        <v/>
      </c>
      <c r="DH102" s="122"/>
      <c r="DI102" s="33"/>
      <c r="DJ102" s="143" t="str">
        <f t="shared" si="23"/>
        <v/>
      </c>
      <c r="DK102" s="38" t="str">
        <f>IFERROR(__xludf.DUMMYFUNCTION("""COMPUTED_VALUE"""),"")</f>
        <v/>
      </c>
      <c r="DL102" s="144">
        <v>46167.0</v>
      </c>
      <c r="DM102" s="167" t="str">
        <f t="shared" ref="DM102:DN102" si="354">IF(ISBLANK(CY102),"",CY102)</f>
        <v/>
      </c>
      <c r="DN102" s="168" t="str">
        <f t="shared" si="354"/>
        <v/>
      </c>
      <c r="DO102" s="169" t="str">
        <f t="shared" si="341"/>
        <v/>
      </c>
      <c r="DP102" s="172" t="str">
        <f t="shared" si="342"/>
        <v/>
      </c>
      <c r="DQ102" s="171" t="str">
        <f t="array" ref="DQ102">IFERROR(IF(DK102="ac"+ISNUMBER(SEARCH("'",DP102))+DO102="","", IF(ISNUMBER(SEARCH("lw",DP102)), DC102 + SUBSTITUTE(DP102,"lw+",""), MROUND(SWITCH(DK102,"sq",DO$7,"bn",DP$7,"dl",DQ$7,"")*IF(DP102&gt;10, DP102/100, VLOOKUP(DP102, _rpe,SUBSTITUTE(DO102,"+","")+1,0)), IF( SWITCH(DK102,"sq",DO$7,"bn",DP$7,"dl", DQ$7,"")&lt; IF(_uom="lbs", 175, 80), 1.25, IF(_uom="lbs",5,2.5))))), "")</f>
        <v/>
      </c>
      <c r="DR102" s="148"/>
      <c r="DS102" s="33"/>
      <c r="DT102" s="171"/>
      <c r="DU102" s="124" t="str">
        <f>IFERROR(__xludf.DUMMYFUNCTION("IF(DQ102=MAX(FILTER(DQ$10:DQ$199,LOOKUP(ROW(DK$10:DK$199),FILTER(ROW(DK$10:DK$199),DK$10:DK$199&lt;&gt;DK$9:DK$198))=LOOKUP(ROW(DK102),FILTER(ROW(DK$10:DK$199),DK$10:DK$199&lt;&gt;DK$9:DK$198)))),DR102,)"),"")</f>
        <v/>
      </c>
      <c r="DV102" s="122"/>
      <c r="DW102" s="33"/>
      <c r="DX102" s="143"/>
      <c r="DY102" s="38"/>
      <c r="DZ102" s="144"/>
      <c r="EA102" s="150"/>
      <c r="EB102" s="174"/>
      <c r="EC102" s="175"/>
      <c r="ED102" s="176"/>
      <c r="EE102" s="155"/>
      <c r="EF102" s="148"/>
      <c r="EG102" s="33"/>
      <c r="EH102" s="155"/>
      <c r="EI102" s="148"/>
      <c r="EJ102" s="33"/>
      <c r="EK102" s="33"/>
      <c r="EL102" s="143"/>
      <c r="EM102" s="38"/>
      <c r="EN102" s="144"/>
      <c r="EO102" s="150"/>
      <c r="EP102" s="174"/>
      <c r="EQ102" s="175"/>
      <c r="ER102" s="176"/>
      <c r="ES102" s="155"/>
      <c r="ET102" s="148"/>
      <c r="EU102" s="33"/>
      <c r="EV102" s="155"/>
      <c r="EW102" s="148"/>
      <c r="EX102" s="33"/>
      <c r="EY102" s="33"/>
      <c r="EZ102" s="143"/>
      <c r="FA102" s="38"/>
      <c r="FB102" s="144"/>
      <c r="FC102" s="150"/>
      <c r="FD102" s="174"/>
      <c r="FE102" s="175"/>
      <c r="FF102" s="176"/>
      <c r="FG102" s="155"/>
      <c r="FH102" s="148"/>
      <c r="FI102" s="33"/>
      <c r="FJ102" s="155"/>
      <c r="FK102" s="148"/>
      <c r="FL102" s="33"/>
      <c r="FM102" s="33"/>
      <c r="FN102" s="143"/>
      <c r="FO102" s="38"/>
      <c r="FP102" s="144"/>
      <c r="FQ102" s="150"/>
      <c r="FR102" s="174"/>
      <c r="FS102" s="175"/>
      <c r="FT102" s="176"/>
      <c r="FU102" s="155"/>
      <c r="FV102" s="148"/>
      <c r="FW102" s="33"/>
      <c r="FX102" s="155"/>
      <c r="FY102" s="148"/>
      <c r="FZ102" s="33"/>
      <c r="GA102" s="33"/>
      <c r="GB102" s="143"/>
      <c r="GC102" s="38"/>
      <c r="GD102" s="144"/>
      <c r="GE102" s="150"/>
      <c r="GF102" s="174"/>
      <c r="GG102" s="175"/>
      <c r="GH102" s="176"/>
      <c r="GI102" s="155"/>
      <c r="GJ102" s="148"/>
      <c r="GK102" s="33"/>
      <c r="GL102" s="155"/>
      <c r="GM102" s="148"/>
      <c r="GN102" s="33"/>
      <c r="GO102" s="33"/>
      <c r="GP102" s="143"/>
      <c r="GQ102" s="38"/>
      <c r="GR102" s="144"/>
      <c r="GS102" s="150"/>
      <c r="GT102" s="174"/>
      <c r="GU102" s="175"/>
      <c r="GV102" s="176"/>
      <c r="GW102" s="155"/>
      <c r="GX102" s="148"/>
      <c r="GY102" s="33"/>
      <c r="GZ102" s="155"/>
      <c r="HA102" s="148"/>
      <c r="HB102" s="33"/>
      <c r="HC102" s="33"/>
      <c r="HD102" s="143"/>
      <c r="HE102" s="38"/>
      <c r="HF102" s="144"/>
      <c r="HG102" s="150"/>
      <c r="HH102" s="174"/>
      <c r="HI102" s="175"/>
      <c r="HJ102" s="176"/>
      <c r="HK102" s="155"/>
      <c r="HL102" s="148"/>
      <c r="HM102" s="33"/>
      <c r="HN102" s="155"/>
      <c r="HO102" s="148"/>
      <c r="HP102" s="33"/>
      <c r="HQ102" s="33"/>
      <c r="HR102" s="143"/>
      <c r="HS102" s="38"/>
      <c r="HT102" s="144"/>
      <c r="HU102" s="150"/>
      <c r="HV102" s="174"/>
      <c r="HW102" s="175"/>
      <c r="HX102" s="176"/>
      <c r="HY102" s="155"/>
      <c r="HZ102" s="148"/>
      <c r="IA102" s="33"/>
      <c r="IB102" s="155"/>
      <c r="IC102" s="148"/>
      <c r="ID102" s="33"/>
      <c r="IE102" s="33"/>
      <c r="IF102" s="143"/>
      <c r="IG102" s="38"/>
      <c r="IH102" s="144"/>
      <c r="II102" s="150"/>
      <c r="IJ102" s="174"/>
      <c r="IK102" s="175"/>
      <c r="IL102" s="176"/>
      <c r="IM102" s="155"/>
      <c r="IN102" s="148"/>
      <c r="IO102" s="33"/>
      <c r="IP102" s="155"/>
      <c r="IQ102" s="148"/>
      <c r="IR102" s="33"/>
      <c r="IS102" s="33"/>
      <c r="IT102" s="143"/>
      <c r="IU102" s="38"/>
      <c r="IV102" s="144"/>
      <c r="IW102" s="143"/>
      <c r="IX102" s="38"/>
      <c r="IY102" s="144" t="e">
        <v>#REF!</v>
      </c>
    </row>
    <row r="103">
      <c r="A103" s="33"/>
      <c r="B103" s="181"/>
      <c r="C103" s="38" t="str">
        <f>IFERROR(__xludf.DUMMYFUNCTION("""COMPUTED_VALUE"""),"")</f>
        <v/>
      </c>
      <c r="D103" s="144">
        <v>46111.0</v>
      </c>
      <c r="E103" s="182"/>
      <c r="F103" s="168"/>
      <c r="G103" s="169"/>
      <c r="H103" s="170"/>
      <c r="I103" s="171" t="str">
        <f t="array" ref="I103">IFERROR(IF(C103="ac"+ISNUMBER(SEARCH("'",H103))+G103="","", MROUND(SWITCH(C103,"sq",'Personal Info'!$O$15,"bn",'Personal Info'!$S$15,"dl",'Personal Info'!$W$15,"")*IF(H103&gt;10, H103/100, VLOOKUP(H103, _rpe,SUBSTITUTE(G103,"+","")+1,0)), IF( SWITCH(C103:C210,"sq",'Personal Info'!$O$15,"bn",'Personal Info'!$S$15,"dl", 'Personal Info'!$W$15,"")&lt; IF(_uom="lbs", 175, 80), 1.25, IF(_uom="lbs",5,2.5)))),"")</f>
        <v/>
      </c>
      <c r="J103" s="148"/>
      <c r="K103" s="33"/>
      <c r="L103" s="171"/>
      <c r="M103" s="124" t="str">
        <f>IFERROR(__xludf.DUMMYFUNCTION("IF(I103=MAX(FILTER(I$10:I$199,LOOKUP(ROW(C$10:C$199),FILTER(ROW(C$10:C$199),C$10:C$199&lt;&gt;C$9:C$198))=LOOKUP(ROW(C103),FILTER(ROW(C$10:C$199),C$10:C$199&lt;&gt;C$9:C$198)))),J103,)"),"")</f>
        <v/>
      </c>
      <c r="N103" s="122"/>
      <c r="O103" s="33"/>
      <c r="P103" s="143" t="str">
        <f t="shared" si="12"/>
        <v/>
      </c>
      <c r="Q103" s="38" t="str">
        <f>IFERROR(__xludf.DUMMYFUNCTION("""COMPUTED_VALUE"""),"")</f>
        <v/>
      </c>
      <c r="R103" s="144">
        <v>46118.0</v>
      </c>
      <c r="S103" s="167" t="str">
        <f t="shared" si="13"/>
        <v/>
      </c>
      <c r="T103" s="168" t="str">
        <f t="shared" si="319"/>
        <v/>
      </c>
      <c r="U103" s="169" t="str">
        <f t="shared" si="320"/>
        <v/>
      </c>
      <c r="V103" s="172" t="str">
        <f t="shared" si="321"/>
        <v/>
      </c>
      <c r="W103" s="171" t="str">
        <f t="array" ref="W103">IFERROR(IF(Q103="ac"+ISNUMBER(SEARCH("'",V103))+U103="","", IF(ISNUMBER(SEARCH("lw",V103)), I103 + SUBSTITUTE(V103,"lw+",""), MROUND(SWITCH(Q103,"sq",U$7,"bn",V$7,"dl",W$7,"")*IF(V103&gt;10, V103/100, VLOOKUP(V103, _rpe,SUBSTITUTE(U103,"+","")+1,0)), IF( SWITCH(Q103,"sq",U$7,"bn",V$7,"dl", W$7,"")&lt; IF(_uom="lbs", 175, 80), 1.25, IF(_uom="lbs",5,2.5))))), "")</f>
        <v/>
      </c>
      <c r="X103" s="148"/>
      <c r="Y103" s="33"/>
      <c r="Z103" s="171"/>
      <c r="AA103" s="124" t="str">
        <f>IFERROR(__xludf.DUMMYFUNCTION("IF(W103=MAX(FILTER(W$10:W$199,LOOKUP(ROW(Q$10:Q$199),FILTER(ROW(Q$10:Q$199),Q$10:Q$199&lt;&gt;Q$9:Q$198))=LOOKUP(ROW(Q103),FILTER(ROW(Q$10:Q$199),Q$10:Q$199&lt;&gt;Q$9:Q$198)))),X103,)"),"")</f>
        <v/>
      </c>
      <c r="AB103" s="122"/>
      <c r="AC103" s="33"/>
      <c r="AD103" s="143" t="str">
        <f t="shared" si="14"/>
        <v/>
      </c>
      <c r="AE103" s="38" t="str">
        <f>IFERROR(__xludf.DUMMYFUNCTION("""COMPUTED_VALUE"""),"")</f>
        <v/>
      </c>
      <c r="AF103" s="144">
        <v>46125.0</v>
      </c>
      <c r="AG103" s="167" t="str">
        <f t="shared" si="54"/>
        <v/>
      </c>
      <c r="AH103" s="168" t="str">
        <f t="shared" si="322"/>
        <v/>
      </c>
      <c r="AI103" s="169" t="str">
        <f t="shared" si="323"/>
        <v/>
      </c>
      <c r="AJ103" s="172" t="str">
        <f t="shared" si="324"/>
        <v/>
      </c>
      <c r="AK103" s="171" t="str">
        <f t="array" ref="AK103">IFERROR(IF(AE103="ac"+ISNUMBER(SEARCH("'",AJ103))+AI103="","", IF(ISNUMBER(SEARCH("lw",AJ103)), W103 + SUBSTITUTE(AJ103,"lw+",""), MROUND(SWITCH(AE103,"sq",AI$7,"bn",AJ$7,"dl",AK$7,"")*IF(AJ103&gt;10, AJ103/100, VLOOKUP(AJ103, _rpe,SUBSTITUTE(AI103,"+","")+1,0)), IF( SWITCH(AE103,"sq",AI$7,"bn",AJ$7,"dl", AK$7,"")&lt; IF(_uom="lbs", 175, 80), 1.25, IF(_uom="lbs",5,2.5))))), "")</f>
        <v/>
      </c>
      <c r="AL103" s="148"/>
      <c r="AM103" s="33"/>
      <c r="AN103" s="171"/>
      <c r="AO103" s="124" t="str">
        <f>IFERROR(__xludf.DUMMYFUNCTION("IF(AK103=MAX(FILTER(AK$10:AK$199,LOOKUP(ROW(AE$10:AE$199),FILTER(ROW(AE$10:AE$199),AE$10:AE$199&lt;&gt;AE$9:AE$198))=LOOKUP(ROW(AE103),FILTER(ROW(AE$10:AE$199),AE$10:AE$199&lt;&gt;AE$9:AE$198)))),AL103,)"),"")</f>
        <v/>
      </c>
      <c r="AP103" s="122"/>
      <c r="AQ103" s="33"/>
      <c r="AR103" s="143" t="str">
        <f t="shared" si="16"/>
        <v/>
      </c>
      <c r="AS103" s="38" t="str">
        <f>IFERROR(__xludf.DUMMYFUNCTION("""COMPUTED_VALUE"""),"")</f>
        <v/>
      </c>
      <c r="AT103" s="144">
        <v>46132.0</v>
      </c>
      <c r="AU103" s="167" t="str">
        <f t="shared" si="26"/>
        <v/>
      </c>
      <c r="AV103" s="168" t="str">
        <f t="shared" si="325"/>
        <v/>
      </c>
      <c r="AW103" s="169" t="str">
        <f t="shared" si="326"/>
        <v/>
      </c>
      <c r="AX103" s="172" t="str">
        <f t="shared" si="327"/>
        <v/>
      </c>
      <c r="AY103" s="171" t="str">
        <f t="array" ref="AY103">IFERROR(IF(AS103="ac"+ISNUMBER(SEARCH("'",AX103))+AW103="","", IF(ISNUMBER(SEARCH("lw",AX103)), AK103 + SUBSTITUTE(AX103,"lw+",""), MROUND(SWITCH(AS103,"sq",AW$7,"bn",AX$7,"dl",AY$7,"")*IF(AX103&gt;10, AX103/100, VLOOKUP(AX103, _rpe,SUBSTITUTE(AW103,"+","")+1,0)), IF( SWITCH(AS103,"sq",AW$7,"bn",AX$7,"dl", AY$7,"")&lt; IF(_uom="lbs", 175, 80), 1.25, IF(_uom="lbs",5,2.5))))), "")</f>
        <v/>
      </c>
      <c r="AZ103" s="148"/>
      <c r="BA103" s="33"/>
      <c r="BB103" s="171"/>
      <c r="BC103" s="124" t="str">
        <f>IFERROR(__xludf.DUMMYFUNCTION("IF(AY103=MAX(FILTER(AY$10:AY$199,LOOKUP(ROW(AS$10:AS$199),FILTER(ROW(AS$10:AS$199),AS$10:AS$199&lt;&gt;AS$9:AS$198))=LOOKUP(ROW(AS103),FILTER(ROW(AS$10:AS$199),AS$10:AS$199&lt;&gt;AS$9:AS$198)))),AZ103,)"),"")</f>
        <v/>
      </c>
      <c r="BD103" s="122"/>
      <c r="BE103" s="33"/>
      <c r="BF103" s="143" t="str">
        <f t="shared" si="17"/>
        <v/>
      </c>
      <c r="BG103" s="38" t="str">
        <f>IFERROR(__xludf.DUMMYFUNCTION("""COMPUTED_VALUE"""),"")</f>
        <v/>
      </c>
      <c r="BH103" s="144">
        <v>46139.0</v>
      </c>
      <c r="BI103" s="167" t="str">
        <f t="shared" si="18"/>
        <v/>
      </c>
      <c r="BJ103" s="168" t="str">
        <f t="shared" si="328"/>
        <v/>
      </c>
      <c r="BK103" s="169" t="str">
        <f t="shared" si="329"/>
        <v/>
      </c>
      <c r="BL103" s="172" t="str">
        <f t="shared" si="330"/>
        <v/>
      </c>
      <c r="BM103" s="171" t="str">
        <f t="array" ref="BM103">IFERROR(IF(BG103="ac"+ISNUMBER(SEARCH("'",BL103))+BK103="","", IF(ISNUMBER(SEARCH("lw",BL103)), AY103 + SUBSTITUTE(BL103,"lw+",""), MROUND(SWITCH(BG103,"sq",BK$7,"bn",BL$7,"dl",BM$7,"")*IF(BL103&gt;10, BL103/100, VLOOKUP(BL103, _rpe,SUBSTITUTE(BK103,"+","")+1,0)), IF( SWITCH(BG103,"sq",BK$7,"bn",BL$7,"dl", BM$7,"")&lt; IF(_uom="lbs", 175, 80), 1.25, IF(_uom="lbs",5,2.5))))), "")</f>
        <v/>
      </c>
      <c r="BN103" s="148"/>
      <c r="BO103" s="33"/>
      <c r="BP103" s="171"/>
      <c r="BQ103" s="124" t="str">
        <f>IFERROR(__xludf.DUMMYFUNCTION("IF(BM103=MAX(FILTER(BM$10:BM$199,LOOKUP(ROW(BG$10:BG$199),FILTER(ROW(BG$10:BG$199),BG$10:BG$199&lt;&gt;BG$9:BG$198))=LOOKUP(ROW(BG103),FILTER(ROW(BG$10:BG$199),BG$10:BG$199&lt;&gt;BG$9:BG$198)))),BN103,)"),"")</f>
        <v/>
      </c>
      <c r="BR103" s="122"/>
      <c r="BS103" s="33"/>
      <c r="BT103" s="143" t="str">
        <f t="shared" si="19"/>
        <v/>
      </c>
      <c r="BU103" s="38" t="str">
        <f>IFERROR(__xludf.DUMMYFUNCTION("""COMPUTED_VALUE"""),"")</f>
        <v/>
      </c>
      <c r="BV103" s="144">
        <v>46146.0</v>
      </c>
      <c r="BW103" s="167" t="str">
        <f t="shared" si="20"/>
        <v/>
      </c>
      <c r="BX103" s="168" t="str">
        <f t="shared" si="331"/>
        <v/>
      </c>
      <c r="BY103" s="169" t="str">
        <f t="shared" si="332"/>
        <v/>
      </c>
      <c r="BZ103" s="172" t="str">
        <f t="shared" si="333"/>
        <v/>
      </c>
      <c r="CA103" s="171" t="str">
        <f t="array" ref="CA103">IFERROR(IF(BU103="ac"+ISNUMBER(SEARCH("'",BZ103))+BY103="","", IF(ISNUMBER(SEARCH("lw",BZ103)), BM103 + SUBSTITUTE(BZ103,"lw+",""), MROUND(SWITCH(BU103,"sq",BY$7,"bn",BZ$7,"dl",CA$7,"")*IF(BZ103&gt;10, BZ103/100, VLOOKUP(BZ103, _rpe,SUBSTITUTE(BY103,"+","")+1,0)), IF( SWITCH(BU103,"sq",BY$7,"bn",BZ$7,"dl", CA$7,"")&lt; IF(_uom="lbs", 175, 80), 1.25, IF(_uom="lbs",5,2.5))))), "")</f>
        <v/>
      </c>
      <c r="CB103" s="148"/>
      <c r="CC103" s="33"/>
      <c r="CD103" s="171"/>
      <c r="CE103" s="124" t="str">
        <f>IFERROR(__xludf.DUMMYFUNCTION("IF(CA103=MAX(FILTER(CA$10:CA$199,LOOKUP(ROW(BU$10:BU$199),FILTER(ROW(BU$10:BU$199),BU$10:BU$199&lt;&gt;BU$9:BU$198))=LOOKUP(ROW(BU103),FILTER(ROW(BU$10:BU$199),BU$10:BU$199&lt;&gt;BU$9:BU$198)))),CB103,)"),"")</f>
        <v/>
      </c>
      <c r="CF103" s="122"/>
      <c r="CG103" s="33"/>
      <c r="CH103" s="143" t="str">
        <f t="shared" si="21"/>
        <v/>
      </c>
      <c r="CI103" s="38" t="str">
        <f>IFERROR(__xludf.DUMMYFUNCTION("""COMPUTED_VALUE"""),"")</f>
        <v/>
      </c>
      <c r="CJ103" s="144">
        <v>46153.0</v>
      </c>
      <c r="CK103" s="167" t="str">
        <f t="shared" si="27"/>
        <v/>
      </c>
      <c r="CL103" s="168" t="str">
        <f t="shared" si="334"/>
        <v/>
      </c>
      <c r="CM103" s="169" t="str">
        <f t="shared" si="335"/>
        <v/>
      </c>
      <c r="CN103" s="172" t="str">
        <f t="shared" si="336"/>
        <v/>
      </c>
      <c r="CO103" s="171" t="str">
        <f t="array" ref="CO103">IFERROR(IF(CI103="ac"+ISNUMBER(SEARCH("'",CN103))+CM103="","", IF(ISNUMBER(SEARCH("lw",CN103)), CA103 + SUBSTITUTE(CN103,"lw+",""), MROUND(SWITCH(CI103,"sq",CM$7,"bn",CN$7,"dl",CO$7,"")*IF(CN103&gt;10, CN103/100, VLOOKUP(CN103, _rpe,SUBSTITUTE(CM103,"+","")+1,0)), IF( SWITCH(CI103,"sq",CM$7,"bn",CN$7,"dl", CO$7,"")&lt; IF(_uom="lbs", 175, 80), 1.25, IF(_uom="lbs",5,2.5))))), "")</f>
        <v/>
      </c>
      <c r="CP103" s="148"/>
      <c r="CQ103" s="33"/>
      <c r="CR103" s="171"/>
      <c r="CS103" s="124" t="str">
        <f>IFERROR(__xludf.DUMMYFUNCTION("IF(CO103=MAX(FILTER(CO$10:CO$199,LOOKUP(ROW(CI$10:CI$199),FILTER(ROW(CI$10:CI$199),CI$10:CI$199&lt;&gt;CI$9:CI$198))=LOOKUP(ROW(CI103),FILTER(ROW(CI$10:CI$199),CI$10:CI$199&lt;&gt;CI$9:CI$198)))),CP103,)"),"")</f>
        <v/>
      </c>
      <c r="CT103" s="122"/>
      <c r="CU103" s="33"/>
      <c r="CV103" s="143" t="str">
        <f t="shared" si="22"/>
        <v/>
      </c>
      <c r="CW103" s="38" t="str">
        <f>IFERROR(__xludf.DUMMYFUNCTION("""COMPUTED_VALUE"""),"")</f>
        <v/>
      </c>
      <c r="CX103" s="144">
        <v>46160.0</v>
      </c>
      <c r="CY103" s="167" t="str">
        <f t="shared" si="28"/>
        <v/>
      </c>
      <c r="CZ103" s="168" t="str">
        <f t="shared" si="337"/>
        <v/>
      </c>
      <c r="DA103" s="169" t="str">
        <f t="shared" si="338"/>
        <v/>
      </c>
      <c r="DB103" s="172" t="str">
        <f t="shared" si="339"/>
        <v/>
      </c>
      <c r="DC103" s="171" t="str">
        <f t="array" ref="DC103">IFERROR(IF(CW103="ac"+ISNUMBER(SEARCH("'",DB103))+DA103="","", IF(ISNUMBER(SEARCH("lw",DB103)), CO103 + SUBSTITUTE(DB103,"lw+",""), MROUND(SWITCH(CW103,"sq",DA$7,"bn",DB$7,"dl",DC$7,"")*IF(DB103&gt;10, DB103/100, VLOOKUP(DB103, _rpe,SUBSTITUTE(DA103,"+","")+1,0)), IF( SWITCH(CW103,"sq",DA$7,"bn",DB$7,"dl", DC$7,"")&lt; IF(_uom="lbs", 175, 80), 1.25, IF(_uom="lbs",5,2.5))))), "")</f>
        <v/>
      </c>
      <c r="DD103" s="148"/>
      <c r="DE103" s="33"/>
      <c r="DF103" s="171"/>
      <c r="DG103" s="124" t="str">
        <f>IFERROR(__xludf.DUMMYFUNCTION("IF(DC103=MAX(FILTER(DC$10:DC$199,LOOKUP(ROW(CW$10:CW$199),FILTER(ROW(CW$10:CW$199),CW$10:CW$199&lt;&gt;CW$9:CW$198))=LOOKUP(ROW(CW103),FILTER(ROW(CW$10:CW$199),CW$10:CW$199&lt;&gt;CW$9:CW$198)))),DD103,)"),"")</f>
        <v/>
      </c>
      <c r="DH103" s="122"/>
      <c r="DI103" s="33"/>
      <c r="DJ103" s="143" t="str">
        <f t="shared" si="23"/>
        <v/>
      </c>
      <c r="DK103" s="38" t="str">
        <f>IFERROR(__xludf.DUMMYFUNCTION("""COMPUTED_VALUE"""),"")</f>
        <v/>
      </c>
      <c r="DL103" s="144">
        <v>46167.0</v>
      </c>
      <c r="DM103" s="167" t="str">
        <f t="shared" ref="DM103:DN103" si="355">IF(ISBLANK(CY103),"",CY103)</f>
        <v/>
      </c>
      <c r="DN103" s="168" t="str">
        <f t="shared" si="355"/>
        <v/>
      </c>
      <c r="DO103" s="169" t="str">
        <f t="shared" si="341"/>
        <v/>
      </c>
      <c r="DP103" s="172" t="str">
        <f t="shared" si="342"/>
        <v/>
      </c>
      <c r="DQ103" s="171" t="str">
        <f t="array" ref="DQ103">IFERROR(IF(DK103="ac"+ISNUMBER(SEARCH("'",DP103))+DO103="","", IF(ISNUMBER(SEARCH("lw",DP103)), DC103 + SUBSTITUTE(DP103,"lw+",""), MROUND(SWITCH(DK103,"sq",DO$7,"bn",DP$7,"dl",DQ$7,"")*IF(DP103&gt;10, DP103/100, VLOOKUP(DP103, _rpe,SUBSTITUTE(DO103,"+","")+1,0)), IF( SWITCH(DK103,"sq",DO$7,"bn",DP$7,"dl", DQ$7,"")&lt; IF(_uom="lbs", 175, 80), 1.25, IF(_uom="lbs",5,2.5))))), "")</f>
        <v/>
      </c>
      <c r="DR103" s="148"/>
      <c r="DS103" s="33"/>
      <c r="DT103" s="171"/>
      <c r="DU103" s="124" t="str">
        <f>IFERROR(__xludf.DUMMYFUNCTION("IF(DQ103=MAX(FILTER(DQ$10:DQ$199,LOOKUP(ROW(DK$10:DK$199),FILTER(ROW(DK$10:DK$199),DK$10:DK$199&lt;&gt;DK$9:DK$198))=LOOKUP(ROW(DK103),FILTER(ROW(DK$10:DK$199),DK$10:DK$199&lt;&gt;DK$9:DK$198)))),DR103,)"),"")</f>
        <v/>
      </c>
      <c r="DV103" s="122"/>
      <c r="DW103" s="33"/>
      <c r="DX103" s="143"/>
      <c r="DY103" s="38"/>
      <c r="DZ103" s="144"/>
      <c r="EA103" s="150"/>
      <c r="EB103" s="174"/>
      <c r="EC103" s="175"/>
      <c r="ED103" s="176"/>
      <c r="EE103" s="155"/>
      <c r="EF103" s="148"/>
      <c r="EG103" s="33"/>
      <c r="EH103" s="155"/>
      <c r="EI103" s="148"/>
      <c r="EJ103" s="33"/>
      <c r="EK103" s="33"/>
      <c r="EL103" s="143"/>
      <c r="EM103" s="38"/>
      <c r="EN103" s="144"/>
      <c r="EO103" s="150"/>
      <c r="EP103" s="174"/>
      <c r="EQ103" s="175"/>
      <c r="ER103" s="176"/>
      <c r="ES103" s="155"/>
      <c r="ET103" s="148"/>
      <c r="EU103" s="33"/>
      <c r="EV103" s="155"/>
      <c r="EW103" s="148"/>
      <c r="EX103" s="33"/>
      <c r="EY103" s="33"/>
      <c r="EZ103" s="143"/>
      <c r="FA103" s="38"/>
      <c r="FB103" s="144"/>
      <c r="FC103" s="150"/>
      <c r="FD103" s="174"/>
      <c r="FE103" s="175"/>
      <c r="FF103" s="176"/>
      <c r="FG103" s="155"/>
      <c r="FH103" s="148"/>
      <c r="FI103" s="33"/>
      <c r="FJ103" s="155"/>
      <c r="FK103" s="148"/>
      <c r="FL103" s="33"/>
      <c r="FM103" s="33"/>
      <c r="FN103" s="143"/>
      <c r="FO103" s="38"/>
      <c r="FP103" s="144"/>
      <c r="FQ103" s="150"/>
      <c r="FR103" s="174"/>
      <c r="FS103" s="175"/>
      <c r="FT103" s="176"/>
      <c r="FU103" s="155"/>
      <c r="FV103" s="148"/>
      <c r="FW103" s="33"/>
      <c r="FX103" s="155"/>
      <c r="FY103" s="148"/>
      <c r="FZ103" s="33"/>
      <c r="GA103" s="33"/>
      <c r="GB103" s="143"/>
      <c r="GC103" s="38"/>
      <c r="GD103" s="144"/>
      <c r="GE103" s="150"/>
      <c r="GF103" s="174"/>
      <c r="GG103" s="175"/>
      <c r="GH103" s="176"/>
      <c r="GI103" s="155"/>
      <c r="GJ103" s="148"/>
      <c r="GK103" s="33"/>
      <c r="GL103" s="155"/>
      <c r="GM103" s="148"/>
      <c r="GN103" s="33"/>
      <c r="GO103" s="33"/>
      <c r="GP103" s="143"/>
      <c r="GQ103" s="38"/>
      <c r="GR103" s="144"/>
      <c r="GS103" s="150"/>
      <c r="GT103" s="174"/>
      <c r="GU103" s="175"/>
      <c r="GV103" s="176"/>
      <c r="GW103" s="155"/>
      <c r="GX103" s="148"/>
      <c r="GY103" s="33"/>
      <c r="GZ103" s="155"/>
      <c r="HA103" s="148"/>
      <c r="HB103" s="33"/>
      <c r="HC103" s="33"/>
      <c r="HD103" s="143"/>
      <c r="HE103" s="38"/>
      <c r="HF103" s="144"/>
      <c r="HG103" s="150"/>
      <c r="HH103" s="174"/>
      <c r="HI103" s="175"/>
      <c r="HJ103" s="176"/>
      <c r="HK103" s="155"/>
      <c r="HL103" s="148"/>
      <c r="HM103" s="33"/>
      <c r="HN103" s="155"/>
      <c r="HO103" s="148"/>
      <c r="HP103" s="33"/>
      <c r="HQ103" s="33"/>
      <c r="HR103" s="143"/>
      <c r="HS103" s="38"/>
      <c r="HT103" s="144"/>
      <c r="HU103" s="150"/>
      <c r="HV103" s="174"/>
      <c r="HW103" s="175"/>
      <c r="HX103" s="176"/>
      <c r="HY103" s="155"/>
      <c r="HZ103" s="148"/>
      <c r="IA103" s="33"/>
      <c r="IB103" s="155"/>
      <c r="IC103" s="148"/>
      <c r="ID103" s="33"/>
      <c r="IE103" s="33"/>
      <c r="IF103" s="143"/>
      <c r="IG103" s="38"/>
      <c r="IH103" s="144"/>
      <c r="II103" s="150"/>
      <c r="IJ103" s="174"/>
      <c r="IK103" s="175"/>
      <c r="IL103" s="176"/>
      <c r="IM103" s="155"/>
      <c r="IN103" s="148"/>
      <c r="IO103" s="33"/>
      <c r="IP103" s="155"/>
      <c r="IQ103" s="148"/>
      <c r="IR103" s="33"/>
      <c r="IS103" s="33"/>
      <c r="IT103" s="143"/>
      <c r="IU103" s="38"/>
      <c r="IV103" s="144"/>
      <c r="IW103" s="143"/>
      <c r="IX103" s="38"/>
      <c r="IY103" s="144" t="e">
        <v>#REF!</v>
      </c>
    </row>
    <row r="104">
      <c r="A104" s="33"/>
      <c r="B104" s="181"/>
      <c r="C104" s="38" t="str">
        <f>IFERROR(__xludf.DUMMYFUNCTION("""COMPUTED_VALUE"""),"")</f>
        <v/>
      </c>
      <c r="D104" s="144">
        <v>46111.0</v>
      </c>
      <c r="E104" s="182"/>
      <c r="F104" s="168"/>
      <c r="G104" s="169"/>
      <c r="H104" s="170"/>
      <c r="I104" s="171" t="str">
        <f t="array" ref="I104">IFERROR(IF(C104="ac"+ISNUMBER(SEARCH("'",H104))+G104="","", MROUND(SWITCH(C104,"sq",'Personal Info'!$O$15,"bn",'Personal Info'!$S$15,"dl",'Personal Info'!$W$15,"")*IF(H104&gt;10, H104/100, VLOOKUP(H104, _rpe,SUBSTITUTE(G104,"+","")+1,0)), IF( SWITCH(C104:C210,"sq",'Personal Info'!$O$15,"bn",'Personal Info'!$S$15,"dl", 'Personal Info'!$W$15,"")&lt; IF(_uom="lbs", 175, 80), 1.25, IF(_uom="lbs",5,2.5)))),"")</f>
        <v/>
      </c>
      <c r="J104" s="148"/>
      <c r="K104" s="33"/>
      <c r="L104" s="171"/>
      <c r="M104" s="124" t="str">
        <f>IFERROR(__xludf.DUMMYFUNCTION("IF(I104=MAX(FILTER(I$10:I$199,LOOKUP(ROW(C$10:C$199),FILTER(ROW(C$10:C$199),C$10:C$199&lt;&gt;C$9:C$198))=LOOKUP(ROW(C104),FILTER(ROW(C$10:C$199),C$10:C$199&lt;&gt;C$9:C$198)))),J104,)"),"")</f>
        <v/>
      </c>
      <c r="N104" s="122"/>
      <c r="O104" s="33"/>
      <c r="P104" s="143" t="str">
        <f t="shared" si="12"/>
        <v/>
      </c>
      <c r="Q104" s="38" t="str">
        <f>IFERROR(__xludf.DUMMYFUNCTION("""COMPUTED_VALUE"""),"")</f>
        <v/>
      </c>
      <c r="R104" s="144">
        <v>46118.0</v>
      </c>
      <c r="S104" s="167" t="str">
        <f t="shared" si="13"/>
        <v/>
      </c>
      <c r="T104" s="168" t="str">
        <f t="shared" si="319"/>
        <v/>
      </c>
      <c r="U104" s="169" t="str">
        <f t="shared" si="320"/>
        <v/>
      </c>
      <c r="V104" s="172" t="str">
        <f t="shared" si="321"/>
        <v/>
      </c>
      <c r="W104" s="171" t="str">
        <f t="array" ref="W104">IFERROR(IF(Q104="ac"+ISNUMBER(SEARCH("'",V104))+U104="","", IF(ISNUMBER(SEARCH("lw",V104)), I104 + SUBSTITUTE(V104,"lw+",""), MROUND(SWITCH(Q104,"sq",U$7,"bn",V$7,"dl",W$7,"")*IF(V104&gt;10, V104/100, VLOOKUP(V104, _rpe,SUBSTITUTE(U104,"+","")+1,0)), IF( SWITCH(Q104,"sq",U$7,"bn",V$7,"dl", W$7,"")&lt; IF(_uom="lbs", 175, 80), 1.25, IF(_uom="lbs",5,2.5))))), "")</f>
        <v/>
      </c>
      <c r="X104" s="148"/>
      <c r="Y104" s="33"/>
      <c r="Z104" s="171"/>
      <c r="AA104" s="124" t="str">
        <f>IFERROR(__xludf.DUMMYFUNCTION("IF(W104=MAX(FILTER(W$10:W$199,LOOKUP(ROW(Q$10:Q$199),FILTER(ROW(Q$10:Q$199),Q$10:Q$199&lt;&gt;Q$9:Q$198))=LOOKUP(ROW(Q104),FILTER(ROW(Q$10:Q$199),Q$10:Q$199&lt;&gt;Q$9:Q$198)))),X104,)"),"")</f>
        <v/>
      </c>
      <c r="AB104" s="122"/>
      <c r="AC104" s="33"/>
      <c r="AD104" s="143" t="str">
        <f t="shared" si="14"/>
        <v/>
      </c>
      <c r="AE104" s="38" t="str">
        <f>IFERROR(__xludf.DUMMYFUNCTION("""COMPUTED_VALUE"""),"")</f>
        <v/>
      </c>
      <c r="AF104" s="144">
        <v>46125.0</v>
      </c>
      <c r="AG104" s="167" t="str">
        <f t="shared" si="54"/>
        <v/>
      </c>
      <c r="AH104" s="168" t="str">
        <f t="shared" si="322"/>
        <v/>
      </c>
      <c r="AI104" s="169" t="str">
        <f t="shared" si="323"/>
        <v/>
      </c>
      <c r="AJ104" s="172" t="str">
        <f t="shared" si="324"/>
        <v/>
      </c>
      <c r="AK104" s="171" t="str">
        <f t="array" ref="AK104">IFERROR(IF(AE104="ac"+ISNUMBER(SEARCH("'",AJ104))+AI104="","", IF(ISNUMBER(SEARCH("lw",AJ104)), W104 + SUBSTITUTE(AJ104,"lw+",""), MROUND(SWITCH(AE104,"sq",AI$7,"bn",AJ$7,"dl",AK$7,"")*IF(AJ104&gt;10, AJ104/100, VLOOKUP(AJ104, _rpe,SUBSTITUTE(AI104,"+","")+1,0)), IF( SWITCH(AE104,"sq",AI$7,"bn",AJ$7,"dl", AK$7,"")&lt; IF(_uom="lbs", 175, 80), 1.25, IF(_uom="lbs",5,2.5))))), "")</f>
        <v/>
      </c>
      <c r="AL104" s="148"/>
      <c r="AM104" s="33"/>
      <c r="AN104" s="171"/>
      <c r="AO104" s="124" t="str">
        <f>IFERROR(__xludf.DUMMYFUNCTION("IF(AK104=MAX(FILTER(AK$10:AK$199,LOOKUP(ROW(AE$10:AE$199),FILTER(ROW(AE$10:AE$199),AE$10:AE$199&lt;&gt;AE$9:AE$198))=LOOKUP(ROW(AE104),FILTER(ROW(AE$10:AE$199),AE$10:AE$199&lt;&gt;AE$9:AE$198)))),AL104,)"),"")</f>
        <v/>
      </c>
      <c r="AP104" s="122"/>
      <c r="AQ104" s="33"/>
      <c r="AR104" s="143" t="str">
        <f t="shared" si="16"/>
        <v/>
      </c>
      <c r="AS104" s="38" t="str">
        <f>IFERROR(__xludf.DUMMYFUNCTION("""COMPUTED_VALUE"""),"")</f>
        <v/>
      </c>
      <c r="AT104" s="144">
        <v>46132.0</v>
      </c>
      <c r="AU104" s="167" t="str">
        <f t="shared" si="26"/>
        <v/>
      </c>
      <c r="AV104" s="168" t="str">
        <f t="shared" si="325"/>
        <v/>
      </c>
      <c r="AW104" s="169" t="str">
        <f t="shared" si="326"/>
        <v/>
      </c>
      <c r="AX104" s="172" t="str">
        <f t="shared" si="327"/>
        <v/>
      </c>
      <c r="AY104" s="171" t="str">
        <f t="array" ref="AY104">IFERROR(IF(AS104="ac"+ISNUMBER(SEARCH("'",AX104))+AW104="","", IF(ISNUMBER(SEARCH("lw",AX104)), AK104 + SUBSTITUTE(AX104,"lw+",""), MROUND(SWITCH(AS104,"sq",AW$7,"bn",AX$7,"dl",AY$7,"")*IF(AX104&gt;10, AX104/100, VLOOKUP(AX104, _rpe,SUBSTITUTE(AW104,"+","")+1,0)), IF( SWITCH(AS104,"sq",AW$7,"bn",AX$7,"dl", AY$7,"")&lt; IF(_uom="lbs", 175, 80), 1.25, IF(_uom="lbs",5,2.5))))), "")</f>
        <v/>
      </c>
      <c r="AZ104" s="148"/>
      <c r="BA104" s="33"/>
      <c r="BB104" s="171"/>
      <c r="BC104" s="124" t="str">
        <f>IFERROR(__xludf.DUMMYFUNCTION("IF(AY104=MAX(FILTER(AY$10:AY$199,LOOKUP(ROW(AS$10:AS$199),FILTER(ROW(AS$10:AS$199),AS$10:AS$199&lt;&gt;AS$9:AS$198))=LOOKUP(ROW(AS104),FILTER(ROW(AS$10:AS$199),AS$10:AS$199&lt;&gt;AS$9:AS$198)))),AZ104,)"),"")</f>
        <v/>
      </c>
      <c r="BD104" s="122"/>
      <c r="BE104" s="33"/>
      <c r="BF104" s="143" t="str">
        <f t="shared" si="17"/>
        <v/>
      </c>
      <c r="BG104" s="38" t="str">
        <f>IFERROR(__xludf.DUMMYFUNCTION("""COMPUTED_VALUE"""),"")</f>
        <v/>
      </c>
      <c r="BH104" s="144">
        <v>46139.0</v>
      </c>
      <c r="BI104" s="167" t="str">
        <f t="shared" si="18"/>
        <v/>
      </c>
      <c r="BJ104" s="168" t="str">
        <f t="shared" si="328"/>
        <v/>
      </c>
      <c r="BK104" s="169" t="str">
        <f t="shared" si="329"/>
        <v/>
      </c>
      <c r="BL104" s="172" t="str">
        <f t="shared" si="330"/>
        <v/>
      </c>
      <c r="BM104" s="171" t="str">
        <f t="array" ref="BM104">IFERROR(IF(BG104="ac"+ISNUMBER(SEARCH("'",BL104))+BK104="","", IF(ISNUMBER(SEARCH("lw",BL104)), AY104 + SUBSTITUTE(BL104,"lw+",""), MROUND(SWITCH(BG104,"sq",BK$7,"bn",BL$7,"dl",BM$7,"")*IF(BL104&gt;10, BL104/100, VLOOKUP(BL104, _rpe,SUBSTITUTE(BK104,"+","")+1,0)), IF( SWITCH(BG104,"sq",BK$7,"bn",BL$7,"dl", BM$7,"")&lt; IF(_uom="lbs", 175, 80), 1.25, IF(_uom="lbs",5,2.5))))), "")</f>
        <v/>
      </c>
      <c r="BN104" s="148"/>
      <c r="BO104" s="33"/>
      <c r="BP104" s="171"/>
      <c r="BQ104" s="124" t="str">
        <f>IFERROR(__xludf.DUMMYFUNCTION("IF(BM104=MAX(FILTER(BM$10:BM$199,LOOKUP(ROW(BG$10:BG$199),FILTER(ROW(BG$10:BG$199),BG$10:BG$199&lt;&gt;BG$9:BG$198))=LOOKUP(ROW(BG104),FILTER(ROW(BG$10:BG$199),BG$10:BG$199&lt;&gt;BG$9:BG$198)))),BN104,)"),"")</f>
        <v/>
      </c>
      <c r="BR104" s="122"/>
      <c r="BS104" s="33"/>
      <c r="BT104" s="143" t="str">
        <f t="shared" si="19"/>
        <v/>
      </c>
      <c r="BU104" s="38" t="str">
        <f>IFERROR(__xludf.DUMMYFUNCTION("""COMPUTED_VALUE"""),"")</f>
        <v/>
      </c>
      <c r="BV104" s="144">
        <v>46146.0</v>
      </c>
      <c r="BW104" s="167" t="str">
        <f t="shared" si="20"/>
        <v/>
      </c>
      <c r="BX104" s="168" t="str">
        <f t="shared" si="331"/>
        <v/>
      </c>
      <c r="BY104" s="169" t="str">
        <f t="shared" si="332"/>
        <v/>
      </c>
      <c r="BZ104" s="172" t="str">
        <f t="shared" si="333"/>
        <v/>
      </c>
      <c r="CA104" s="171" t="str">
        <f t="array" ref="CA104">IFERROR(IF(BU104="ac"+ISNUMBER(SEARCH("'",BZ104))+BY104="","", IF(ISNUMBER(SEARCH("lw",BZ104)), BM104 + SUBSTITUTE(BZ104,"lw+",""), MROUND(SWITCH(BU104,"sq",BY$7,"bn",BZ$7,"dl",CA$7,"")*IF(BZ104&gt;10, BZ104/100, VLOOKUP(BZ104, _rpe,SUBSTITUTE(BY104,"+","")+1,0)), IF( SWITCH(BU104,"sq",BY$7,"bn",BZ$7,"dl", CA$7,"")&lt; IF(_uom="lbs", 175, 80), 1.25, IF(_uom="lbs",5,2.5))))), "")</f>
        <v/>
      </c>
      <c r="CB104" s="148"/>
      <c r="CC104" s="33"/>
      <c r="CD104" s="171"/>
      <c r="CE104" s="124" t="str">
        <f>IFERROR(__xludf.DUMMYFUNCTION("IF(CA104=MAX(FILTER(CA$10:CA$199,LOOKUP(ROW(BU$10:BU$199),FILTER(ROW(BU$10:BU$199),BU$10:BU$199&lt;&gt;BU$9:BU$198))=LOOKUP(ROW(BU104),FILTER(ROW(BU$10:BU$199),BU$10:BU$199&lt;&gt;BU$9:BU$198)))),CB104,)"),"")</f>
        <v/>
      </c>
      <c r="CF104" s="122"/>
      <c r="CG104" s="33"/>
      <c r="CH104" s="143" t="str">
        <f t="shared" si="21"/>
        <v/>
      </c>
      <c r="CI104" s="38" t="str">
        <f>IFERROR(__xludf.DUMMYFUNCTION("""COMPUTED_VALUE"""),"")</f>
        <v/>
      </c>
      <c r="CJ104" s="144">
        <v>46153.0</v>
      </c>
      <c r="CK104" s="167" t="str">
        <f t="shared" si="27"/>
        <v/>
      </c>
      <c r="CL104" s="168" t="str">
        <f t="shared" si="334"/>
        <v/>
      </c>
      <c r="CM104" s="169" t="str">
        <f t="shared" si="335"/>
        <v/>
      </c>
      <c r="CN104" s="172" t="str">
        <f t="shared" si="336"/>
        <v/>
      </c>
      <c r="CO104" s="171" t="str">
        <f t="array" ref="CO104">IFERROR(IF(CI104="ac"+ISNUMBER(SEARCH("'",CN104))+CM104="","", IF(ISNUMBER(SEARCH("lw",CN104)), CA104 + SUBSTITUTE(CN104,"lw+",""), MROUND(SWITCH(CI104,"sq",CM$7,"bn",CN$7,"dl",CO$7,"")*IF(CN104&gt;10, CN104/100, VLOOKUP(CN104, _rpe,SUBSTITUTE(CM104,"+","")+1,0)), IF( SWITCH(CI104,"sq",CM$7,"bn",CN$7,"dl", CO$7,"")&lt; IF(_uom="lbs", 175, 80), 1.25, IF(_uom="lbs",5,2.5))))), "")</f>
        <v/>
      </c>
      <c r="CP104" s="148"/>
      <c r="CQ104" s="33"/>
      <c r="CR104" s="171"/>
      <c r="CS104" s="124" t="str">
        <f>IFERROR(__xludf.DUMMYFUNCTION("IF(CO104=MAX(FILTER(CO$10:CO$199,LOOKUP(ROW(CI$10:CI$199),FILTER(ROW(CI$10:CI$199),CI$10:CI$199&lt;&gt;CI$9:CI$198))=LOOKUP(ROW(CI104),FILTER(ROW(CI$10:CI$199),CI$10:CI$199&lt;&gt;CI$9:CI$198)))),CP104,)"),"")</f>
        <v/>
      </c>
      <c r="CT104" s="122"/>
      <c r="CU104" s="33"/>
      <c r="CV104" s="143" t="str">
        <f t="shared" si="22"/>
        <v/>
      </c>
      <c r="CW104" s="38" t="str">
        <f>IFERROR(__xludf.DUMMYFUNCTION("""COMPUTED_VALUE"""),"")</f>
        <v/>
      </c>
      <c r="CX104" s="144">
        <v>46160.0</v>
      </c>
      <c r="CY104" s="167" t="str">
        <f t="shared" si="28"/>
        <v/>
      </c>
      <c r="CZ104" s="168" t="str">
        <f t="shared" si="337"/>
        <v/>
      </c>
      <c r="DA104" s="169" t="str">
        <f t="shared" si="338"/>
        <v/>
      </c>
      <c r="DB104" s="172" t="str">
        <f t="shared" si="339"/>
        <v/>
      </c>
      <c r="DC104" s="171" t="str">
        <f t="array" ref="DC104">IFERROR(IF(CW104="ac"+ISNUMBER(SEARCH("'",DB104))+DA104="","", IF(ISNUMBER(SEARCH("lw",DB104)), CO104 + SUBSTITUTE(DB104,"lw+",""), MROUND(SWITCH(CW104,"sq",DA$7,"bn",DB$7,"dl",DC$7,"")*IF(DB104&gt;10, DB104/100, VLOOKUP(DB104, _rpe,SUBSTITUTE(DA104,"+","")+1,0)), IF( SWITCH(CW104,"sq",DA$7,"bn",DB$7,"dl", DC$7,"")&lt; IF(_uom="lbs", 175, 80), 1.25, IF(_uom="lbs",5,2.5))))), "")</f>
        <v/>
      </c>
      <c r="DD104" s="148"/>
      <c r="DE104" s="33"/>
      <c r="DF104" s="171"/>
      <c r="DG104" s="124" t="str">
        <f>IFERROR(__xludf.DUMMYFUNCTION("IF(DC104=MAX(FILTER(DC$10:DC$199,LOOKUP(ROW(CW$10:CW$199),FILTER(ROW(CW$10:CW$199),CW$10:CW$199&lt;&gt;CW$9:CW$198))=LOOKUP(ROW(CW104),FILTER(ROW(CW$10:CW$199),CW$10:CW$199&lt;&gt;CW$9:CW$198)))),DD104,)"),"")</f>
        <v/>
      </c>
      <c r="DH104" s="122"/>
      <c r="DI104" s="33"/>
      <c r="DJ104" s="143" t="str">
        <f t="shared" si="23"/>
        <v/>
      </c>
      <c r="DK104" s="38" t="str">
        <f>IFERROR(__xludf.DUMMYFUNCTION("""COMPUTED_VALUE"""),"")</f>
        <v/>
      </c>
      <c r="DL104" s="144">
        <v>46167.0</v>
      </c>
      <c r="DM104" s="167" t="str">
        <f t="shared" ref="DM104:DN104" si="356">IF(ISBLANK(CY104),"",CY104)</f>
        <v/>
      </c>
      <c r="DN104" s="168" t="str">
        <f t="shared" si="356"/>
        <v/>
      </c>
      <c r="DO104" s="169" t="str">
        <f t="shared" si="341"/>
        <v/>
      </c>
      <c r="DP104" s="172" t="str">
        <f t="shared" si="342"/>
        <v/>
      </c>
      <c r="DQ104" s="171" t="str">
        <f t="array" ref="DQ104">IFERROR(IF(DK104="ac"+ISNUMBER(SEARCH("'",DP104))+DO104="","", IF(ISNUMBER(SEARCH("lw",DP104)), DC104 + SUBSTITUTE(DP104,"lw+",""), MROUND(SWITCH(DK104,"sq",DO$7,"bn",DP$7,"dl",DQ$7,"")*IF(DP104&gt;10, DP104/100, VLOOKUP(DP104, _rpe,SUBSTITUTE(DO104,"+","")+1,0)), IF( SWITCH(DK104,"sq",DO$7,"bn",DP$7,"dl", DQ$7,"")&lt; IF(_uom="lbs", 175, 80), 1.25, IF(_uom="lbs",5,2.5))))), "")</f>
        <v/>
      </c>
      <c r="DR104" s="148"/>
      <c r="DS104" s="33"/>
      <c r="DT104" s="171"/>
      <c r="DU104" s="124" t="str">
        <f>IFERROR(__xludf.DUMMYFUNCTION("IF(DQ104=MAX(FILTER(DQ$10:DQ$199,LOOKUP(ROW(DK$10:DK$199),FILTER(ROW(DK$10:DK$199),DK$10:DK$199&lt;&gt;DK$9:DK$198))=LOOKUP(ROW(DK104),FILTER(ROW(DK$10:DK$199),DK$10:DK$199&lt;&gt;DK$9:DK$198)))),DR104,)"),"")</f>
        <v/>
      </c>
      <c r="DV104" s="122"/>
      <c r="DW104" s="33"/>
      <c r="DX104" s="143"/>
      <c r="DY104" s="38"/>
      <c r="DZ104" s="144"/>
      <c r="EA104" s="150"/>
      <c r="EB104" s="174"/>
      <c r="EC104" s="175"/>
      <c r="ED104" s="176"/>
      <c r="EE104" s="155"/>
      <c r="EF104" s="148"/>
      <c r="EG104" s="33"/>
      <c r="EH104" s="155"/>
      <c r="EI104" s="148"/>
      <c r="EJ104" s="33"/>
      <c r="EK104" s="33"/>
      <c r="EL104" s="143"/>
      <c r="EM104" s="38"/>
      <c r="EN104" s="144"/>
      <c r="EO104" s="150"/>
      <c r="EP104" s="174"/>
      <c r="EQ104" s="175"/>
      <c r="ER104" s="176"/>
      <c r="ES104" s="155"/>
      <c r="ET104" s="148"/>
      <c r="EU104" s="33"/>
      <c r="EV104" s="155"/>
      <c r="EW104" s="148"/>
      <c r="EX104" s="33"/>
      <c r="EY104" s="33"/>
      <c r="EZ104" s="143"/>
      <c r="FA104" s="38"/>
      <c r="FB104" s="144"/>
      <c r="FC104" s="150"/>
      <c r="FD104" s="174"/>
      <c r="FE104" s="175"/>
      <c r="FF104" s="176"/>
      <c r="FG104" s="155"/>
      <c r="FH104" s="148"/>
      <c r="FI104" s="33"/>
      <c r="FJ104" s="155"/>
      <c r="FK104" s="148"/>
      <c r="FL104" s="33"/>
      <c r="FM104" s="33"/>
      <c r="FN104" s="143"/>
      <c r="FO104" s="38"/>
      <c r="FP104" s="144"/>
      <c r="FQ104" s="150"/>
      <c r="FR104" s="174"/>
      <c r="FS104" s="175"/>
      <c r="FT104" s="176"/>
      <c r="FU104" s="155"/>
      <c r="FV104" s="148"/>
      <c r="FW104" s="33"/>
      <c r="FX104" s="155"/>
      <c r="FY104" s="148"/>
      <c r="FZ104" s="33"/>
      <c r="GA104" s="33"/>
      <c r="GB104" s="143"/>
      <c r="GC104" s="38"/>
      <c r="GD104" s="144"/>
      <c r="GE104" s="150"/>
      <c r="GF104" s="174"/>
      <c r="GG104" s="175"/>
      <c r="GH104" s="176"/>
      <c r="GI104" s="155"/>
      <c r="GJ104" s="148"/>
      <c r="GK104" s="33"/>
      <c r="GL104" s="155"/>
      <c r="GM104" s="148"/>
      <c r="GN104" s="33"/>
      <c r="GO104" s="33"/>
      <c r="GP104" s="143"/>
      <c r="GQ104" s="38"/>
      <c r="GR104" s="144"/>
      <c r="GS104" s="150"/>
      <c r="GT104" s="174"/>
      <c r="GU104" s="175"/>
      <c r="GV104" s="176"/>
      <c r="GW104" s="155"/>
      <c r="GX104" s="148"/>
      <c r="GY104" s="33"/>
      <c r="GZ104" s="155"/>
      <c r="HA104" s="148"/>
      <c r="HB104" s="33"/>
      <c r="HC104" s="33"/>
      <c r="HD104" s="143"/>
      <c r="HE104" s="38"/>
      <c r="HF104" s="144"/>
      <c r="HG104" s="150"/>
      <c r="HH104" s="174"/>
      <c r="HI104" s="175"/>
      <c r="HJ104" s="176"/>
      <c r="HK104" s="155"/>
      <c r="HL104" s="148"/>
      <c r="HM104" s="33"/>
      <c r="HN104" s="155"/>
      <c r="HO104" s="148"/>
      <c r="HP104" s="33"/>
      <c r="HQ104" s="33"/>
      <c r="HR104" s="143"/>
      <c r="HS104" s="38"/>
      <c r="HT104" s="144"/>
      <c r="HU104" s="150"/>
      <c r="HV104" s="174"/>
      <c r="HW104" s="175"/>
      <c r="HX104" s="176"/>
      <c r="HY104" s="155"/>
      <c r="HZ104" s="148"/>
      <c r="IA104" s="33"/>
      <c r="IB104" s="155"/>
      <c r="IC104" s="148"/>
      <c r="ID104" s="33"/>
      <c r="IE104" s="33"/>
      <c r="IF104" s="143"/>
      <c r="IG104" s="38"/>
      <c r="IH104" s="144"/>
      <c r="II104" s="150"/>
      <c r="IJ104" s="174"/>
      <c r="IK104" s="175"/>
      <c r="IL104" s="176"/>
      <c r="IM104" s="155"/>
      <c r="IN104" s="148"/>
      <c r="IO104" s="33"/>
      <c r="IP104" s="155"/>
      <c r="IQ104" s="148"/>
      <c r="IR104" s="33"/>
      <c r="IS104" s="33"/>
      <c r="IT104" s="143"/>
      <c r="IU104" s="38"/>
      <c r="IV104" s="144"/>
      <c r="IW104" s="143"/>
      <c r="IX104" s="38"/>
      <c r="IY104" s="144" t="e">
        <v>#REF!</v>
      </c>
    </row>
    <row r="105">
      <c r="A105" s="33"/>
      <c r="B105" s="181"/>
      <c r="C105" s="38" t="str">
        <f>IFERROR(__xludf.DUMMYFUNCTION("""COMPUTED_VALUE"""),"")</f>
        <v/>
      </c>
      <c r="D105" s="144">
        <v>46111.0</v>
      </c>
      <c r="E105" s="182"/>
      <c r="F105" s="168"/>
      <c r="G105" s="169"/>
      <c r="H105" s="170"/>
      <c r="I105" s="171" t="str">
        <f t="array" ref="I105">IFERROR(IF(C105="ac"+ISNUMBER(SEARCH("'",H105))+G105="","", MROUND(SWITCH(C105,"sq",'Personal Info'!$O$15,"bn",'Personal Info'!$S$15,"dl",'Personal Info'!$W$15,"")*IF(H105&gt;10, H105/100, VLOOKUP(H105, _rpe,SUBSTITUTE(G105,"+","")+1,0)), IF( SWITCH(C105:C210,"sq",'Personal Info'!$O$15,"bn",'Personal Info'!$S$15,"dl", 'Personal Info'!$W$15,"")&lt; IF(_uom="lbs", 175, 80), 1.25, IF(_uom="lbs",5,2.5)))),"")</f>
        <v/>
      </c>
      <c r="J105" s="148"/>
      <c r="K105" s="33"/>
      <c r="L105" s="171"/>
      <c r="M105" s="124" t="str">
        <f>IFERROR(__xludf.DUMMYFUNCTION("IF(I105=MAX(FILTER(I$10:I$199,LOOKUP(ROW(C$10:C$199),FILTER(ROW(C$10:C$199),C$10:C$199&lt;&gt;C$9:C$198))=LOOKUP(ROW(C105),FILTER(ROW(C$10:C$199),C$10:C$199&lt;&gt;C$9:C$198)))),J105,)"),"")</f>
        <v/>
      </c>
      <c r="N105" s="122"/>
      <c r="O105" s="33"/>
      <c r="P105" s="143" t="str">
        <f t="shared" si="12"/>
        <v/>
      </c>
      <c r="Q105" s="38" t="str">
        <f>IFERROR(__xludf.DUMMYFUNCTION("""COMPUTED_VALUE"""),"")</f>
        <v/>
      </c>
      <c r="R105" s="144">
        <v>46118.0</v>
      </c>
      <c r="S105" s="167" t="str">
        <f t="shared" si="13"/>
        <v/>
      </c>
      <c r="T105" s="168" t="str">
        <f t="shared" si="319"/>
        <v/>
      </c>
      <c r="U105" s="169" t="str">
        <f t="shared" si="320"/>
        <v/>
      </c>
      <c r="V105" s="172" t="str">
        <f t="shared" si="321"/>
        <v/>
      </c>
      <c r="W105" s="171" t="str">
        <f t="array" ref="W105">IFERROR(IF(Q105="ac"+ISNUMBER(SEARCH("'",V105))+U105="","", IF(ISNUMBER(SEARCH("lw",V105)), I105 + SUBSTITUTE(V105,"lw+",""), MROUND(SWITCH(Q105,"sq",U$7,"bn",V$7,"dl",W$7,"")*IF(V105&gt;10, V105/100, VLOOKUP(V105, _rpe,SUBSTITUTE(U105,"+","")+1,0)), IF( SWITCH(Q105,"sq",U$7,"bn",V$7,"dl", W$7,"")&lt; IF(_uom="lbs", 175, 80), 1.25, IF(_uom="lbs",5,2.5))))), "")</f>
        <v/>
      </c>
      <c r="X105" s="148"/>
      <c r="Y105" s="33"/>
      <c r="Z105" s="171"/>
      <c r="AA105" s="124" t="str">
        <f>IFERROR(__xludf.DUMMYFUNCTION("IF(W105=MAX(FILTER(W$10:W$199,LOOKUP(ROW(Q$10:Q$199),FILTER(ROW(Q$10:Q$199),Q$10:Q$199&lt;&gt;Q$9:Q$198))=LOOKUP(ROW(Q105),FILTER(ROW(Q$10:Q$199),Q$10:Q$199&lt;&gt;Q$9:Q$198)))),X105,)"),"")</f>
        <v/>
      </c>
      <c r="AB105" s="122"/>
      <c r="AC105" s="33"/>
      <c r="AD105" s="143" t="str">
        <f t="shared" si="14"/>
        <v/>
      </c>
      <c r="AE105" s="38" t="str">
        <f>IFERROR(__xludf.DUMMYFUNCTION("""COMPUTED_VALUE"""),"")</f>
        <v/>
      </c>
      <c r="AF105" s="144">
        <v>46125.0</v>
      </c>
      <c r="AG105" s="167" t="str">
        <f t="shared" si="54"/>
        <v/>
      </c>
      <c r="AH105" s="168" t="str">
        <f t="shared" si="322"/>
        <v/>
      </c>
      <c r="AI105" s="169" t="str">
        <f t="shared" si="323"/>
        <v/>
      </c>
      <c r="AJ105" s="172" t="str">
        <f t="shared" si="324"/>
        <v/>
      </c>
      <c r="AK105" s="171" t="str">
        <f t="array" ref="AK105">IFERROR(IF(AE105="ac"+ISNUMBER(SEARCH("'",AJ105))+AI105="","", IF(ISNUMBER(SEARCH("lw",AJ105)), W105 + SUBSTITUTE(AJ105,"lw+",""), MROUND(SWITCH(AE105,"sq",AI$7,"bn",AJ$7,"dl",AK$7,"")*IF(AJ105&gt;10, AJ105/100, VLOOKUP(AJ105, _rpe,SUBSTITUTE(AI105,"+","")+1,0)), IF( SWITCH(AE105,"sq",AI$7,"bn",AJ$7,"dl", AK$7,"")&lt; IF(_uom="lbs", 175, 80), 1.25, IF(_uom="lbs",5,2.5))))), "")</f>
        <v/>
      </c>
      <c r="AL105" s="148"/>
      <c r="AM105" s="33"/>
      <c r="AN105" s="171"/>
      <c r="AO105" s="124" t="str">
        <f>IFERROR(__xludf.DUMMYFUNCTION("IF(AK105=MAX(FILTER(AK$10:AK$199,LOOKUP(ROW(AE$10:AE$199),FILTER(ROW(AE$10:AE$199),AE$10:AE$199&lt;&gt;AE$9:AE$198))=LOOKUP(ROW(AE105),FILTER(ROW(AE$10:AE$199),AE$10:AE$199&lt;&gt;AE$9:AE$198)))),AL105,)"),"")</f>
        <v/>
      </c>
      <c r="AP105" s="122"/>
      <c r="AQ105" s="33"/>
      <c r="AR105" s="143" t="str">
        <f t="shared" si="16"/>
        <v/>
      </c>
      <c r="AS105" s="38" t="str">
        <f>IFERROR(__xludf.DUMMYFUNCTION("""COMPUTED_VALUE"""),"")</f>
        <v/>
      </c>
      <c r="AT105" s="144">
        <v>46132.0</v>
      </c>
      <c r="AU105" s="167" t="str">
        <f t="shared" si="26"/>
        <v/>
      </c>
      <c r="AV105" s="168" t="str">
        <f t="shared" si="325"/>
        <v/>
      </c>
      <c r="AW105" s="169" t="str">
        <f t="shared" si="326"/>
        <v/>
      </c>
      <c r="AX105" s="172" t="str">
        <f t="shared" si="327"/>
        <v/>
      </c>
      <c r="AY105" s="171" t="str">
        <f t="array" ref="AY105">IFERROR(IF(AS105="ac"+ISNUMBER(SEARCH("'",AX105))+AW105="","", IF(ISNUMBER(SEARCH("lw",AX105)), AK105 + SUBSTITUTE(AX105,"lw+",""), MROUND(SWITCH(AS105,"sq",AW$7,"bn",AX$7,"dl",AY$7,"")*IF(AX105&gt;10, AX105/100, VLOOKUP(AX105, _rpe,SUBSTITUTE(AW105,"+","")+1,0)), IF( SWITCH(AS105,"sq",AW$7,"bn",AX$7,"dl", AY$7,"")&lt; IF(_uom="lbs", 175, 80), 1.25, IF(_uom="lbs",5,2.5))))), "")</f>
        <v/>
      </c>
      <c r="AZ105" s="148"/>
      <c r="BA105" s="33"/>
      <c r="BB105" s="171"/>
      <c r="BC105" s="124" t="str">
        <f>IFERROR(__xludf.DUMMYFUNCTION("IF(AY105=MAX(FILTER(AY$10:AY$199,LOOKUP(ROW(AS$10:AS$199),FILTER(ROW(AS$10:AS$199),AS$10:AS$199&lt;&gt;AS$9:AS$198))=LOOKUP(ROW(AS105),FILTER(ROW(AS$10:AS$199),AS$10:AS$199&lt;&gt;AS$9:AS$198)))),AZ105,)"),"")</f>
        <v/>
      </c>
      <c r="BD105" s="122"/>
      <c r="BE105" s="33"/>
      <c r="BF105" s="143" t="str">
        <f t="shared" si="17"/>
        <v/>
      </c>
      <c r="BG105" s="38" t="str">
        <f>IFERROR(__xludf.DUMMYFUNCTION("""COMPUTED_VALUE"""),"")</f>
        <v/>
      </c>
      <c r="BH105" s="144">
        <v>46139.0</v>
      </c>
      <c r="BI105" s="167" t="str">
        <f t="shared" si="18"/>
        <v/>
      </c>
      <c r="BJ105" s="168" t="str">
        <f t="shared" si="328"/>
        <v/>
      </c>
      <c r="BK105" s="169" t="str">
        <f t="shared" si="329"/>
        <v/>
      </c>
      <c r="BL105" s="172" t="str">
        <f t="shared" si="330"/>
        <v/>
      </c>
      <c r="BM105" s="171" t="str">
        <f t="array" ref="BM105">IFERROR(IF(BG105="ac"+ISNUMBER(SEARCH("'",BL105))+BK105="","", IF(ISNUMBER(SEARCH("lw",BL105)), AY105 + SUBSTITUTE(BL105,"lw+",""), MROUND(SWITCH(BG105,"sq",BK$7,"bn",BL$7,"dl",BM$7,"")*IF(BL105&gt;10, BL105/100, VLOOKUP(BL105, _rpe,SUBSTITUTE(BK105,"+","")+1,0)), IF( SWITCH(BG105,"sq",BK$7,"bn",BL$7,"dl", BM$7,"")&lt; IF(_uom="lbs", 175, 80), 1.25, IF(_uom="lbs",5,2.5))))), "")</f>
        <v/>
      </c>
      <c r="BN105" s="148"/>
      <c r="BO105" s="33"/>
      <c r="BP105" s="171"/>
      <c r="BQ105" s="124" t="str">
        <f>IFERROR(__xludf.DUMMYFUNCTION("IF(BM105=MAX(FILTER(BM$10:BM$199,LOOKUP(ROW(BG$10:BG$199),FILTER(ROW(BG$10:BG$199),BG$10:BG$199&lt;&gt;BG$9:BG$198))=LOOKUP(ROW(BG105),FILTER(ROW(BG$10:BG$199),BG$10:BG$199&lt;&gt;BG$9:BG$198)))),BN105,)"),"")</f>
        <v/>
      </c>
      <c r="BR105" s="122"/>
      <c r="BS105" s="33"/>
      <c r="BT105" s="143" t="str">
        <f t="shared" si="19"/>
        <v/>
      </c>
      <c r="BU105" s="38" t="str">
        <f>IFERROR(__xludf.DUMMYFUNCTION("""COMPUTED_VALUE"""),"")</f>
        <v/>
      </c>
      <c r="BV105" s="144">
        <v>46146.0</v>
      </c>
      <c r="BW105" s="167" t="str">
        <f t="shared" si="20"/>
        <v/>
      </c>
      <c r="BX105" s="168" t="str">
        <f t="shared" si="331"/>
        <v/>
      </c>
      <c r="BY105" s="169" t="str">
        <f t="shared" si="332"/>
        <v/>
      </c>
      <c r="BZ105" s="172" t="str">
        <f t="shared" si="333"/>
        <v/>
      </c>
      <c r="CA105" s="171" t="str">
        <f t="array" ref="CA105">IFERROR(IF(BU105="ac"+ISNUMBER(SEARCH("'",BZ105))+BY105="","", IF(ISNUMBER(SEARCH("lw",BZ105)), BM105 + SUBSTITUTE(BZ105,"lw+",""), MROUND(SWITCH(BU105,"sq",BY$7,"bn",BZ$7,"dl",CA$7,"")*IF(BZ105&gt;10, BZ105/100, VLOOKUP(BZ105, _rpe,SUBSTITUTE(BY105,"+","")+1,0)), IF( SWITCH(BU105,"sq",BY$7,"bn",BZ$7,"dl", CA$7,"")&lt; IF(_uom="lbs", 175, 80), 1.25, IF(_uom="lbs",5,2.5))))), "")</f>
        <v/>
      </c>
      <c r="CB105" s="148"/>
      <c r="CC105" s="33"/>
      <c r="CD105" s="171"/>
      <c r="CE105" s="124" t="str">
        <f>IFERROR(__xludf.DUMMYFUNCTION("IF(CA105=MAX(FILTER(CA$10:CA$199,LOOKUP(ROW(BU$10:BU$199),FILTER(ROW(BU$10:BU$199),BU$10:BU$199&lt;&gt;BU$9:BU$198))=LOOKUP(ROW(BU105),FILTER(ROW(BU$10:BU$199),BU$10:BU$199&lt;&gt;BU$9:BU$198)))),CB105,)"),"")</f>
        <v/>
      </c>
      <c r="CF105" s="122"/>
      <c r="CG105" s="33"/>
      <c r="CH105" s="143" t="str">
        <f t="shared" si="21"/>
        <v/>
      </c>
      <c r="CI105" s="38" t="str">
        <f>IFERROR(__xludf.DUMMYFUNCTION("""COMPUTED_VALUE"""),"")</f>
        <v/>
      </c>
      <c r="CJ105" s="144">
        <v>46153.0</v>
      </c>
      <c r="CK105" s="167" t="str">
        <f t="shared" si="27"/>
        <v/>
      </c>
      <c r="CL105" s="168" t="str">
        <f t="shared" si="334"/>
        <v/>
      </c>
      <c r="CM105" s="169" t="str">
        <f t="shared" si="335"/>
        <v/>
      </c>
      <c r="CN105" s="172" t="str">
        <f t="shared" si="336"/>
        <v/>
      </c>
      <c r="CO105" s="171" t="str">
        <f t="array" ref="CO105">IFERROR(IF(CI105="ac"+ISNUMBER(SEARCH("'",CN105))+CM105="","", IF(ISNUMBER(SEARCH("lw",CN105)), CA105 + SUBSTITUTE(CN105,"lw+",""), MROUND(SWITCH(CI105,"sq",CM$7,"bn",CN$7,"dl",CO$7,"")*IF(CN105&gt;10, CN105/100, VLOOKUP(CN105, _rpe,SUBSTITUTE(CM105,"+","")+1,0)), IF( SWITCH(CI105,"sq",CM$7,"bn",CN$7,"dl", CO$7,"")&lt; IF(_uom="lbs", 175, 80), 1.25, IF(_uom="lbs",5,2.5))))), "")</f>
        <v/>
      </c>
      <c r="CP105" s="148"/>
      <c r="CQ105" s="33"/>
      <c r="CR105" s="171"/>
      <c r="CS105" s="124" t="str">
        <f>IFERROR(__xludf.DUMMYFUNCTION("IF(CO105=MAX(FILTER(CO$10:CO$199,LOOKUP(ROW(CI$10:CI$199),FILTER(ROW(CI$10:CI$199),CI$10:CI$199&lt;&gt;CI$9:CI$198))=LOOKUP(ROW(CI105),FILTER(ROW(CI$10:CI$199),CI$10:CI$199&lt;&gt;CI$9:CI$198)))),CP105,)"),"")</f>
        <v/>
      </c>
      <c r="CT105" s="122"/>
      <c r="CU105" s="33"/>
      <c r="CV105" s="143" t="str">
        <f t="shared" si="22"/>
        <v/>
      </c>
      <c r="CW105" s="38" t="str">
        <f>IFERROR(__xludf.DUMMYFUNCTION("""COMPUTED_VALUE"""),"")</f>
        <v/>
      </c>
      <c r="CX105" s="144">
        <v>46160.0</v>
      </c>
      <c r="CY105" s="167" t="str">
        <f t="shared" si="28"/>
        <v/>
      </c>
      <c r="CZ105" s="168" t="str">
        <f t="shared" si="337"/>
        <v/>
      </c>
      <c r="DA105" s="169" t="str">
        <f t="shared" si="338"/>
        <v/>
      </c>
      <c r="DB105" s="172" t="str">
        <f t="shared" si="339"/>
        <v/>
      </c>
      <c r="DC105" s="171" t="str">
        <f t="array" ref="DC105">IFERROR(IF(CW105="ac"+ISNUMBER(SEARCH("'",DB105))+DA105="","", IF(ISNUMBER(SEARCH("lw",DB105)), CO105 + SUBSTITUTE(DB105,"lw+",""), MROUND(SWITCH(CW105,"sq",DA$7,"bn",DB$7,"dl",DC$7,"")*IF(DB105&gt;10, DB105/100, VLOOKUP(DB105, _rpe,SUBSTITUTE(DA105,"+","")+1,0)), IF( SWITCH(CW105,"sq",DA$7,"bn",DB$7,"dl", DC$7,"")&lt; IF(_uom="lbs", 175, 80), 1.25, IF(_uom="lbs",5,2.5))))), "")</f>
        <v/>
      </c>
      <c r="DD105" s="148"/>
      <c r="DE105" s="33"/>
      <c r="DF105" s="171"/>
      <c r="DG105" s="124" t="str">
        <f>IFERROR(__xludf.DUMMYFUNCTION("IF(DC105=MAX(FILTER(DC$10:DC$199,LOOKUP(ROW(CW$10:CW$199),FILTER(ROW(CW$10:CW$199),CW$10:CW$199&lt;&gt;CW$9:CW$198))=LOOKUP(ROW(CW105),FILTER(ROW(CW$10:CW$199),CW$10:CW$199&lt;&gt;CW$9:CW$198)))),DD105,)"),"")</f>
        <v/>
      </c>
      <c r="DH105" s="122"/>
      <c r="DI105" s="33"/>
      <c r="DJ105" s="143" t="str">
        <f t="shared" si="23"/>
        <v/>
      </c>
      <c r="DK105" s="38" t="str">
        <f>IFERROR(__xludf.DUMMYFUNCTION("""COMPUTED_VALUE"""),"")</f>
        <v/>
      </c>
      <c r="DL105" s="144">
        <v>46167.0</v>
      </c>
      <c r="DM105" s="167" t="str">
        <f t="shared" ref="DM105:DN105" si="357">IF(ISBLANK(CY105),"",CY105)</f>
        <v/>
      </c>
      <c r="DN105" s="168" t="str">
        <f t="shared" si="357"/>
        <v/>
      </c>
      <c r="DO105" s="169" t="str">
        <f t="shared" si="341"/>
        <v/>
      </c>
      <c r="DP105" s="172" t="str">
        <f t="shared" si="342"/>
        <v/>
      </c>
      <c r="DQ105" s="171" t="str">
        <f t="array" ref="DQ105">IFERROR(IF(DK105="ac"+ISNUMBER(SEARCH("'",DP105))+DO105="","", IF(ISNUMBER(SEARCH("lw",DP105)), DC105 + SUBSTITUTE(DP105,"lw+",""), MROUND(SWITCH(DK105,"sq",DO$7,"bn",DP$7,"dl",DQ$7,"")*IF(DP105&gt;10, DP105/100, VLOOKUP(DP105, _rpe,SUBSTITUTE(DO105,"+","")+1,0)), IF( SWITCH(DK105,"sq",DO$7,"bn",DP$7,"dl", DQ$7,"")&lt; IF(_uom="lbs", 175, 80), 1.25, IF(_uom="lbs",5,2.5))))), "")</f>
        <v/>
      </c>
      <c r="DR105" s="148"/>
      <c r="DS105" s="33"/>
      <c r="DT105" s="171"/>
      <c r="DU105" s="124" t="str">
        <f>IFERROR(__xludf.DUMMYFUNCTION("IF(DQ105=MAX(FILTER(DQ$10:DQ$199,LOOKUP(ROW(DK$10:DK$199),FILTER(ROW(DK$10:DK$199),DK$10:DK$199&lt;&gt;DK$9:DK$198))=LOOKUP(ROW(DK105),FILTER(ROW(DK$10:DK$199),DK$10:DK$199&lt;&gt;DK$9:DK$198)))),DR105,)"),"")</f>
        <v/>
      </c>
      <c r="DV105" s="122"/>
      <c r="DW105" s="33"/>
      <c r="DX105" s="143"/>
      <c r="DY105" s="38"/>
      <c r="DZ105" s="144"/>
      <c r="EA105" s="150"/>
      <c r="EB105" s="174"/>
      <c r="EC105" s="175"/>
      <c r="ED105" s="176"/>
      <c r="EE105" s="155"/>
      <c r="EF105" s="148"/>
      <c r="EG105" s="33"/>
      <c r="EH105" s="155"/>
      <c r="EI105" s="148"/>
      <c r="EJ105" s="33"/>
      <c r="EK105" s="33"/>
      <c r="EL105" s="143"/>
      <c r="EM105" s="38"/>
      <c r="EN105" s="144"/>
      <c r="EO105" s="150"/>
      <c r="EP105" s="174"/>
      <c r="EQ105" s="175"/>
      <c r="ER105" s="176"/>
      <c r="ES105" s="155"/>
      <c r="ET105" s="148"/>
      <c r="EU105" s="33"/>
      <c r="EV105" s="155"/>
      <c r="EW105" s="148"/>
      <c r="EX105" s="33"/>
      <c r="EY105" s="33"/>
      <c r="EZ105" s="143"/>
      <c r="FA105" s="38"/>
      <c r="FB105" s="144"/>
      <c r="FC105" s="150"/>
      <c r="FD105" s="174"/>
      <c r="FE105" s="175"/>
      <c r="FF105" s="176"/>
      <c r="FG105" s="155"/>
      <c r="FH105" s="148"/>
      <c r="FI105" s="33"/>
      <c r="FJ105" s="155"/>
      <c r="FK105" s="148"/>
      <c r="FL105" s="33"/>
      <c r="FM105" s="33"/>
      <c r="FN105" s="143"/>
      <c r="FO105" s="38"/>
      <c r="FP105" s="144"/>
      <c r="FQ105" s="150"/>
      <c r="FR105" s="174"/>
      <c r="FS105" s="175"/>
      <c r="FT105" s="176"/>
      <c r="FU105" s="155"/>
      <c r="FV105" s="148"/>
      <c r="FW105" s="33"/>
      <c r="FX105" s="155"/>
      <c r="FY105" s="148"/>
      <c r="FZ105" s="33"/>
      <c r="GA105" s="33"/>
      <c r="GB105" s="143"/>
      <c r="GC105" s="38"/>
      <c r="GD105" s="144"/>
      <c r="GE105" s="150"/>
      <c r="GF105" s="174"/>
      <c r="GG105" s="175"/>
      <c r="GH105" s="176"/>
      <c r="GI105" s="155"/>
      <c r="GJ105" s="148"/>
      <c r="GK105" s="33"/>
      <c r="GL105" s="155"/>
      <c r="GM105" s="148"/>
      <c r="GN105" s="33"/>
      <c r="GO105" s="33"/>
      <c r="GP105" s="143"/>
      <c r="GQ105" s="38"/>
      <c r="GR105" s="144"/>
      <c r="GS105" s="150"/>
      <c r="GT105" s="174"/>
      <c r="GU105" s="175"/>
      <c r="GV105" s="176"/>
      <c r="GW105" s="155"/>
      <c r="GX105" s="148"/>
      <c r="GY105" s="33"/>
      <c r="GZ105" s="155"/>
      <c r="HA105" s="148"/>
      <c r="HB105" s="33"/>
      <c r="HC105" s="33"/>
      <c r="HD105" s="143"/>
      <c r="HE105" s="38"/>
      <c r="HF105" s="144"/>
      <c r="HG105" s="150"/>
      <c r="HH105" s="174"/>
      <c r="HI105" s="175"/>
      <c r="HJ105" s="176"/>
      <c r="HK105" s="155"/>
      <c r="HL105" s="148"/>
      <c r="HM105" s="33"/>
      <c r="HN105" s="155"/>
      <c r="HO105" s="148"/>
      <c r="HP105" s="33"/>
      <c r="HQ105" s="33"/>
      <c r="HR105" s="143"/>
      <c r="HS105" s="38"/>
      <c r="HT105" s="144"/>
      <c r="HU105" s="150"/>
      <c r="HV105" s="174"/>
      <c r="HW105" s="175"/>
      <c r="HX105" s="176"/>
      <c r="HY105" s="155"/>
      <c r="HZ105" s="148"/>
      <c r="IA105" s="33"/>
      <c r="IB105" s="155"/>
      <c r="IC105" s="148"/>
      <c r="ID105" s="33"/>
      <c r="IE105" s="33"/>
      <c r="IF105" s="143"/>
      <c r="IG105" s="38"/>
      <c r="IH105" s="144"/>
      <c r="II105" s="150"/>
      <c r="IJ105" s="174"/>
      <c r="IK105" s="175"/>
      <c r="IL105" s="176"/>
      <c r="IM105" s="155"/>
      <c r="IN105" s="148"/>
      <c r="IO105" s="33"/>
      <c r="IP105" s="155"/>
      <c r="IQ105" s="148"/>
      <c r="IR105" s="33"/>
      <c r="IS105" s="33"/>
      <c r="IT105" s="143"/>
      <c r="IU105" s="38"/>
      <c r="IV105" s="144"/>
      <c r="IW105" s="143"/>
      <c r="IX105" s="38"/>
      <c r="IY105" s="144" t="e">
        <v>#REF!</v>
      </c>
    </row>
    <row r="106">
      <c r="A106" s="33"/>
      <c r="B106" s="181"/>
      <c r="C106" s="38" t="str">
        <f>IFERROR(__xludf.DUMMYFUNCTION("""COMPUTED_VALUE"""),"")</f>
        <v/>
      </c>
      <c r="D106" s="144">
        <v>46111.0</v>
      </c>
      <c r="E106" s="182"/>
      <c r="F106" s="168"/>
      <c r="G106" s="169"/>
      <c r="H106" s="170"/>
      <c r="I106" s="171" t="str">
        <f t="array" ref="I106">IFERROR(IF(C106="ac"+ISNUMBER(SEARCH("'",H106))+G106="","", MROUND(SWITCH(C106,"sq",'Personal Info'!$O$15,"bn",'Personal Info'!$S$15,"dl",'Personal Info'!$W$15,"")*IF(H106&gt;10, H106/100, VLOOKUP(H106, _rpe,SUBSTITUTE(G106,"+","")+1,0)), IF( SWITCH(C106:C210,"sq",'Personal Info'!$O$15,"bn",'Personal Info'!$S$15,"dl", 'Personal Info'!$W$15,"")&lt; IF(_uom="lbs", 175, 80), 1.25, IF(_uom="lbs",5,2.5)))),"")</f>
        <v/>
      </c>
      <c r="J106" s="148"/>
      <c r="K106" s="33"/>
      <c r="L106" s="171"/>
      <c r="M106" s="124" t="str">
        <f>IFERROR(__xludf.DUMMYFUNCTION("IF(I106=MAX(FILTER(I$10:I$199,LOOKUP(ROW(C$10:C$199),FILTER(ROW(C$10:C$199),C$10:C$199&lt;&gt;C$9:C$198))=LOOKUP(ROW(C106),FILTER(ROW(C$10:C$199),C$10:C$199&lt;&gt;C$9:C$198)))),J106,)"),"")</f>
        <v/>
      </c>
      <c r="N106" s="122"/>
      <c r="O106" s="33"/>
      <c r="P106" s="143" t="str">
        <f t="shared" si="12"/>
        <v/>
      </c>
      <c r="Q106" s="38" t="str">
        <f>IFERROR(__xludf.DUMMYFUNCTION("""COMPUTED_VALUE"""),"")</f>
        <v/>
      </c>
      <c r="R106" s="144">
        <v>46118.0</v>
      </c>
      <c r="S106" s="167" t="str">
        <f t="shared" si="13"/>
        <v/>
      </c>
      <c r="T106" s="168" t="str">
        <f t="shared" si="319"/>
        <v/>
      </c>
      <c r="U106" s="169" t="str">
        <f t="shared" si="320"/>
        <v/>
      </c>
      <c r="V106" s="172" t="str">
        <f t="shared" si="321"/>
        <v/>
      </c>
      <c r="W106" s="171" t="str">
        <f t="array" ref="W106">IFERROR(IF(Q106="ac"+ISNUMBER(SEARCH("'",V106))+U106="","", IF(ISNUMBER(SEARCH("lw",V106)), I106 + SUBSTITUTE(V106,"lw+",""), MROUND(SWITCH(Q106,"sq",U$7,"bn",V$7,"dl",W$7,"")*IF(V106&gt;10, V106/100, VLOOKUP(V106, _rpe,SUBSTITUTE(U106,"+","")+1,0)), IF( SWITCH(Q106,"sq",U$7,"bn",V$7,"dl", W$7,"")&lt; IF(_uom="lbs", 175, 80), 1.25, IF(_uom="lbs",5,2.5))))), "")</f>
        <v/>
      </c>
      <c r="X106" s="148"/>
      <c r="Y106" s="33"/>
      <c r="Z106" s="171"/>
      <c r="AA106" s="124" t="str">
        <f>IFERROR(__xludf.DUMMYFUNCTION("IF(W106=MAX(FILTER(W$10:W$199,LOOKUP(ROW(Q$10:Q$199),FILTER(ROW(Q$10:Q$199),Q$10:Q$199&lt;&gt;Q$9:Q$198))=LOOKUP(ROW(Q106),FILTER(ROW(Q$10:Q$199),Q$10:Q$199&lt;&gt;Q$9:Q$198)))),X106,)"),"")</f>
        <v/>
      </c>
      <c r="AB106" s="122"/>
      <c r="AC106" s="33"/>
      <c r="AD106" s="143" t="str">
        <f t="shared" si="14"/>
        <v/>
      </c>
      <c r="AE106" s="38" t="str">
        <f>IFERROR(__xludf.DUMMYFUNCTION("""COMPUTED_VALUE"""),"")</f>
        <v/>
      </c>
      <c r="AF106" s="144">
        <v>46125.0</v>
      </c>
      <c r="AG106" s="167" t="str">
        <f t="shared" si="54"/>
        <v/>
      </c>
      <c r="AH106" s="168" t="str">
        <f t="shared" si="322"/>
        <v/>
      </c>
      <c r="AI106" s="169" t="str">
        <f t="shared" si="323"/>
        <v/>
      </c>
      <c r="AJ106" s="172" t="str">
        <f t="shared" si="324"/>
        <v/>
      </c>
      <c r="AK106" s="171" t="str">
        <f t="array" ref="AK106">IFERROR(IF(AE106="ac"+ISNUMBER(SEARCH("'",AJ106))+AI106="","", IF(ISNUMBER(SEARCH("lw",AJ106)), W106 + SUBSTITUTE(AJ106,"lw+",""), MROUND(SWITCH(AE106,"sq",AI$7,"bn",AJ$7,"dl",AK$7,"")*IF(AJ106&gt;10, AJ106/100, VLOOKUP(AJ106, _rpe,SUBSTITUTE(AI106,"+","")+1,0)), IF( SWITCH(AE106,"sq",AI$7,"bn",AJ$7,"dl", AK$7,"")&lt; IF(_uom="lbs", 175, 80), 1.25, IF(_uom="lbs",5,2.5))))), "")</f>
        <v/>
      </c>
      <c r="AL106" s="148"/>
      <c r="AM106" s="33"/>
      <c r="AN106" s="171"/>
      <c r="AO106" s="124" t="str">
        <f>IFERROR(__xludf.DUMMYFUNCTION("IF(AK106=MAX(FILTER(AK$10:AK$199,LOOKUP(ROW(AE$10:AE$199),FILTER(ROW(AE$10:AE$199),AE$10:AE$199&lt;&gt;AE$9:AE$198))=LOOKUP(ROW(AE106),FILTER(ROW(AE$10:AE$199),AE$10:AE$199&lt;&gt;AE$9:AE$198)))),AL106,)"),"")</f>
        <v/>
      </c>
      <c r="AP106" s="122"/>
      <c r="AQ106" s="33"/>
      <c r="AR106" s="143" t="str">
        <f t="shared" si="16"/>
        <v/>
      </c>
      <c r="AS106" s="38" t="str">
        <f>IFERROR(__xludf.DUMMYFUNCTION("""COMPUTED_VALUE"""),"")</f>
        <v/>
      </c>
      <c r="AT106" s="144">
        <v>46132.0</v>
      </c>
      <c r="AU106" s="167" t="str">
        <f t="shared" si="26"/>
        <v/>
      </c>
      <c r="AV106" s="168" t="str">
        <f t="shared" si="325"/>
        <v/>
      </c>
      <c r="AW106" s="169" t="str">
        <f t="shared" si="326"/>
        <v/>
      </c>
      <c r="AX106" s="172" t="str">
        <f t="shared" si="327"/>
        <v/>
      </c>
      <c r="AY106" s="171" t="str">
        <f t="array" ref="AY106">IFERROR(IF(AS106="ac"+ISNUMBER(SEARCH("'",AX106))+AW106="","", IF(ISNUMBER(SEARCH("lw",AX106)), AK106 + SUBSTITUTE(AX106,"lw+",""), MROUND(SWITCH(AS106,"sq",AW$7,"bn",AX$7,"dl",AY$7,"")*IF(AX106&gt;10, AX106/100, VLOOKUP(AX106, _rpe,SUBSTITUTE(AW106,"+","")+1,0)), IF( SWITCH(AS106,"sq",AW$7,"bn",AX$7,"dl", AY$7,"")&lt; IF(_uom="lbs", 175, 80), 1.25, IF(_uom="lbs",5,2.5))))), "")</f>
        <v/>
      </c>
      <c r="AZ106" s="148"/>
      <c r="BA106" s="33"/>
      <c r="BB106" s="171"/>
      <c r="BC106" s="124" t="str">
        <f>IFERROR(__xludf.DUMMYFUNCTION("IF(AY106=MAX(FILTER(AY$10:AY$199,LOOKUP(ROW(AS$10:AS$199),FILTER(ROW(AS$10:AS$199),AS$10:AS$199&lt;&gt;AS$9:AS$198))=LOOKUP(ROW(AS106),FILTER(ROW(AS$10:AS$199),AS$10:AS$199&lt;&gt;AS$9:AS$198)))),AZ106,)"),"")</f>
        <v/>
      </c>
      <c r="BD106" s="122"/>
      <c r="BE106" s="33"/>
      <c r="BF106" s="143" t="str">
        <f t="shared" si="17"/>
        <v/>
      </c>
      <c r="BG106" s="38" t="str">
        <f>IFERROR(__xludf.DUMMYFUNCTION("""COMPUTED_VALUE"""),"")</f>
        <v/>
      </c>
      <c r="BH106" s="144">
        <v>46139.0</v>
      </c>
      <c r="BI106" s="167" t="str">
        <f t="shared" si="18"/>
        <v/>
      </c>
      <c r="BJ106" s="168" t="str">
        <f t="shared" si="328"/>
        <v/>
      </c>
      <c r="BK106" s="169" t="str">
        <f t="shared" si="329"/>
        <v/>
      </c>
      <c r="BL106" s="172" t="str">
        <f t="shared" si="330"/>
        <v/>
      </c>
      <c r="BM106" s="171" t="str">
        <f t="array" ref="BM106">IFERROR(IF(BG106="ac"+ISNUMBER(SEARCH("'",BL106))+BK106="","", IF(ISNUMBER(SEARCH("lw",BL106)), AY106 + SUBSTITUTE(BL106,"lw+",""), MROUND(SWITCH(BG106,"sq",BK$7,"bn",BL$7,"dl",BM$7,"")*IF(BL106&gt;10, BL106/100, VLOOKUP(BL106, _rpe,SUBSTITUTE(BK106,"+","")+1,0)), IF( SWITCH(BG106,"sq",BK$7,"bn",BL$7,"dl", BM$7,"")&lt; IF(_uom="lbs", 175, 80), 1.25, IF(_uom="lbs",5,2.5))))), "")</f>
        <v/>
      </c>
      <c r="BN106" s="148"/>
      <c r="BO106" s="33"/>
      <c r="BP106" s="171"/>
      <c r="BQ106" s="124" t="str">
        <f>IFERROR(__xludf.DUMMYFUNCTION("IF(BM106=MAX(FILTER(BM$10:BM$199,LOOKUP(ROW(BG$10:BG$199),FILTER(ROW(BG$10:BG$199),BG$10:BG$199&lt;&gt;BG$9:BG$198))=LOOKUP(ROW(BG106),FILTER(ROW(BG$10:BG$199),BG$10:BG$199&lt;&gt;BG$9:BG$198)))),BN106,)"),"")</f>
        <v/>
      </c>
      <c r="BR106" s="122"/>
      <c r="BS106" s="33"/>
      <c r="BT106" s="143" t="str">
        <f t="shared" si="19"/>
        <v/>
      </c>
      <c r="BU106" s="38" t="str">
        <f>IFERROR(__xludf.DUMMYFUNCTION("""COMPUTED_VALUE"""),"")</f>
        <v/>
      </c>
      <c r="BV106" s="144">
        <v>46146.0</v>
      </c>
      <c r="BW106" s="167" t="str">
        <f t="shared" si="20"/>
        <v/>
      </c>
      <c r="BX106" s="168" t="str">
        <f t="shared" si="331"/>
        <v/>
      </c>
      <c r="BY106" s="169" t="str">
        <f t="shared" si="332"/>
        <v/>
      </c>
      <c r="BZ106" s="172" t="str">
        <f t="shared" si="333"/>
        <v/>
      </c>
      <c r="CA106" s="171" t="str">
        <f t="array" ref="CA106">IFERROR(IF(BU106="ac"+ISNUMBER(SEARCH("'",BZ106))+BY106="","", IF(ISNUMBER(SEARCH("lw",BZ106)), BM106 + SUBSTITUTE(BZ106,"lw+",""), MROUND(SWITCH(BU106,"sq",BY$7,"bn",BZ$7,"dl",CA$7,"")*IF(BZ106&gt;10, BZ106/100, VLOOKUP(BZ106, _rpe,SUBSTITUTE(BY106,"+","")+1,0)), IF( SWITCH(BU106,"sq",BY$7,"bn",BZ$7,"dl", CA$7,"")&lt; IF(_uom="lbs", 175, 80), 1.25, IF(_uom="lbs",5,2.5))))), "")</f>
        <v/>
      </c>
      <c r="CB106" s="148"/>
      <c r="CC106" s="33"/>
      <c r="CD106" s="171"/>
      <c r="CE106" s="124" t="str">
        <f>IFERROR(__xludf.DUMMYFUNCTION("IF(CA106=MAX(FILTER(CA$10:CA$199,LOOKUP(ROW(BU$10:BU$199),FILTER(ROW(BU$10:BU$199),BU$10:BU$199&lt;&gt;BU$9:BU$198))=LOOKUP(ROW(BU106),FILTER(ROW(BU$10:BU$199),BU$10:BU$199&lt;&gt;BU$9:BU$198)))),CB106,)"),"")</f>
        <v/>
      </c>
      <c r="CF106" s="122"/>
      <c r="CG106" s="33"/>
      <c r="CH106" s="143" t="str">
        <f t="shared" si="21"/>
        <v/>
      </c>
      <c r="CI106" s="38" t="str">
        <f>IFERROR(__xludf.DUMMYFUNCTION("""COMPUTED_VALUE"""),"")</f>
        <v/>
      </c>
      <c r="CJ106" s="144">
        <v>46153.0</v>
      </c>
      <c r="CK106" s="167" t="str">
        <f t="shared" si="27"/>
        <v/>
      </c>
      <c r="CL106" s="168" t="str">
        <f t="shared" si="334"/>
        <v/>
      </c>
      <c r="CM106" s="169" t="str">
        <f t="shared" si="335"/>
        <v/>
      </c>
      <c r="CN106" s="172" t="str">
        <f t="shared" si="336"/>
        <v/>
      </c>
      <c r="CO106" s="171" t="str">
        <f t="array" ref="CO106">IFERROR(IF(CI106="ac"+ISNUMBER(SEARCH("'",CN106))+CM106="","", IF(ISNUMBER(SEARCH("lw",CN106)), CA106 + SUBSTITUTE(CN106,"lw+",""), MROUND(SWITCH(CI106,"sq",CM$7,"bn",CN$7,"dl",CO$7,"")*IF(CN106&gt;10, CN106/100, VLOOKUP(CN106, _rpe,SUBSTITUTE(CM106,"+","")+1,0)), IF( SWITCH(CI106,"sq",CM$7,"bn",CN$7,"dl", CO$7,"")&lt; IF(_uom="lbs", 175, 80), 1.25, IF(_uom="lbs",5,2.5))))), "")</f>
        <v/>
      </c>
      <c r="CP106" s="148"/>
      <c r="CQ106" s="33"/>
      <c r="CR106" s="171"/>
      <c r="CS106" s="124" t="str">
        <f>IFERROR(__xludf.DUMMYFUNCTION("IF(CO106=MAX(FILTER(CO$10:CO$199,LOOKUP(ROW(CI$10:CI$199),FILTER(ROW(CI$10:CI$199),CI$10:CI$199&lt;&gt;CI$9:CI$198))=LOOKUP(ROW(CI106),FILTER(ROW(CI$10:CI$199),CI$10:CI$199&lt;&gt;CI$9:CI$198)))),CP106,)"),"")</f>
        <v/>
      </c>
      <c r="CT106" s="122"/>
      <c r="CU106" s="33"/>
      <c r="CV106" s="143" t="str">
        <f t="shared" si="22"/>
        <v/>
      </c>
      <c r="CW106" s="38" t="str">
        <f>IFERROR(__xludf.DUMMYFUNCTION("""COMPUTED_VALUE"""),"")</f>
        <v/>
      </c>
      <c r="CX106" s="144">
        <v>46160.0</v>
      </c>
      <c r="CY106" s="167" t="str">
        <f t="shared" si="28"/>
        <v/>
      </c>
      <c r="CZ106" s="168" t="str">
        <f t="shared" si="337"/>
        <v/>
      </c>
      <c r="DA106" s="169" t="str">
        <f t="shared" si="338"/>
        <v/>
      </c>
      <c r="DB106" s="172" t="str">
        <f t="shared" si="339"/>
        <v/>
      </c>
      <c r="DC106" s="171" t="str">
        <f t="array" ref="DC106">IFERROR(IF(CW106="ac"+ISNUMBER(SEARCH("'",DB106))+DA106="","", IF(ISNUMBER(SEARCH("lw",DB106)), CO106 + SUBSTITUTE(DB106,"lw+",""), MROUND(SWITCH(CW106,"sq",DA$7,"bn",DB$7,"dl",DC$7,"")*IF(DB106&gt;10, DB106/100, VLOOKUP(DB106, _rpe,SUBSTITUTE(DA106,"+","")+1,0)), IF( SWITCH(CW106,"sq",DA$7,"bn",DB$7,"dl", DC$7,"")&lt; IF(_uom="lbs", 175, 80), 1.25, IF(_uom="lbs",5,2.5))))), "")</f>
        <v/>
      </c>
      <c r="DD106" s="148"/>
      <c r="DE106" s="33"/>
      <c r="DF106" s="171"/>
      <c r="DG106" s="124" t="str">
        <f>IFERROR(__xludf.DUMMYFUNCTION("IF(DC106=MAX(FILTER(DC$10:DC$199,LOOKUP(ROW(CW$10:CW$199),FILTER(ROW(CW$10:CW$199),CW$10:CW$199&lt;&gt;CW$9:CW$198))=LOOKUP(ROW(CW106),FILTER(ROW(CW$10:CW$199),CW$10:CW$199&lt;&gt;CW$9:CW$198)))),DD106,)"),"")</f>
        <v/>
      </c>
      <c r="DH106" s="122"/>
      <c r="DI106" s="33"/>
      <c r="DJ106" s="143" t="str">
        <f t="shared" si="23"/>
        <v/>
      </c>
      <c r="DK106" s="38" t="str">
        <f>IFERROR(__xludf.DUMMYFUNCTION("""COMPUTED_VALUE"""),"")</f>
        <v/>
      </c>
      <c r="DL106" s="144">
        <v>46167.0</v>
      </c>
      <c r="DM106" s="167" t="str">
        <f t="shared" ref="DM106:DN106" si="358">IF(ISBLANK(CY106),"",CY106)</f>
        <v/>
      </c>
      <c r="DN106" s="168" t="str">
        <f t="shared" si="358"/>
        <v/>
      </c>
      <c r="DO106" s="169" t="str">
        <f t="shared" si="341"/>
        <v/>
      </c>
      <c r="DP106" s="172" t="str">
        <f t="shared" si="342"/>
        <v/>
      </c>
      <c r="DQ106" s="171" t="str">
        <f t="array" ref="DQ106">IFERROR(IF(DK106="ac"+ISNUMBER(SEARCH("'",DP106))+DO106="","", IF(ISNUMBER(SEARCH("lw",DP106)), DC106 + SUBSTITUTE(DP106,"lw+",""), MROUND(SWITCH(DK106,"sq",DO$7,"bn",DP$7,"dl",DQ$7,"")*IF(DP106&gt;10, DP106/100, VLOOKUP(DP106, _rpe,SUBSTITUTE(DO106,"+","")+1,0)), IF( SWITCH(DK106,"sq",DO$7,"bn",DP$7,"dl", DQ$7,"")&lt; IF(_uom="lbs", 175, 80), 1.25, IF(_uom="lbs",5,2.5))))), "")</f>
        <v/>
      </c>
      <c r="DR106" s="148"/>
      <c r="DS106" s="33"/>
      <c r="DT106" s="171"/>
      <c r="DU106" s="124" t="str">
        <f>IFERROR(__xludf.DUMMYFUNCTION("IF(DQ106=MAX(FILTER(DQ$10:DQ$199,LOOKUP(ROW(DK$10:DK$199),FILTER(ROW(DK$10:DK$199),DK$10:DK$199&lt;&gt;DK$9:DK$198))=LOOKUP(ROW(DK106),FILTER(ROW(DK$10:DK$199),DK$10:DK$199&lt;&gt;DK$9:DK$198)))),DR106,)"),"")</f>
        <v/>
      </c>
      <c r="DV106" s="122"/>
      <c r="DW106" s="33"/>
      <c r="DX106" s="143"/>
      <c r="DY106" s="38"/>
      <c r="DZ106" s="144"/>
      <c r="EA106" s="150"/>
      <c r="EB106" s="174"/>
      <c r="EC106" s="175"/>
      <c r="ED106" s="176"/>
      <c r="EE106" s="155"/>
      <c r="EF106" s="148"/>
      <c r="EG106" s="33"/>
      <c r="EH106" s="155"/>
      <c r="EI106" s="148"/>
      <c r="EJ106" s="33"/>
      <c r="EK106" s="33"/>
      <c r="EL106" s="143"/>
      <c r="EM106" s="38"/>
      <c r="EN106" s="144"/>
      <c r="EO106" s="150"/>
      <c r="EP106" s="174"/>
      <c r="EQ106" s="175"/>
      <c r="ER106" s="176"/>
      <c r="ES106" s="155"/>
      <c r="ET106" s="148"/>
      <c r="EU106" s="33"/>
      <c r="EV106" s="155"/>
      <c r="EW106" s="148"/>
      <c r="EX106" s="33"/>
      <c r="EY106" s="33"/>
      <c r="EZ106" s="143"/>
      <c r="FA106" s="38"/>
      <c r="FB106" s="144"/>
      <c r="FC106" s="150"/>
      <c r="FD106" s="174"/>
      <c r="FE106" s="175"/>
      <c r="FF106" s="176"/>
      <c r="FG106" s="155"/>
      <c r="FH106" s="148"/>
      <c r="FI106" s="33"/>
      <c r="FJ106" s="155"/>
      <c r="FK106" s="148"/>
      <c r="FL106" s="33"/>
      <c r="FM106" s="33"/>
      <c r="FN106" s="143"/>
      <c r="FO106" s="38"/>
      <c r="FP106" s="144"/>
      <c r="FQ106" s="150"/>
      <c r="FR106" s="174"/>
      <c r="FS106" s="175"/>
      <c r="FT106" s="176"/>
      <c r="FU106" s="155"/>
      <c r="FV106" s="148"/>
      <c r="FW106" s="33"/>
      <c r="FX106" s="155"/>
      <c r="FY106" s="148"/>
      <c r="FZ106" s="33"/>
      <c r="GA106" s="33"/>
      <c r="GB106" s="143"/>
      <c r="GC106" s="38"/>
      <c r="GD106" s="144"/>
      <c r="GE106" s="150"/>
      <c r="GF106" s="174"/>
      <c r="GG106" s="175"/>
      <c r="GH106" s="176"/>
      <c r="GI106" s="155"/>
      <c r="GJ106" s="148"/>
      <c r="GK106" s="33"/>
      <c r="GL106" s="155"/>
      <c r="GM106" s="148"/>
      <c r="GN106" s="33"/>
      <c r="GO106" s="33"/>
      <c r="GP106" s="143"/>
      <c r="GQ106" s="38"/>
      <c r="GR106" s="144"/>
      <c r="GS106" s="150"/>
      <c r="GT106" s="174"/>
      <c r="GU106" s="175"/>
      <c r="GV106" s="176"/>
      <c r="GW106" s="155"/>
      <c r="GX106" s="148"/>
      <c r="GY106" s="33"/>
      <c r="GZ106" s="155"/>
      <c r="HA106" s="148"/>
      <c r="HB106" s="33"/>
      <c r="HC106" s="33"/>
      <c r="HD106" s="143"/>
      <c r="HE106" s="38"/>
      <c r="HF106" s="144"/>
      <c r="HG106" s="150"/>
      <c r="HH106" s="174"/>
      <c r="HI106" s="175"/>
      <c r="HJ106" s="176"/>
      <c r="HK106" s="155"/>
      <c r="HL106" s="148"/>
      <c r="HM106" s="33"/>
      <c r="HN106" s="155"/>
      <c r="HO106" s="148"/>
      <c r="HP106" s="33"/>
      <c r="HQ106" s="33"/>
      <c r="HR106" s="143"/>
      <c r="HS106" s="38"/>
      <c r="HT106" s="144"/>
      <c r="HU106" s="150"/>
      <c r="HV106" s="174"/>
      <c r="HW106" s="175"/>
      <c r="HX106" s="176"/>
      <c r="HY106" s="155"/>
      <c r="HZ106" s="148"/>
      <c r="IA106" s="33"/>
      <c r="IB106" s="155"/>
      <c r="IC106" s="148"/>
      <c r="ID106" s="33"/>
      <c r="IE106" s="33"/>
      <c r="IF106" s="143"/>
      <c r="IG106" s="38"/>
      <c r="IH106" s="144"/>
      <c r="II106" s="150"/>
      <c r="IJ106" s="174"/>
      <c r="IK106" s="175"/>
      <c r="IL106" s="176"/>
      <c r="IM106" s="155"/>
      <c r="IN106" s="148"/>
      <c r="IO106" s="33"/>
      <c r="IP106" s="155"/>
      <c r="IQ106" s="148"/>
      <c r="IR106" s="33"/>
      <c r="IS106" s="33"/>
      <c r="IT106" s="143"/>
      <c r="IU106" s="38"/>
      <c r="IV106" s="144"/>
      <c r="IW106" s="143"/>
      <c r="IX106" s="38"/>
      <c r="IY106" s="144" t="e">
        <v>#REF!</v>
      </c>
    </row>
    <row r="107">
      <c r="A107" s="33"/>
      <c r="B107" s="181"/>
      <c r="C107" s="38" t="str">
        <f>IFERROR(__xludf.DUMMYFUNCTION("""COMPUTED_VALUE"""),"")</f>
        <v/>
      </c>
      <c r="D107" s="144">
        <v>46111.0</v>
      </c>
      <c r="E107" s="182"/>
      <c r="F107" s="168"/>
      <c r="G107" s="169"/>
      <c r="H107" s="170"/>
      <c r="I107" s="171" t="str">
        <f t="array" ref="I107">IFERROR(IF(C107="ac"+ISNUMBER(SEARCH("'",H107))+G107="","", MROUND(SWITCH(C107,"sq",'Personal Info'!$O$15,"bn",'Personal Info'!$S$15,"dl",'Personal Info'!$W$15,"")*IF(H107&gt;10, H107/100, VLOOKUP(H107, _rpe,SUBSTITUTE(G107,"+","")+1,0)), IF( SWITCH(C107:C210,"sq",'Personal Info'!$O$15,"bn",'Personal Info'!$S$15,"dl", 'Personal Info'!$W$15,"")&lt; IF(_uom="lbs", 175, 80), 1.25, IF(_uom="lbs",5,2.5)))),"")</f>
        <v/>
      </c>
      <c r="J107" s="148"/>
      <c r="K107" s="33"/>
      <c r="L107" s="171"/>
      <c r="M107" s="124" t="str">
        <f>IFERROR(__xludf.DUMMYFUNCTION("IF(I107=MAX(FILTER(I$10:I$199,LOOKUP(ROW(C$10:C$199),FILTER(ROW(C$10:C$199),C$10:C$199&lt;&gt;C$9:C$198))=LOOKUP(ROW(C107),FILTER(ROW(C$10:C$199),C$10:C$199&lt;&gt;C$9:C$198)))),J107,)"),"")</f>
        <v/>
      </c>
      <c r="N107" s="122"/>
      <c r="O107" s="33"/>
      <c r="P107" s="143" t="str">
        <f t="shared" si="12"/>
        <v/>
      </c>
      <c r="Q107" s="38" t="str">
        <f>IFERROR(__xludf.DUMMYFUNCTION("""COMPUTED_VALUE"""),"")</f>
        <v/>
      </c>
      <c r="R107" s="144">
        <v>46118.0</v>
      </c>
      <c r="S107" s="167" t="str">
        <f t="shared" si="13"/>
        <v/>
      </c>
      <c r="T107" s="168" t="str">
        <f t="shared" si="319"/>
        <v/>
      </c>
      <c r="U107" s="169" t="str">
        <f t="shared" si="320"/>
        <v/>
      </c>
      <c r="V107" s="172" t="str">
        <f t="shared" si="321"/>
        <v/>
      </c>
      <c r="W107" s="171" t="str">
        <f t="array" ref="W107">IFERROR(IF(Q107="ac"+ISNUMBER(SEARCH("'",V107))+U107="","", IF(ISNUMBER(SEARCH("lw",V107)), I107 + SUBSTITUTE(V107,"lw+",""), MROUND(SWITCH(Q107,"sq",U$7,"bn",V$7,"dl",W$7,"")*IF(V107&gt;10, V107/100, VLOOKUP(V107, _rpe,SUBSTITUTE(U107,"+","")+1,0)), IF( SWITCH(Q107,"sq",U$7,"bn",V$7,"dl", W$7,"")&lt; IF(_uom="lbs", 175, 80), 1.25, IF(_uom="lbs",5,2.5))))), "")</f>
        <v/>
      </c>
      <c r="X107" s="148"/>
      <c r="Y107" s="33"/>
      <c r="Z107" s="171"/>
      <c r="AA107" s="124" t="str">
        <f>IFERROR(__xludf.DUMMYFUNCTION("IF(W107=MAX(FILTER(W$10:W$199,LOOKUP(ROW(Q$10:Q$199),FILTER(ROW(Q$10:Q$199),Q$10:Q$199&lt;&gt;Q$9:Q$198))=LOOKUP(ROW(Q107),FILTER(ROW(Q$10:Q$199),Q$10:Q$199&lt;&gt;Q$9:Q$198)))),X107,)"),"")</f>
        <v/>
      </c>
      <c r="AB107" s="122"/>
      <c r="AC107" s="33"/>
      <c r="AD107" s="143" t="str">
        <f t="shared" si="14"/>
        <v/>
      </c>
      <c r="AE107" s="38" t="str">
        <f>IFERROR(__xludf.DUMMYFUNCTION("""COMPUTED_VALUE"""),"")</f>
        <v/>
      </c>
      <c r="AF107" s="144">
        <v>46125.0</v>
      </c>
      <c r="AG107" s="167" t="str">
        <f t="shared" si="54"/>
        <v/>
      </c>
      <c r="AH107" s="168" t="str">
        <f t="shared" si="322"/>
        <v/>
      </c>
      <c r="AI107" s="169" t="str">
        <f t="shared" si="323"/>
        <v/>
      </c>
      <c r="AJ107" s="172" t="str">
        <f t="shared" si="324"/>
        <v/>
      </c>
      <c r="AK107" s="171" t="str">
        <f t="array" ref="AK107">IFERROR(IF(AE107="ac"+ISNUMBER(SEARCH("'",AJ107))+AI107="","", IF(ISNUMBER(SEARCH("lw",AJ107)), W107 + SUBSTITUTE(AJ107,"lw+",""), MROUND(SWITCH(AE107,"sq",AI$7,"bn",AJ$7,"dl",AK$7,"")*IF(AJ107&gt;10, AJ107/100, VLOOKUP(AJ107, _rpe,SUBSTITUTE(AI107,"+","")+1,0)), IF( SWITCH(AE107,"sq",AI$7,"bn",AJ$7,"dl", AK$7,"")&lt; IF(_uom="lbs", 175, 80), 1.25, IF(_uom="lbs",5,2.5))))), "")</f>
        <v/>
      </c>
      <c r="AL107" s="148"/>
      <c r="AM107" s="33"/>
      <c r="AN107" s="171"/>
      <c r="AO107" s="124" t="str">
        <f>IFERROR(__xludf.DUMMYFUNCTION("IF(AK107=MAX(FILTER(AK$10:AK$199,LOOKUP(ROW(AE$10:AE$199),FILTER(ROW(AE$10:AE$199),AE$10:AE$199&lt;&gt;AE$9:AE$198))=LOOKUP(ROW(AE107),FILTER(ROW(AE$10:AE$199),AE$10:AE$199&lt;&gt;AE$9:AE$198)))),AL107,)"),"")</f>
        <v/>
      </c>
      <c r="AP107" s="122"/>
      <c r="AQ107" s="33"/>
      <c r="AR107" s="143" t="str">
        <f t="shared" si="16"/>
        <v/>
      </c>
      <c r="AS107" s="38" t="str">
        <f>IFERROR(__xludf.DUMMYFUNCTION("""COMPUTED_VALUE"""),"")</f>
        <v/>
      </c>
      <c r="AT107" s="144">
        <v>46132.0</v>
      </c>
      <c r="AU107" s="167" t="str">
        <f t="shared" si="26"/>
        <v/>
      </c>
      <c r="AV107" s="168" t="str">
        <f t="shared" si="325"/>
        <v/>
      </c>
      <c r="AW107" s="169" t="str">
        <f t="shared" si="326"/>
        <v/>
      </c>
      <c r="AX107" s="172" t="str">
        <f t="shared" si="327"/>
        <v/>
      </c>
      <c r="AY107" s="171" t="str">
        <f t="array" ref="AY107">IFERROR(IF(AS107="ac"+ISNUMBER(SEARCH("'",AX107))+AW107="","", IF(ISNUMBER(SEARCH("lw",AX107)), AK107 + SUBSTITUTE(AX107,"lw+",""), MROUND(SWITCH(AS107,"sq",AW$7,"bn",AX$7,"dl",AY$7,"")*IF(AX107&gt;10, AX107/100, VLOOKUP(AX107, _rpe,SUBSTITUTE(AW107,"+","")+1,0)), IF( SWITCH(AS107,"sq",AW$7,"bn",AX$7,"dl", AY$7,"")&lt; IF(_uom="lbs", 175, 80), 1.25, IF(_uom="lbs",5,2.5))))), "")</f>
        <v/>
      </c>
      <c r="AZ107" s="148"/>
      <c r="BA107" s="33"/>
      <c r="BB107" s="171"/>
      <c r="BC107" s="124" t="str">
        <f>IFERROR(__xludf.DUMMYFUNCTION("IF(AY107=MAX(FILTER(AY$10:AY$199,LOOKUP(ROW(AS$10:AS$199),FILTER(ROW(AS$10:AS$199),AS$10:AS$199&lt;&gt;AS$9:AS$198))=LOOKUP(ROW(AS107),FILTER(ROW(AS$10:AS$199),AS$10:AS$199&lt;&gt;AS$9:AS$198)))),AZ107,)"),"")</f>
        <v/>
      </c>
      <c r="BD107" s="122"/>
      <c r="BE107" s="33"/>
      <c r="BF107" s="143" t="str">
        <f t="shared" si="17"/>
        <v/>
      </c>
      <c r="BG107" s="38" t="str">
        <f>IFERROR(__xludf.DUMMYFUNCTION("""COMPUTED_VALUE"""),"")</f>
        <v/>
      </c>
      <c r="BH107" s="144">
        <v>46139.0</v>
      </c>
      <c r="BI107" s="167" t="str">
        <f t="shared" si="18"/>
        <v/>
      </c>
      <c r="BJ107" s="168" t="str">
        <f t="shared" si="328"/>
        <v/>
      </c>
      <c r="BK107" s="169" t="str">
        <f t="shared" si="329"/>
        <v/>
      </c>
      <c r="BL107" s="172" t="str">
        <f t="shared" si="330"/>
        <v/>
      </c>
      <c r="BM107" s="171" t="str">
        <f t="array" ref="BM107">IFERROR(IF(BG107="ac"+ISNUMBER(SEARCH("'",BL107))+BK107="","", IF(ISNUMBER(SEARCH("lw",BL107)), AY107 + SUBSTITUTE(BL107,"lw+",""), MROUND(SWITCH(BG107,"sq",BK$7,"bn",BL$7,"dl",BM$7,"")*IF(BL107&gt;10, BL107/100, VLOOKUP(BL107, _rpe,SUBSTITUTE(BK107,"+","")+1,0)), IF( SWITCH(BG107,"sq",BK$7,"bn",BL$7,"dl", BM$7,"")&lt; IF(_uom="lbs", 175, 80), 1.25, IF(_uom="lbs",5,2.5))))), "")</f>
        <v/>
      </c>
      <c r="BN107" s="148"/>
      <c r="BO107" s="33"/>
      <c r="BP107" s="171"/>
      <c r="BQ107" s="124" t="str">
        <f>IFERROR(__xludf.DUMMYFUNCTION("IF(BM107=MAX(FILTER(BM$10:BM$199,LOOKUP(ROW(BG$10:BG$199),FILTER(ROW(BG$10:BG$199),BG$10:BG$199&lt;&gt;BG$9:BG$198))=LOOKUP(ROW(BG107),FILTER(ROW(BG$10:BG$199),BG$10:BG$199&lt;&gt;BG$9:BG$198)))),BN107,)"),"")</f>
        <v/>
      </c>
      <c r="BR107" s="122"/>
      <c r="BS107" s="33"/>
      <c r="BT107" s="143" t="str">
        <f t="shared" si="19"/>
        <v/>
      </c>
      <c r="BU107" s="38" t="str">
        <f>IFERROR(__xludf.DUMMYFUNCTION("""COMPUTED_VALUE"""),"")</f>
        <v/>
      </c>
      <c r="BV107" s="144">
        <v>46146.0</v>
      </c>
      <c r="BW107" s="167" t="str">
        <f t="shared" si="20"/>
        <v/>
      </c>
      <c r="BX107" s="168" t="str">
        <f t="shared" si="331"/>
        <v/>
      </c>
      <c r="BY107" s="169" t="str">
        <f t="shared" si="332"/>
        <v/>
      </c>
      <c r="BZ107" s="172" t="str">
        <f t="shared" si="333"/>
        <v/>
      </c>
      <c r="CA107" s="171" t="str">
        <f t="array" ref="CA107">IFERROR(IF(BU107="ac"+ISNUMBER(SEARCH("'",BZ107))+BY107="","", IF(ISNUMBER(SEARCH("lw",BZ107)), BM107 + SUBSTITUTE(BZ107,"lw+",""), MROUND(SWITCH(BU107,"sq",BY$7,"bn",BZ$7,"dl",CA$7,"")*IF(BZ107&gt;10, BZ107/100, VLOOKUP(BZ107, _rpe,SUBSTITUTE(BY107,"+","")+1,0)), IF( SWITCH(BU107,"sq",BY$7,"bn",BZ$7,"dl", CA$7,"")&lt; IF(_uom="lbs", 175, 80), 1.25, IF(_uom="lbs",5,2.5))))), "")</f>
        <v/>
      </c>
      <c r="CB107" s="148"/>
      <c r="CC107" s="33"/>
      <c r="CD107" s="171"/>
      <c r="CE107" s="124" t="str">
        <f>IFERROR(__xludf.DUMMYFUNCTION("IF(CA107=MAX(FILTER(CA$10:CA$199,LOOKUP(ROW(BU$10:BU$199),FILTER(ROW(BU$10:BU$199),BU$10:BU$199&lt;&gt;BU$9:BU$198))=LOOKUP(ROW(BU107),FILTER(ROW(BU$10:BU$199),BU$10:BU$199&lt;&gt;BU$9:BU$198)))),CB107,)"),"")</f>
        <v/>
      </c>
      <c r="CF107" s="122"/>
      <c r="CG107" s="33"/>
      <c r="CH107" s="143" t="str">
        <f t="shared" si="21"/>
        <v/>
      </c>
      <c r="CI107" s="38" t="str">
        <f>IFERROR(__xludf.DUMMYFUNCTION("""COMPUTED_VALUE"""),"")</f>
        <v/>
      </c>
      <c r="CJ107" s="144">
        <v>46153.0</v>
      </c>
      <c r="CK107" s="167" t="str">
        <f t="shared" si="27"/>
        <v/>
      </c>
      <c r="CL107" s="168" t="str">
        <f t="shared" si="334"/>
        <v/>
      </c>
      <c r="CM107" s="169" t="str">
        <f t="shared" si="335"/>
        <v/>
      </c>
      <c r="CN107" s="172" t="str">
        <f t="shared" si="336"/>
        <v/>
      </c>
      <c r="CO107" s="171" t="str">
        <f t="array" ref="CO107">IFERROR(IF(CI107="ac"+ISNUMBER(SEARCH("'",CN107))+CM107="","", IF(ISNUMBER(SEARCH("lw",CN107)), CA107 + SUBSTITUTE(CN107,"lw+",""), MROUND(SWITCH(CI107,"sq",CM$7,"bn",CN$7,"dl",CO$7,"")*IF(CN107&gt;10, CN107/100, VLOOKUP(CN107, _rpe,SUBSTITUTE(CM107,"+","")+1,0)), IF( SWITCH(CI107,"sq",CM$7,"bn",CN$7,"dl", CO$7,"")&lt; IF(_uom="lbs", 175, 80), 1.25, IF(_uom="lbs",5,2.5))))), "")</f>
        <v/>
      </c>
      <c r="CP107" s="148"/>
      <c r="CQ107" s="33"/>
      <c r="CR107" s="171"/>
      <c r="CS107" s="124" t="str">
        <f>IFERROR(__xludf.DUMMYFUNCTION("IF(CO107=MAX(FILTER(CO$10:CO$199,LOOKUP(ROW(CI$10:CI$199),FILTER(ROW(CI$10:CI$199),CI$10:CI$199&lt;&gt;CI$9:CI$198))=LOOKUP(ROW(CI107),FILTER(ROW(CI$10:CI$199),CI$10:CI$199&lt;&gt;CI$9:CI$198)))),CP107,)"),"")</f>
        <v/>
      </c>
      <c r="CT107" s="122"/>
      <c r="CU107" s="33"/>
      <c r="CV107" s="143" t="str">
        <f t="shared" si="22"/>
        <v/>
      </c>
      <c r="CW107" s="38" t="str">
        <f>IFERROR(__xludf.DUMMYFUNCTION("""COMPUTED_VALUE"""),"")</f>
        <v/>
      </c>
      <c r="CX107" s="144">
        <v>46160.0</v>
      </c>
      <c r="CY107" s="167" t="str">
        <f t="shared" si="28"/>
        <v/>
      </c>
      <c r="CZ107" s="168" t="str">
        <f t="shared" si="337"/>
        <v/>
      </c>
      <c r="DA107" s="169" t="str">
        <f t="shared" si="338"/>
        <v/>
      </c>
      <c r="DB107" s="172" t="str">
        <f t="shared" si="339"/>
        <v/>
      </c>
      <c r="DC107" s="171" t="str">
        <f t="array" ref="DC107">IFERROR(IF(CW107="ac"+ISNUMBER(SEARCH("'",DB107))+DA107="","", IF(ISNUMBER(SEARCH("lw",DB107)), CO107 + SUBSTITUTE(DB107,"lw+",""), MROUND(SWITCH(CW107,"sq",DA$7,"bn",DB$7,"dl",DC$7,"")*IF(DB107&gt;10, DB107/100, VLOOKUP(DB107, _rpe,SUBSTITUTE(DA107,"+","")+1,0)), IF( SWITCH(CW107,"sq",DA$7,"bn",DB$7,"dl", DC$7,"")&lt; IF(_uom="lbs", 175, 80), 1.25, IF(_uom="lbs",5,2.5))))), "")</f>
        <v/>
      </c>
      <c r="DD107" s="148"/>
      <c r="DE107" s="33"/>
      <c r="DF107" s="171"/>
      <c r="DG107" s="124" t="str">
        <f>IFERROR(__xludf.DUMMYFUNCTION("IF(DC107=MAX(FILTER(DC$10:DC$199,LOOKUP(ROW(CW$10:CW$199),FILTER(ROW(CW$10:CW$199),CW$10:CW$199&lt;&gt;CW$9:CW$198))=LOOKUP(ROW(CW107),FILTER(ROW(CW$10:CW$199),CW$10:CW$199&lt;&gt;CW$9:CW$198)))),DD107,)"),"")</f>
        <v/>
      </c>
      <c r="DH107" s="122"/>
      <c r="DI107" s="33"/>
      <c r="DJ107" s="143" t="str">
        <f t="shared" si="23"/>
        <v/>
      </c>
      <c r="DK107" s="38" t="str">
        <f>IFERROR(__xludf.DUMMYFUNCTION("""COMPUTED_VALUE"""),"")</f>
        <v/>
      </c>
      <c r="DL107" s="144">
        <v>46167.0</v>
      </c>
      <c r="DM107" s="167" t="str">
        <f t="shared" ref="DM107:DN107" si="359">IF(ISBLANK(CY107),"",CY107)</f>
        <v/>
      </c>
      <c r="DN107" s="168" t="str">
        <f t="shared" si="359"/>
        <v/>
      </c>
      <c r="DO107" s="169" t="str">
        <f t="shared" si="341"/>
        <v/>
      </c>
      <c r="DP107" s="172" t="str">
        <f t="shared" si="342"/>
        <v/>
      </c>
      <c r="DQ107" s="171" t="str">
        <f t="array" ref="DQ107">IFERROR(IF(DK107="ac"+ISNUMBER(SEARCH("'",DP107))+DO107="","", IF(ISNUMBER(SEARCH("lw",DP107)), DC107 + SUBSTITUTE(DP107,"lw+",""), MROUND(SWITCH(DK107,"sq",DO$7,"bn",DP$7,"dl",DQ$7,"")*IF(DP107&gt;10, DP107/100, VLOOKUP(DP107, _rpe,SUBSTITUTE(DO107,"+","")+1,0)), IF( SWITCH(DK107,"sq",DO$7,"bn",DP$7,"dl", DQ$7,"")&lt; IF(_uom="lbs", 175, 80), 1.25, IF(_uom="lbs",5,2.5))))), "")</f>
        <v/>
      </c>
      <c r="DR107" s="148"/>
      <c r="DS107" s="33"/>
      <c r="DT107" s="171"/>
      <c r="DU107" s="124" t="str">
        <f>IFERROR(__xludf.DUMMYFUNCTION("IF(DQ107=MAX(FILTER(DQ$10:DQ$199,LOOKUP(ROW(DK$10:DK$199),FILTER(ROW(DK$10:DK$199),DK$10:DK$199&lt;&gt;DK$9:DK$198))=LOOKUP(ROW(DK107),FILTER(ROW(DK$10:DK$199),DK$10:DK$199&lt;&gt;DK$9:DK$198)))),DR107,)"),"")</f>
        <v/>
      </c>
      <c r="DV107" s="122"/>
      <c r="DW107" s="33"/>
      <c r="DX107" s="143"/>
      <c r="DY107" s="38"/>
      <c r="DZ107" s="144"/>
      <c r="EA107" s="150"/>
      <c r="EB107" s="174"/>
      <c r="EC107" s="175"/>
      <c r="ED107" s="176"/>
      <c r="EE107" s="155"/>
      <c r="EF107" s="148"/>
      <c r="EG107" s="33"/>
      <c r="EH107" s="155"/>
      <c r="EI107" s="148"/>
      <c r="EJ107" s="33"/>
      <c r="EK107" s="33"/>
      <c r="EL107" s="143"/>
      <c r="EM107" s="38"/>
      <c r="EN107" s="144"/>
      <c r="EO107" s="150"/>
      <c r="EP107" s="174"/>
      <c r="EQ107" s="175"/>
      <c r="ER107" s="176"/>
      <c r="ES107" s="155"/>
      <c r="ET107" s="148"/>
      <c r="EU107" s="33"/>
      <c r="EV107" s="155"/>
      <c r="EW107" s="148"/>
      <c r="EX107" s="33"/>
      <c r="EY107" s="33"/>
      <c r="EZ107" s="143"/>
      <c r="FA107" s="38"/>
      <c r="FB107" s="144"/>
      <c r="FC107" s="150"/>
      <c r="FD107" s="174"/>
      <c r="FE107" s="175"/>
      <c r="FF107" s="176"/>
      <c r="FG107" s="155"/>
      <c r="FH107" s="148"/>
      <c r="FI107" s="33"/>
      <c r="FJ107" s="155"/>
      <c r="FK107" s="148"/>
      <c r="FL107" s="33"/>
      <c r="FM107" s="33"/>
      <c r="FN107" s="143"/>
      <c r="FO107" s="38"/>
      <c r="FP107" s="144"/>
      <c r="FQ107" s="150"/>
      <c r="FR107" s="174"/>
      <c r="FS107" s="175"/>
      <c r="FT107" s="176"/>
      <c r="FU107" s="155"/>
      <c r="FV107" s="148"/>
      <c r="FW107" s="33"/>
      <c r="FX107" s="155"/>
      <c r="FY107" s="148"/>
      <c r="FZ107" s="33"/>
      <c r="GA107" s="33"/>
      <c r="GB107" s="143"/>
      <c r="GC107" s="38"/>
      <c r="GD107" s="144"/>
      <c r="GE107" s="150"/>
      <c r="GF107" s="174"/>
      <c r="GG107" s="175"/>
      <c r="GH107" s="176"/>
      <c r="GI107" s="155"/>
      <c r="GJ107" s="148"/>
      <c r="GK107" s="33"/>
      <c r="GL107" s="155"/>
      <c r="GM107" s="148"/>
      <c r="GN107" s="33"/>
      <c r="GO107" s="33"/>
      <c r="GP107" s="143"/>
      <c r="GQ107" s="38"/>
      <c r="GR107" s="144"/>
      <c r="GS107" s="150"/>
      <c r="GT107" s="174"/>
      <c r="GU107" s="175"/>
      <c r="GV107" s="176"/>
      <c r="GW107" s="155"/>
      <c r="GX107" s="148"/>
      <c r="GY107" s="33"/>
      <c r="GZ107" s="155"/>
      <c r="HA107" s="148"/>
      <c r="HB107" s="33"/>
      <c r="HC107" s="33"/>
      <c r="HD107" s="143"/>
      <c r="HE107" s="38"/>
      <c r="HF107" s="144"/>
      <c r="HG107" s="150"/>
      <c r="HH107" s="174"/>
      <c r="HI107" s="175"/>
      <c r="HJ107" s="176"/>
      <c r="HK107" s="155"/>
      <c r="HL107" s="148"/>
      <c r="HM107" s="33"/>
      <c r="HN107" s="155"/>
      <c r="HO107" s="148"/>
      <c r="HP107" s="33"/>
      <c r="HQ107" s="33"/>
      <c r="HR107" s="143"/>
      <c r="HS107" s="38"/>
      <c r="HT107" s="144"/>
      <c r="HU107" s="150"/>
      <c r="HV107" s="174"/>
      <c r="HW107" s="175"/>
      <c r="HX107" s="176"/>
      <c r="HY107" s="155"/>
      <c r="HZ107" s="148"/>
      <c r="IA107" s="33"/>
      <c r="IB107" s="155"/>
      <c r="IC107" s="148"/>
      <c r="ID107" s="33"/>
      <c r="IE107" s="33"/>
      <c r="IF107" s="143"/>
      <c r="IG107" s="38"/>
      <c r="IH107" s="144"/>
      <c r="II107" s="150"/>
      <c r="IJ107" s="174"/>
      <c r="IK107" s="175"/>
      <c r="IL107" s="176"/>
      <c r="IM107" s="155"/>
      <c r="IN107" s="148"/>
      <c r="IO107" s="33"/>
      <c r="IP107" s="155"/>
      <c r="IQ107" s="148"/>
      <c r="IR107" s="33"/>
      <c r="IS107" s="33"/>
      <c r="IT107" s="143"/>
      <c r="IU107" s="38"/>
      <c r="IV107" s="144"/>
      <c r="IW107" s="143"/>
      <c r="IX107" s="38"/>
      <c r="IY107" s="144" t="e">
        <v>#REF!</v>
      </c>
    </row>
    <row r="108">
      <c r="A108" s="33"/>
      <c r="B108" s="181"/>
      <c r="C108" s="38" t="str">
        <f>IFERROR(__xludf.DUMMYFUNCTION("""COMPUTED_VALUE"""),"")</f>
        <v/>
      </c>
      <c r="D108" s="144">
        <v>46111.0</v>
      </c>
      <c r="E108" s="182"/>
      <c r="F108" s="168"/>
      <c r="G108" s="169"/>
      <c r="H108" s="170"/>
      <c r="I108" s="171" t="str">
        <f t="array" ref="I108">IFERROR(IF(C108="ac"+ISNUMBER(SEARCH("'",H108))+G108="","", MROUND(SWITCH(C108,"sq",'Personal Info'!$O$15,"bn",'Personal Info'!$S$15,"dl",'Personal Info'!$W$15,"")*IF(H108&gt;10, H108/100, VLOOKUP(H108, _rpe,SUBSTITUTE(G108,"+","")+1,0)), IF( SWITCH(C108:C210,"sq",'Personal Info'!$O$15,"bn",'Personal Info'!$S$15,"dl", 'Personal Info'!$W$15,"")&lt; IF(_uom="lbs", 175, 80), 1.25, IF(_uom="lbs",5,2.5)))),"")</f>
        <v/>
      </c>
      <c r="J108" s="148"/>
      <c r="K108" s="33"/>
      <c r="L108" s="171"/>
      <c r="M108" s="124" t="str">
        <f>IFERROR(__xludf.DUMMYFUNCTION("IF(I108=MAX(FILTER(I$10:I$199,LOOKUP(ROW(C$10:C$199),FILTER(ROW(C$10:C$199),C$10:C$199&lt;&gt;C$9:C$198))=LOOKUP(ROW(C108),FILTER(ROW(C$10:C$199),C$10:C$199&lt;&gt;C$9:C$198)))),J108,)"),"")</f>
        <v/>
      </c>
      <c r="N108" s="122"/>
      <c r="O108" s="33"/>
      <c r="P108" s="143" t="str">
        <f t="shared" si="12"/>
        <v/>
      </c>
      <c r="Q108" s="38" t="str">
        <f>IFERROR(__xludf.DUMMYFUNCTION("""COMPUTED_VALUE"""),"")</f>
        <v/>
      </c>
      <c r="R108" s="144">
        <v>46118.0</v>
      </c>
      <c r="S108" s="167" t="str">
        <f t="shared" si="13"/>
        <v/>
      </c>
      <c r="T108" s="168" t="str">
        <f t="shared" si="319"/>
        <v/>
      </c>
      <c r="U108" s="169" t="str">
        <f t="shared" si="320"/>
        <v/>
      </c>
      <c r="V108" s="172" t="str">
        <f t="shared" si="321"/>
        <v/>
      </c>
      <c r="W108" s="171" t="str">
        <f t="array" ref="W108">IFERROR(IF(Q108="ac"+ISNUMBER(SEARCH("'",V108))+U108="","", IF(ISNUMBER(SEARCH("lw",V108)), I108 + SUBSTITUTE(V108,"lw+",""), MROUND(SWITCH(Q108,"sq",U$7,"bn",V$7,"dl",W$7,"")*IF(V108&gt;10, V108/100, VLOOKUP(V108, _rpe,SUBSTITUTE(U108,"+","")+1,0)), IF( SWITCH(Q108,"sq",U$7,"bn",V$7,"dl", W$7,"")&lt; IF(_uom="lbs", 175, 80), 1.25, IF(_uom="lbs",5,2.5))))), "")</f>
        <v/>
      </c>
      <c r="X108" s="148"/>
      <c r="Y108" s="33"/>
      <c r="Z108" s="171"/>
      <c r="AA108" s="124" t="str">
        <f>IFERROR(__xludf.DUMMYFUNCTION("IF(W108=MAX(FILTER(W$10:W$199,LOOKUP(ROW(Q$10:Q$199),FILTER(ROW(Q$10:Q$199),Q$10:Q$199&lt;&gt;Q$9:Q$198))=LOOKUP(ROW(Q108),FILTER(ROW(Q$10:Q$199),Q$10:Q$199&lt;&gt;Q$9:Q$198)))),X108,)"),"")</f>
        <v/>
      </c>
      <c r="AB108" s="122"/>
      <c r="AC108" s="33"/>
      <c r="AD108" s="143" t="str">
        <f t="shared" si="14"/>
        <v/>
      </c>
      <c r="AE108" s="38" t="str">
        <f>IFERROR(__xludf.DUMMYFUNCTION("""COMPUTED_VALUE"""),"")</f>
        <v/>
      </c>
      <c r="AF108" s="144">
        <v>46125.0</v>
      </c>
      <c r="AG108" s="167" t="str">
        <f t="shared" si="54"/>
        <v/>
      </c>
      <c r="AH108" s="168" t="str">
        <f t="shared" si="322"/>
        <v/>
      </c>
      <c r="AI108" s="169" t="str">
        <f t="shared" si="323"/>
        <v/>
      </c>
      <c r="AJ108" s="172" t="str">
        <f t="shared" si="324"/>
        <v/>
      </c>
      <c r="AK108" s="171" t="str">
        <f t="array" ref="AK108">IFERROR(IF(AE108="ac"+ISNUMBER(SEARCH("'",AJ108))+AI108="","", IF(ISNUMBER(SEARCH("lw",AJ108)), W108 + SUBSTITUTE(AJ108,"lw+",""), MROUND(SWITCH(AE108,"sq",AI$7,"bn",AJ$7,"dl",AK$7,"")*IF(AJ108&gt;10, AJ108/100, VLOOKUP(AJ108, _rpe,SUBSTITUTE(AI108,"+","")+1,0)), IF( SWITCH(AE108,"sq",AI$7,"bn",AJ$7,"dl", AK$7,"")&lt; IF(_uom="lbs", 175, 80), 1.25, IF(_uom="lbs",5,2.5))))), "")</f>
        <v/>
      </c>
      <c r="AL108" s="148"/>
      <c r="AM108" s="33"/>
      <c r="AN108" s="171"/>
      <c r="AO108" s="124" t="str">
        <f>IFERROR(__xludf.DUMMYFUNCTION("IF(AK108=MAX(FILTER(AK$10:AK$199,LOOKUP(ROW(AE$10:AE$199),FILTER(ROW(AE$10:AE$199),AE$10:AE$199&lt;&gt;AE$9:AE$198))=LOOKUP(ROW(AE108),FILTER(ROW(AE$10:AE$199),AE$10:AE$199&lt;&gt;AE$9:AE$198)))),AL108,)"),"")</f>
        <v/>
      </c>
      <c r="AP108" s="122"/>
      <c r="AQ108" s="33"/>
      <c r="AR108" s="143" t="str">
        <f t="shared" si="16"/>
        <v/>
      </c>
      <c r="AS108" s="38" t="str">
        <f>IFERROR(__xludf.DUMMYFUNCTION("""COMPUTED_VALUE"""),"")</f>
        <v/>
      </c>
      <c r="AT108" s="144">
        <v>46132.0</v>
      </c>
      <c r="AU108" s="167" t="str">
        <f t="shared" si="26"/>
        <v/>
      </c>
      <c r="AV108" s="168" t="str">
        <f t="shared" si="325"/>
        <v/>
      </c>
      <c r="AW108" s="169" t="str">
        <f t="shared" si="326"/>
        <v/>
      </c>
      <c r="AX108" s="172" t="str">
        <f t="shared" si="327"/>
        <v/>
      </c>
      <c r="AY108" s="171" t="str">
        <f t="array" ref="AY108">IFERROR(IF(AS108="ac"+ISNUMBER(SEARCH("'",AX108))+AW108="","", IF(ISNUMBER(SEARCH("lw",AX108)), AK108 + SUBSTITUTE(AX108,"lw+",""), MROUND(SWITCH(AS108,"sq",AW$7,"bn",AX$7,"dl",AY$7,"")*IF(AX108&gt;10, AX108/100, VLOOKUP(AX108, _rpe,SUBSTITUTE(AW108,"+","")+1,0)), IF( SWITCH(AS108,"sq",AW$7,"bn",AX$7,"dl", AY$7,"")&lt; IF(_uom="lbs", 175, 80), 1.25, IF(_uom="lbs",5,2.5))))), "")</f>
        <v/>
      </c>
      <c r="AZ108" s="148"/>
      <c r="BA108" s="33"/>
      <c r="BB108" s="171"/>
      <c r="BC108" s="124" t="str">
        <f>IFERROR(__xludf.DUMMYFUNCTION("IF(AY108=MAX(FILTER(AY$10:AY$199,LOOKUP(ROW(AS$10:AS$199),FILTER(ROW(AS$10:AS$199),AS$10:AS$199&lt;&gt;AS$9:AS$198))=LOOKUP(ROW(AS108),FILTER(ROW(AS$10:AS$199),AS$10:AS$199&lt;&gt;AS$9:AS$198)))),AZ108,)"),"")</f>
        <v/>
      </c>
      <c r="BD108" s="122"/>
      <c r="BE108" s="33"/>
      <c r="BF108" s="143" t="str">
        <f t="shared" si="17"/>
        <v/>
      </c>
      <c r="BG108" s="38" t="str">
        <f>IFERROR(__xludf.DUMMYFUNCTION("""COMPUTED_VALUE"""),"")</f>
        <v/>
      </c>
      <c r="BH108" s="144">
        <v>46139.0</v>
      </c>
      <c r="BI108" s="167" t="str">
        <f t="shared" si="18"/>
        <v/>
      </c>
      <c r="BJ108" s="168" t="str">
        <f t="shared" si="328"/>
        <v/>
      </c>
      <c r="BK108" s="169" t="str">
        <f t="shared" si="329"/>
        <v/>
      </c>
      <c r="BL108" s="172" t="str">
        <f t="shared" si="330"/>
        <v/>
      </c>
      <c r="BM108" s="171" t="str">
        <f t="array" ref="BM108">IFERROR(IF(BG108="ac"+ISNUMBER(SEARCH("'",BL108))+BK108="","", IF(ISNUMBER(SEARCH("lw",BL108)), AY108 + SUBSTITUTE(BL108,"lw+",""), MROUND(SWITCH(BG108,"sq",BK$7,"bn",BL$7,"dl",BM$7,"")*IF(BL108&gt;10, BL108/100, VLOOKUP(BL108, _rpe,SUBSTITUTE(BK108,"+","")+1,0)), IF( SWITCH(BG108,"sq",BK$7,"bn",BL$7,"dl", BM$7,"")&lt; IF(_uom="lbs", 175, 80), 1.25, IF(_uom="lbs",5,2.5))))), "")</f>
        <v/>
      </c>
      <c r="BN108" s="148"/>
      <c r="BO108" s="33"/>
      <c r="BP108" s="171"/>
      <c r="BQ108" s="124" t="str">
        <f>IFERROR(__xludf.DUMMYFUNCTION("IF(BM108=MAX(FILTER(BM$10:BM$199,LOOKUP(ROW(BG$10:BG$199),FILTER(ROW(BG$10:BG$199),BG$10:BG$199&lt;&gt;BG$9:BG$198))=LOOKUP(ROW(BG108),FILTER(ROW(BG$10:BG$199),BG$10:BG$199&lt;&gt;BG$9:BG$198)))),BN108,)"),"")</f>
        <v/>
      </c>
      <c r="BR108" s="122"/>
      <c r="BS108" s="33"/>
      <c r="BT108" s="143" t="str">
        <f t="shared" si="19"/>
        <v/>
      </c>
      <c r="BU108" s="38" t="str">
        <f>IFERROR(__xludf.DUMMYFUNCTION("""COMPUTED_VALUE"""),"")</f>
        <v/>
      </c>
      <c r="BV108" s="144">
        <v>46146.0</v>
      </c>
      <c r="BW108" s="167" t="str">
        <f t="shared" si="20"/>
        <v/>
      </c>
      <c r="BX108" s="168" t="str">
        <f t="shared" si="331"/>
        <v/>
      </c>
      <c r="BY108" s="169" t="str">
        <f t="shared" si="332"/>
        <v/>
      </c>
      <c r="BZ108" s="172" t="str">
        <f t="shared" si="333"/>
        <v/>
      </c>
      <c r="CA108" s="171" t="str">
        <f t="array" ref="CA108">IFERROR(IF(BU108="ac"+ISNUMBER(SEARCH("'",BZ108))+BY108="","", IF(ISNUMBER(SEARCH("lw",BZ108)), BM108 + SUBSTITUTE(BZ108,"lw+",""), MROUND(SWITCH(BU108,"sq",BY$7,"bn",BZ$7,"dl",CA$7,"")*IF(BZ108&gt;10, BZ108/100, VLOOKUP(BZ108, _rpe,SUBSTITUTE(BY108,"+","")+1,0)), IF( SWITCH(BU108,"sq",BY$7,"bn",BZ$7,"dl", CA$7,"")&lt; IF(_uom="lbs", 175, 80), 1.25, IF(_uom="lbs",5,2.5))))), "")</f>
        <v/>
      </c>
      <c r="CB108" s="148"/>
      <c r="CC108" s="33"/>
      <c r="CD108" s="171"/>
      <c r="CE108" s="124" t="str">
        <f>IFERROR(__xludf.DUMMYFUNCTION("IF(CA108=MAX(FILTER(CA$10:CA$199,LOOKUP(ROW(BU$10:BU$199),FILTER(ROW(BU$10:BU$199),BU$10:BU$199&lt;&gt;BU$9:BU$198))=LOOKUP(ROW(BU108),FILTER(ROW(BU$10:BU$199),BU$10:BU$199&lt;&gt;BU$9:BU$198)))),CB108,)"),"")</f>
        <v/>
      </c>
      <c r="CF108" s="122"/>
      <c r="CG108" s="33"/>
      <c r="CH108" s="143" t="str">
        <f t="shared" si="21"/>
        <v/>
      </c>
      <c r="CI108" s="38" t="str">
        <f>IFERROR(__xludf.DUMMYFUNCTION("""COMPUTED_VALUE"""),"")</f>
        <v/>
      </c>
      <c r="CJ108" s="144">
        <v>46153.0</v>
      </c>
      <c r="CK108" s="167" t="str">
        <f t="shared" si="27"/>
        <v/>
      </c>
      <c r="CL108" s="168" t="str">
        <f t="shared" si="334"/>
        <v/>
      </c>
      <c r="CM108" s="169" t="str">
        <f t="shared" si="335"/>
        <v/>
      </c>
      <c r="CN108" s="172" t="str">
        <f t="shared" si="336"/>
        <v/>
      </c>
      <c r="CO108" s="171" t="str">
        <f t="array" ref="CO108">IFERROR(IF(CI108="ac"+ISNUMBER(SEARCH("'",CN108))+CM108="","", IF(ISNUMBER(SEARCH("lw",CN108)), CA108 + SUBSTITUTE(CN108,"lw+",""), MROUND(SWITCH(CI108,"sq",CM$7,"bn",CN$7,"dl",CO$7,"")*IF(CN108&gt;10, CN108/100, VLOOKUP(CN108, _rpe,SUBSTITUTE(CM108,"+","")+1,0)), IF( SWITCH(CI108,"sq",CM$7,"bn",CN$7,"dl", CO$7,"")&lt; IF(_uom="lbs", 175, 80), 1.25, IF(_uom="lbs",5,2.5))))), "")</f>
        <v/>
      </c>
      <c r="CP108" s="148"/>
      <c r="CQ108" s="33"/>
      <c r="CR108" s="171"/>
      <c r="CS108" s="124" t="str">
        <f>IFERROR(__xludf.DUMMYFUNCTION("IF(CO108=MAX(FILTER(CO$10:CO$199,LOOKUP(ROW(CI$10:CI$199),FILTER(ROW(CI$10:CI$199),CI$10:CI$199&lt;&gt;CI$9:CI$198))=LOOKUP(ROW(CI108),FILTER(ROW(CI$10:CI$199),CI$10:CI$199&lt;&gt;CI$9:CI$198)))),CP108,)"),"")</f>
        <v/>
      </c>
      <c r="CT108" s="122"/>
      <c r="CU108" s="33"/>
      <c r="CV108" s="143" t="str">
        <f t="shared" si="22"/>
        <v/>
      </c>
      <c r="CW108" s="38" t="str">
        <f>IFERROR(__xludf.DUMMYFUNCTION("""COMPUTED_VALUE"""),"")</f>
        <v/>
      </c>
      <c r="CX108" s="144">
        <v>46160.0</v>
      </c>
      <c r="CY108" s="167" t="str">
        <f t="shared" si="28"/>
        <v/>
      </c>
      <c r="CZ108" s="168" t="str">
        <f t="shared" si="337"/>
        <v/>
      </c>
      <c r="DA108" s="169" t="str">
        <f t="shared" si="338"/>
        <v/>
      </c>
      <c r="DB108" s="172" t="str">
        <f t="shared" si="339"/>
        <v/>
      </c>
      <c r="DC108" s="171" t="str">
        <f t="array" ref="DC108">IFERROR(IF(CW108="ac"+ISNUMBER(SEARCH("'",DB108))+DA108="","", IF(ISNUMBER(SEARCH("lw",DB108)), CO108 + SUBSTITUTE(DB108,"lw+",""), MROUND(SWITCH(CW108,"sq",DA$7,"bn",DB$7,"dl",DC$7,"")*IF(DB108&gt;10, DB108/100, VLOOKUP(DB108, _rpe,SUBSTITUTE(DA108,"+","")+1,0)), IF( SWITCH(CW108,"sq",DA$7,"bn",DB$7,"dl", DC$7,"")&lt; IF(_uom="lbs", 175, 80), 1.25, IF(_uom="lbs",5,2.5))))), "")</f>
        <v/>
      </c>
      <c r="DD108" s="148"/>
      <c r="DE108" s="33"/>
      <c r="DF108" s="171"/>
      <c r="DG108" s="124" t="str">
        <f>IFERROR(__xludf.DUMMYFUNCTION("IF(DC108=MAX(FILTER(DC$10:DC$199,LOOKUP(ROW(CW$10:CW$199),FILTER(ROW(CW$10:CW$199),CW$10:CW$199&lt;&gt;CW$9:CW$198))=LOOKUP(ROW(CW108),FILTER(ROW(CW$10:CW$199),CW$10:CW$199&lt;&gt;CW$9:CW$198)))),DD108,)"),"")</f>
        <v/>
      </c>
      <c r="DH108" s="122"/>
      <c r="DI108" s="33"/>
      <c r="DJ108" s="143" t="str">
        <f t="shared" si="23"/>
        <v/>
      </c>
      <c r="DK108" s="38" t="str">
        <f>IFERROR(__xludf.DUMMYFUNCTION("""COMPUTED_VALUE"""),"")</f>
        <v/>
      </c>
      <c r="DL108" s="144">
        <v>46167.0</v>
      </c>
      <c r="DM108" s="167" t="str">
        <f t="shared" ref="DM108:DN108" si="360">IF(ISBLANK(CY108),"",CY108)</f>
        <v/>
      </c>
      <c r="DN108" s="168" t="str">
        <f t="shared" si="360"/>
        <v/>
      </c>
      <c r="DO108" s="169" t="str">
        <f t="shared" si="341"/>
        <v/>
      </c>
      <c r="DP108" s="172" t="str">
        <f t="shared" si="342"/>
        <v/>
      </c>
      <c r="DQ108" s="171" t="str">
        <f t="array" ref="DQ108">IFERROR(IF(DK108="ac"+ISNUMBER(SEARCH("'",DP108))+DO108="","", IF(ISNUMBER(SEARCH("lw",DP108)), DC108 + SUBSTITUTE(DP108,"lw+",""), MROUND(SWITCH(DK108,"sq",DO$7,"bn",DP$7,"dl",DQ$7,"")*IF(DP108&gt;10, DP108/100, VLOOKUP(DP108, _rpe,SUBSTITUTE(DO108,"+","")+1,0)), IF( SWITCH(DK108,"sq",DO$7,"bn",DP$7,"dl", DQ$7,"")&lt; IF(_uom="lbs", 175, 80), 1.25, IF(_uom="lbs",5,2.5))))), "")</f>
        <v/>
      </c>
      <c r="DR108" s="148"/>
      <c r="DS108" s="33"/>
      <c r="DT108" s="171"/>
      <c r="DU108" s="124" t="str">
        <f>IFERROR(__xludf.DUMMYFUNCTION("IF(DQ108=MAX(FILTER(DQ$10:DQ$199,LOOKUP(ROW(DK$10:DK$199),FILTER(ROW(DK$10:DK$199),DK$10:DK$199&lt;&gt;DK$9:DK$198))=LOOKUP(ROW(DK108),FILTER(ROW(DK$10:DK$199),DK$10:DK$199&lt;&gt;DK$9:DK$198)))),DR108,)"),"")</f>
        <v/>
      </c>
      <c r="DV108" s="122"/>
      <c r="DW108" s="33"/>
      <c r="DX108" s="143"/>
      <c r="DY108" s="38"/>
      <c r="DZ108" s="144"/>
      <c r="EA108" s="150"/>
      <c r="EB108" s="174"/>
      <c r="EC108" s="175"/>
      <c r="ED108" s="176"/>
      <c r="EE108" s="155"/>
      <c r="EF108" s="148"/>
      <c r="EG108" s="33"/>
      <c r="EH108" s="155"/>
      <c r="EI108" s="148"/>
      <c r="EJ108" s="33"/>
      <c r="EK108" s="33"/>
      <c r="EL108" s="143"/>
      <c r="EM108" s="38"/>
      <c r="EN108" s="144"/>
      <c r="EO108" s="150"/>
      <c r="EP108" s="174"/>
      <c r="EQ108" s="175"/>
      <c r="ER108" s="176"/>
      <c r="ES108" s="155"/>
      <c r="ET108" s="148"/>
      <c r="EU108" s="33"/>
      <c r="EV108" s="155"/>
      <c r="EW108" s="148"/>
      <c r="EX108" s="33"/>
      <c r="EY108" s="33"/>
      <c r="EZ108" s="143"/>
      <c r="FA108" s="38"/>
      <c r="FB108" s="144"/>
      <c r="FC108" s="150"/>
      <c r="FD108" s="174"/>
      <c r="FE108" s="175"/>
      <c r="FF108" s="176"/>
      <c r="FG108" s="155"/>
      <c r="FH108" s="148"/>
      <c r="FI108" s="33"/>
      <c r="FJ108" s="155"/>
      <c r="FK108" s="148"/>
      <c r="FL108" s="33"/>
      <c r="FM108" s="33"/>
      <c r="FN108" s="143"/>
      <c r="FO108" s="38"/>
      <c r="FP108" s="144"/>
      <c r="FQ108" s="150"/>
      <c r="FR108" s="174"/>
      <c r="FS108" s="175"/>
      <c r="FT108" s="176"/>
      <c r="FU108" s="155"/>
      <c r="FV108" s="148"/>
      <c r="FW108" s="33"/>
      <c r="FX108" s="155"/>
      <c r="FY108" s="148"/>
      <c r="FZ108" s="33"/>
      <c r="GA108" s="33"/>
      <c r="GB108" s="143"/>
      <c r="GC108" s="38"/>
      <c r="GD108" s="144"/>
      <c r="GE108" s="150"/>
      <c r="GF108" s="174"/>
      <c r="GG108" s="175"/>
      <c r="GH108" s="176"/>
      <c r="GI108" s="155"/>
      <c r="GJ108" s="148"/>
      <c r="GK108" s="33"/>
      <c r="GL108" s="155"/>
      <c r="GM108" s="148"/>
      <c r="GN108" s="33"/>
      <c r="GO108" s="33"/>
      <c r="GP108" s="143"/>
      <c r="GQ108" s="38"/>
      <c r="GR108" s="144"/>
      <c r="GS108" s="150"/>
      <c r="GT108" s="174"/>
      <c r="GU108" s="175"/>
      <c r="GV108" s="176"/>
      <c r="GW108" s="155"/>
      <c r="GX108" s="148"/>
      <c r="GY108" s="33"/>
      <c r="GZ108" s="155"/>
      <c r="HA108" s="148"/>
      <c r="HB108" s="33"/>
      <c r="HC108" s="33"/>
      <c r="HD108" s="143"/>
      <c r="HE108" s="38"/>
      <c r="HF108" s="144"/>
      <c r="HG108" s="150"/>
      <c r="HH108" s="174"/>
      <c r="HI108" s="175"/>
      <c r="HJ108" s="176"/>
      <c r="HK108" s="155"/>
      <c r="HL108" s="148"/>
      <c r="HM108" s="33"/>
      <c r="HN108" s="155"/>
      <c r="HO108" s="148"/>
      <c r="HP108" s="33"/>
      <c r="HQ108" s="33"/>
      <c r="HR108" s="143"/>
      <c r="HS108" s="38"/>
      <c r="HT108" s="144"/>
      <c r="HU108" s="150"/>
      <c r="HV108" s="174"/>
      <c r="HW108" s="175"/>
      <c r="HX108" s="176"/>
      <c r="HY108" s="155"/>
      <c r="HZ108" s="148"/>
      <c r="IA108" s="33"/>
      <c r="IB108" s="155"/>
      <c r="IC108" s="148"/>
      <c r="ID108" s="33"/>
      <c r="IE108" s="33"/>
      <c r="IF108" s="143"/>
      <c r="IG108" s="38"/>
      <c r="IH108" s="144"/>
      <c r="II108" s="150"/>
      <c r="IJ108" s="174"/>
      <c r="IK108" s="175"/>
      <c r="IL108" s="176"/>
      <c r="IM108" s="155"/>
      <c r="IN108" s="148"/>
      <c r="IO108" s="33"/>
      <c r="IP108" s="155"/>
      <c r="IQ108" s="148"/>
      <c r="IR108" s="33"/>
      <c r="IS108" s="33"/>
      <c r="IT108" s="143"/>
      <c r="IU108" s="38"/>
      <c r="IV108" s="144"/>
      <c r="IW108" s="143"/>
      <c r="IX108" s="38"/>
      <c r="IY108" s="144" t="e">
        <v>#REF!</v>
      </c>
    </row>
    <row r="109">
      <c r="A109" s="33"/>
      <c r="B109" s="181"/>
      <c r="C109" s="38" t="str">
        <f>IFERROR(__xludf.DUMMYFUNCTION("""COMPUTED_VALUE"""),"")</f>
        <v/>
      </c>
      <c r="D109" s="144">
        <v>46111.0</v>
      </c>
      <c r="E109" s="182"/>
      <c r="F109" s="168"/>
      <c r="G109" s="169"/>
      <c r="H109" s="170"/>
      <c r="I109" s="171" t="str">
        <f t="array" ref="I109">IFERROR(IF(C109="ac"+ISNUMBER(SEARCH("'",H109))+G109="","", MROUND(SWITCH(C109,"sq",'Personal Info'!$O$15,"bn",'Personal Info'!$S$15,"dl",'Personal Info'!$W$15,"")*IF(H109&gt;10, H109/100, VLOOKUP(H109, _rpe,SUBSTITUTE(G109,"+","")+1,0)), IF( SWITCH(C109:C210,"sq",'Personal Info'!$O$15,"bn",'Personal Info'!$S$15,"dl", 'Personal Info'!$W$15,"")&lt; IF(_uom="lbs", 175, 80), 1.25, IF(_uom="lbs",5,2.5)))),"")</f>
        <v/>
      </c>
      <c r="J109" s="148"/>
      <c r="K109" s="33"/>
      <c r="L109" s="171"/>
      <c r="M109" s="124" t="str">
        <f>IFERROR(__xludf.DUMMYFUNCTION("IF(I109=MAX(FILTER(I$10:I$199,LOOKUP(ROW(C$10:C$199),FILTER(ROW(C$10:C$199),C$10:C$199&lt;&gt;C$9:C$198))=LOOKUP(ROW(C109),FILTER(ROW(C$10:C$199),C$10:C$199&lt;&gt;C$9:C$198)))),J109,)"),"")</f>
        <v/>
      </c>
      <c r="N109" s="122"/>
      <c r="O109" s="33"/>
      <c r="P109" s="143" t="str">
        <f t="shared" si="12"/>
        <v/>
      </c>
      <c r="Q109" s="38" t="str">
        <f>IFERROR(__xludf.DUMMYFUNCTION("""COMPUTED_VALUE"""),"")</f>
        <v/>
      </c>
      <c r="R109" s="144">
        <v>46118.0</v>
      </c>
      <c r="S109" s="167" t="str">
        <f t="shared" si="13"/>
        <v/>
      </c>
      <c r="T109" s="168" t="str">
        <f t="shared" si="319"/>
        <v/>
      </c>
      <c r="U109" s="169" t="str">
        <f t="shared" si="320"/>
        <v/>
      </c>
      <c r="V109" s="172" t="str">
        <f t="shared" si="321"/>
        <v/>
      </c>
      <c r="W109" s="171" t="str">
        <f t="array" ref="W109">IFERROR(IF(Q109="ac"+ISNUMBER(SEARCH("'",V109))+U109="","", IF(ISNUMBER(SEARCH("lw",V109)), I109 + SUBSTITUTE(V109,"lw+",""), MROUND(SWITCH(Q109,"sq",U$7,"bn",V$7,"dl",W$7,"")*IF(V109&gt;10, V109/100, VLOOKUP(V109, _rpe,SUBSTITUTE(U109,"+","")+1,0)), IF( SWITCH(Q109,"sq",U$7,"bn",V$7,"dl", W$7,"")&lt; IF(_uom="lbs", 175, 80), 1.25, IF(_uom="lbs",5,2.5))))), "")</f>
        <v/>
      </c>
      <c r="X109" s="148"/>
      <c r="Y109" s="33"/>
      <c r="Z109" s="171"/>
      <c r="AA109" s="124" t="str">
        <f>IFERROR(__xludf.DUMMYFUNCTION("IF(W109=MAX(FILTER(W$10:W$199,LOOKUP(ROW(Q$10:Q$199),FILTER(ROW(Q$10:Q$199),Q$10:Q$199&lt;&gt;Q$9:Q$198))=LOOKUP(ROW(Q109),FILTER(ROW(Q$10:Q$199),Q$10:Q$199&lt;&gt;Q$9:Q$198)))),X109,)"),"")</f>
        <v/>
      </c>
      <c r="AB109" s="122"/>
      <c r="AC109" s="33"/>
      <c r="AD109" s="143" t="str">
        <f t="shared" si="14"/>
        <v/>
      </c>
      <c r="AE109" s="38" t="str">
        <f>IFERROR(__xludf.DUMMYFUNCTION("""COMPUTED_VALUE"""),"")</f>
        <v/>
      </c>
      <c r="AF109" s="144">
        <v>46125.0</v>
      </c>
      <c r="AG109" s="167" t="str">
        <f t="shared" si="54"/>
        <v/>
      </c>
      <c r="AH109" s="168" t="str">
        <f t="shared" si="322"/>
        <v/>
      </c>
      <c r="AI109" s="169" t="str">
        <f t="shared" si="323"/>
        <v/>
      </c>
      <c r="AJ109" s="172" t="str">
        <f t="shared" si="324"/>
        <v/>
      </c>
      <c r="AK109" s="171" t="str">
        <f t="array" ref="AK109">IFERROR(IF(AE109="ac"+ISNUMBER(SEARCH("'",AJ109))+AI109="","", IF(ISNUMBER(SEARCH("lw",AJ109)), W109 + SUBSTITUTE(AJ109,"lw+",""), MROUND(SWITCH(AE109,"sq",AI$7,"bn",AJ$7,"dl",AK$7,"")*IF(AJ109&gt;10, AJ109/100, VLOOKUP(AJ109, _rpe,SUBSTITUTE(AI109,"+","")+1,0)), IF( SWITCH(AE109,"sq",AI$7,"bn",AJ$7,"dl", AK$7,"")&lt; IF(_uom="lbs", 175, 80), 1.25, IF(_uom="lbs",5,2.5))))), "")</f>
        <v/>
      </c>
      <c r="AL109" s="148"/>
      <c r="AM109" s="33"/>
      <c r="AN109" s="171"/>
      <c r="AO109" s="124" t="str">
        <f>IFERROR(__xludf.DUMMYFUNCTION("IF(AK109=MAX(FILTER(AK$10:AK$199,LOOKUP(ROW(AE$10:AE$199),FILTER(ROW(AE$10:AE$199),AE$10:AE$199&lt;&gt;AE$9:AE$198))=LOOKUP(ROW(AE109),FILTER(ROW(AE$10:AE$199),AE$10:AE$199&lt;&gt;AE$9:AE$198)))),AL109,)"),"")</f>
        <v/>
      </c>
      <c r="AP109" s="122"/>
      <c r="AQ109" s="33"/>
      <c r="AR109" s="143" t="str">
        <f t="shared" si="16"/>
        <v/>
      </c>
      <c r="AS109" s="38" t="str">
        <f>IFERROR(__xludf.DUMMYFUNCTION("""COMPUTED_VALUE"""),"")</f>
        <v/>
      </c>
      <c r="AT109" s="144">
        <v>46132.0</v>
      </c>
      <c r="AU109" s="167" t="str">
        <f t="shared" si="26"/>
        <v/>
      </c>
      <c r="AV109" s="168" t="str">
        <f t="shared" si="325"/>
        <v/>
      </c>
      <c r="AW109" s="169" t="str">
        <f t="shared" si="326"/>
        <v/>
      </c>
      <c r="AX109" s="172" t="str">
        <f t="shared" si="327"/>
        <v/>
      </c>
      <c r="AY109" s="171" t="str">
        <f t="array" ref="AY109">IFERROR(IF(AS109="ac"+ISNUMBER(SEARCH("'",AX109))+AW109="","", IF(ISNUMBER(SEARCH("lw",AX109)), AK109 + SUBSTITUTE(AX109,"lw+",""), MROUND(SWITCH(AS109,"sq",AW$7,"bn",AX$7,"dl",AY$7,"")*IF(AX109&gt;10, AX109/100, VLOOKUP(AX109, _rpe,SUBSTITUTE(AW109,"+","")+1,0)), IF( SWITCH(AS109,"sq",AW$7,"bn",AX$7,"dl", AY$7,"")&lt; IF(_uom="lbs", 175, 80), 1.25, IF(_uom="lbs",5,2.5))))), "")</f>
        <v/>
      </c>
      <c r="AZ109" s="148"/>
      <c r="BA109" s="33"/>
      <c r="BB109" s="171"/>
      <c r="BC109" s="124" t="str">
        <f>IFERROR(__xludf.DUMMYFUNCTION("IF(AY109=MAX(FILTER(AY$10:AY$199,LOOKUP(ROW(AS$10:AS$199),FILTER(ROW(AS$10:AS$199),AS$10:AS$199&lt;&gt;AS$9:AS$198))=LOOKUP(ROW(AS109),FILTER(ROW(AS$10:AS$199),AS$10:AS$199&lt;&gt;AS$9:AS$198)))),AZ109,)"),"")</f>
        <v/>
      </c>
      <c r="BD109" s="122"/>
      <c r="BE109" s="33"/>
      <c r="BF109" s="143" t="str">
        <f t="shared" si="17"/>
        <v/>
      </c>
      <c r="BG109" s="38" t="str">
        <f>IFERROR(__xludf.DUMMYFUNCTION("""COMPUTED_VALUE"""),"")</f>
        <v/>
      </c>
      <c r="BH109" s="144">
        <v>46139.0</v>
      </c>
      <c r="BI109" s="167" t="str">
        <f t="shared" si="18"/>
        <v/>
      </c>
      <c r="BJ109" s="168" t="str">
        <f t="shared" si="328"/>
        <v/>
      </c>
      <c r="BK109" s="169" t="str">
        <f t="shared" si="329"/>
        <v/>
      </c>
      <c r="BL109" s="172" t="str">
        <f t="shared" si="330"/>
        <v/>
      </c>
      <c r="BM109" s="171" t="str">
        <f t="array" ref="BM109">IFERROR(IF(BG109="ac"+ISNUMBER(SEARCH("'",BL109))+BK109="","", IF(ISNUMBER(SEARCH("lw",BL109)), AY109 + SUBSTITUTE(BL109,"lw+",""), MROUND(SWITCH(BG109,"sq",BK$7,"bn",BL$7,"dl",BM$7,"")*IF(BL109&gt;10, BL109/100, VLOOKUP(BL109, _rpe,SUBSTITUTE(BK109,"+","")+1,0)), IF( SWITCH(BG109,"sq",BK$7,"bn",BL$7,"dl", BM$7,"")&lt; IF(_uom="lbs", 175, 80), 1.25, IF(_uom="lbs",5,2.5))))), "")</f>
        <v/>
      </c>
      <c r="BN109" s="148"/>
      <c r="BO109" s="33"/>
      <c r="BP109" s="171"/>
      <c r="BQ109" s="124" t="str">
        <f>IFERROR(__xludf.DUMMYFUNCTION("IF(BM109=MAX(FILTER(BM$10:BM$199,LOOKUP(ROW(BG$10:BG$199),FILTER(ROW(BG$10:BG$199),BG$10:BG$199&lt;&gt;BG$9:BG$198))=LOOKUP(ROW(BG109),FILTER(ROW(BG$10:BG$199),BG$10:BG$199&lt;&gt;BG$9:BG$198)))),BN109,)"),"")</f>
        <v/>
      </c>
      <c r="BR109" s="122"/>
      <c r="BS109" s="33"/>
      <c r="BT109" s="143" t="str">
        <f t="shared" si="19"/>
        <v/>
      </c>
      <c r="BU109" s="38" t="str">
        <f>IFERROR(__xludf.DUMMYFUNCTION("""COMPUTED_VALUE"""),"")</f>
        <v/>
      </c>
      <c r="BV109" s="144">
        <v>46146.0</v>
      </c>
      <c r="BW109" s="167" t="str">
        <f t="shared" si="20"/>
        <v/>
      </c>
      <c r="BX109" s="168" t="str">
        <f t="shared" si="331"/>
        <v/>
      </c>
      <c r="BY109" s="169" t="str">
        <f t="shared" si="332"/>
        <v/>
      </c>
      <c r="BZ109" s="172" t="str">
        <f t="shared" si="333"/>
        <v/>
      </c>
      <c r="CA109" s="171" t="str">
        <f t="array" ref="CA109">IFERROR(IF(BU109="ac"+ISNUMBER(SEARCH("'",BZ109))+BY109="","", IF(ISNUMBER(SEARCH("lw",BZ109)), BM109 + SUBSTITUTE(BZ109,"lw+",""), MROUND(SWITCH(BU109,"sq",BY$7,"bn",BZ$7,"dl",CA$7,"")*IF(BZ109&gt;10, BZ109/100, VLOOKUP(BZ109, _rpe,SUBSTITUTE(BY109,"+","")+1,0)), IF( SWITCH(BU109,"sq",BY$7,"bn",BZ$7,"dl", CA$7,"")&lt; IF(_uom="lbs", 175, 80), 1.25, IF(_uom="lbs",5,2.5))))), "")</f>
        <v/>
      </c>
      <c r="CB109" s="148"/>
      <c r="CC109" s="33"/>
      <c r="CD109" s="171"/>
      <c r="CE109" s="124" t="str">
        <f>IFERROR(__xludf.DUMMYFUNCTION("IF(CA109=MAX(FILTER(CA$10:CA$199,LOOKUP(ROW(BU$10:BU$199),FILTER(ROW(BU$10:BU$199),BU$10:BU$199&lt;&gt;BU$9:BU$198))=LOOKUP(ROW(BU109),FILTER(ROW(BU$10:BU$199),BU$10:BU$199&lt;&gt;BU$9:BU$198)))),CB109,)"),"")</f>
        <v/>
      </c>
      <c r="CF109" s="122"/>
      <c r="CG109" s="33"/>
      <c r="CH109" s="143" t="str">
        <f t="shared" si="21"/>
        <v/>
      </c>
      <c r="CI109" s="38" t="str">
        <f>IFERROR(__xludf.DUMMYFUNCTION("""COMPUTED_VALUE"""),"")</f>
        <v/>
      </c>
      <c r="CJ109" s="144">
        <v>46153.0</v>
      </c>
      <c r="CK109" s="167" t="str">
        <f t="shared" si="27"/>
        <v/>
      </c>
      <c r="CL109" s="168" t="str">
        <f t="shared" si="334"/>
        <v/>
      </c>
      <c r="CM109" s="169" t="str">
        <f t="shared" si="335"/>
        <v/>
      </c>
      <c r="CN109" s="172" t="str">
        <f t="shared" si="336"/>
        <v/>
      </c>
      <c r="CO109" s="171" t="str">
        <f t="array" ref="CO109">IFERROR(IF(CI109="ac"+ISNUMBER(SEARCH("'",CN109))+CM109="","", IF(ISNUMBER(SEARCH("lw",CN109)), CA109 + SUBSTITUTE(CN109,"lw+",""), MROUND(SWITCH(CI109,"sq",CM$7,"bn",CN$7,"dl",CO$7,"")*IF(CN109&gt;10, CN109/100, VLOOKUP(CN109, _rpe,SUBSTITUTE(CM109,"+","")+1,0)), IF( SWITCH(CI109,"sq",CM$7,"bn",CN$7,"dl", CO$7,"")&lt; IF(_uom="lbs", 175, 80), 1.25, IF(_uom="lbs",5,2.5))))), "")</f>
        <v/>
      </c>
      <c r="CP109" s="148"/>
      <c r="CQ109" s="33"/>
      <c r="CR109" s="171"/>
      <c r="CS109" s="124" t="str">
        <f>IFERROR(__xludf.DUMMYFUNCTION("IF(CO109=MAX(FILTER(CO$10:CO$199,LOOKUP(ROW(CI$10:CI$199),FILTER(ROW(CI$10:CI$199),CI$10:CI$199&lt;&gt;CI$9:CI$198))=LOOKUP(ROW(CI109),FILTER(ROW(CI$10:CI$199),CI$10:CI$199&lt;&gt;CI$9:CI$198)))),CP109,)"),"")</f>
        <v/>
      </c>
      <c r="CT109" s="122"/>
      <c r="CU109" s="33"/>
      <c r="CV109" s="143" t="str">
        <f t="shared" si="22"/>
        <v/>
      </c>
      <c r="CW109" s="38" t="str">
        <f>IFERROR(__xludf.DUMMYFUNCTION("""COMPUTED_VALUE"""),"")</f>
        <v/>
      </c>
      <c r="CX109" s="144">
        <v>46160.0</v>
      </c>
      <c r="CY109" s="167" t="str">
        <f t="shared" si="28"/>
        <v/>
      </c>
      <c r="CZ109" s="168" t="str">
        <f t="shared" si="337"/>
        <v/>
      </c>
      <c r="DA109" s="169" t="str">
        <f t="shared" si="338"/>
        <v/>
      </c>
      <c r="DB109" s="172" t="str">
        <f t="shared" si="339"/>
        <v/>
      </c>
      <c r="DC109" s="171" t="str">
        <f t="array" ref="DC109">IFERROR(IF(CW109="ac"+ISNUMBER(SEARCH("'",DB109))+DA109="","", IF(ISNUMBER(SEARCH("lw",DB109)), CO109 + SUBSTITUTE(DB109,"lw+",""), MROUND(SWITCH(CW109,"sq",DA$7,"bn",DB$7,"dl",DC$7,"")*IF(DB109&gt;10, DB109/100, VLOOKUP(DB109, _rpe,SUBSTITUTE(DA109,"+","")+1,0)), IF( SWITCH(CW109,"sq",DA$7,"bn",DB$7,"dl", DC$7,"")&lt; IF(_uom="lbs", 175, 80), 1.25, IF(_uom="lbs",5,2.5))))), "")</f>
        <v/>
      </c>
      <c r="DD109" s="148"/>
      <c r="DE109" s="33"/>
      <c r="DF109" s="171"/>
      <c r="DG109" s="124" t="str">
        <f>IFERROR(__xludf.DUMMYFUNCTION("IF(DC109=MAX(FILTER(DC$10:DC$199,LOOKUP(ROW(CW$10:CW$199),FILTER(ROW(CW$10:CW$199),CW$10:CW$199&lt;&gt;CW$9:CW$198))=LOOKUP(ROW(CW109),FILTER(ROW(CW$10:CW$199),CW$10:CW$199&lt;&gt;CW$9:CW$198)))),DD109,)"),"")</f>
        <v/>
      </c>
      <c r="DH109" s="122"/>
      <c r="DI109" s="33"/>
      <c r="DJ109" s="143" t="str">
        <f t="shared" si="23"/>
        <v/>
      </c>
      <c r="DK109" s="38" t="str">
        <f>IFERROR(__xludf.DUMMYFUNCTION("""COMPUTED_VALUE"""),"")</f>
        <v/>
      </c>
      <c r="DL109" s="144">
        <v>46167.0</v>
      </c>
      <c r="DM109" s="167" t="str">
        <f t="shared" ref="DM109:DN109" si="361">IF(ISBLANK(CY109),"",CY109)</f>
        <v/>
      </c>
      <c r="DN109" s="168" t="str">
        <f t="shared" si="361"/>
        <v/>
      </c>
      <c r="DO109" s="169" t="str">
        <f t="shared" si="341"/>
        <v/>
      </c>
      <c r="DP109" s="172" t="str">
        <f t="shared" si="342"/>
        <v/>
      </c>
      <c r="DQ109" s="171" t="str">
        <f t="array" ref="DQ109">IFERROR(IF(DK109="ac"+ISNUMBER(SEARCH("'",DP109))+DO109="","", IF(ISNUMBER(SEARCH("lw",DP109)), DC109 + SUBSTITUTE(DP109,"lw+",""), MROUND(SWITCH(DK109,"sq",DO$7,"bn",DP$7,"dl",DQ$7,"")*IF(DP109&gt;10, DP109/100, VLOOKUP(DP109, _rpe,SUBSTITUTE(DO109,"+","")+1,0)), IF( SWITCH(DK109,"sq",DO$7,"bn",DP$7,"dl", DQ$7,"")&lt; IF(_uom="lbs", 175, 80), 1.25, IF(_uom="lbs",5,2.5))))), "")</f>
        <v/>
      </c>
      <c r="DR109" s="148"/>
      <c r="DS109" s="33"/>
      <c r="DT109" s="171"/>
      <c r="DU109" s="124" t="str">
        <f>IFERROR(__xludf.DUMMYFUNCTION("IF(DQ109=MAX(FILTER(DQ$10:DQ$199,LOOKUP(ROW(DK$10:DK$199),FILTER(ROW(DK$10:DK$199),DK$10:DK$199&lt;&gt;DK$9:DK$198))=LOOKUP(ROW(DK109),FILTER(ROW(DK$10:DK$199),DK$10:DK$199&lt;&gt;DK$9:DK$198)))),DR109,)"),"")</f>
        <v/>
      </c>
      <c r="DV109" s="122"/>
      <c r="DW109" s="33"/>
      <c r="DX109" s="143"/>
      <c r="DY109" s="38"/>
      <c r="DZ109" s="144"/>
      <c r="EA109" s="150"/>
      <c r="EB109" s="174"/>
      <c r="EC109" s="175"/>
      <c r="ED109" s="176"/>
      <c r="EE109" s="155"/>
      <c r="EF109" s="148"/>
      <c r="EG109" s="33"/>
      <c r="EH109" s="155"/>
      <c r="EI109" s="148"/>
      <c r="EJ109" s="33"/>
      <c r="EK109" s="33"/>
      <c r="EL109" s="143"/>
      <c r="EM109" s="38"/>
      <c r="EN109" s="144"/>
      <c r="EO109" s="150"/>
      <c r="EP109" s="174"/>
      <c r="EQ109" s="175"/>
      <c r="ER109" s="176"/>
      <c r="ES109" s="155"/>
      <c r="ET109" s="148"/>
      <c r="EU109" s="33"/>
      <c r="EV109" s="155"/>
      <c r="EW109" s="148"/>
      <c r="EX109" s="33"/>
      <c r="EY109" s="33"/>
      <c r="EZ109" s="143"/>
      <c r="FA109" s="38"/>
      <c r="FB109" s="144"/>
      <c r="FC109" s="150"/>
      <c r="FD109" s="174"/>
      <c r="FE109" s="175"/>
      <c r="FF109" s="176"/>
      <c r="FG109" s="155"/>
      <c r="FH109" s="148"/>
      <c r="FI109" s="33"/>
      <c r="FJ109" s="155"/>
      <c r="FK109" s="148"/>
      <c r="FL109" s="33"/>
      <c r="FM109" s="33"/>
      <c r="FN109" s="143"/>
      <c r="FO109" s="38"/>
      <c r="FP109" s="144"/>
      <c r="FQ109" s="150"/>
      <c r="FR109" s="174"/>
      <c r="FS109" s="175"/>
      <c r="FT109" s="176"/>
      <c r="FU109" s="155"/>
      <c r="FV109" s="148"/>
      <c r="FW109" s="33"/>
      <c r="FX109" s="155"/>
      <c r="FY109" s="148"/>
      <c r="FZ109" s="33"/>
      <c r="GA109" s="33"/>
      <c r="GB109" s="143"/>
      <c r="GC109" s="38"/>
      <c r="GD109" s="144"/>
      <c r="GE109" s="150"/>
      <c r="GF109" s="174"/>
      <c r="GG109" s="175"/>
      <c r="GH109" s="176"/>
      <c r="GI109" s="155"/>
      <c r="GJ109" s="148"/>
      <c r="GK109" s="33"/>
      <c r="GL109" s="155"/>
      <c r="GM109" s="148"/>
      <c r="GN109" s="33"/>
      <c r="GO109" s="33"/>
      <c r="GP109" s="143"/>
      <c r="GQ109" s="38"/>
      <c r="GR109" s="144"/>
      <c r="GS109" s="150"/>
      <c r="GT109" s="174"/>
      <c r="GU109" s="175"/>
      <c r="GV109" s="176"/>
      <c r="GW109" s="155"/>
      <c r="GX109" s="148"/>
      <c r="GY109" s="33"/>
      <c r="GZ109" s="155"/>
      <c r="HA109" s="148"/>
      <c r="HB109" s="33"/>
      <c r="HC109" s="33"/>
      <c r="HD109" s="143"/>
      <c r="HE109" s="38"/>
      <c r="HF109" s="144"/>
      <c r="HG109" s="150"/>
      <c r="HH109" s="174"/>
      <c r="HI109" s="175"/>
      <c r="HJ109" s="176"/>
      <c r="HK109" s="155"/>
      <c r="HL109" s="148"/>
      <c r="HM109" s="33"/>
      <c r="HN109" s="155"/>
      <c r="HO109" s="148"/>
      <c r="HP109" s="33"/>
      <c r="HQ109" s="33"/>
      <c r="HR109" s="143"/>
      <c r="HS109" s="38"/>
      <c r="HT109" s="144"/>
      <c r="HU109" s="150"/>
      <c r="HV109" s="174"/>
      <c r="HW109" s="175"/>
      <c r="HX109" s="176"/>
      <c r="HY109" s="155"/>
      <c r="HZ109" s="148"/>
      <c r="IA109" s="33"/>
      <c r="IB109" s="155"/>
      <c r="IC109" s="148"/>
      <c r="ID109" s="33"/>
      <c r="IE109" s="33"/>
      <c r="IF109" s="143"/>
      <c r="IG109" s="38"/>
      <c r="IH109" s="144"/>
      <c r="II109" s="150"/>
      <c r="IJ109" s="174"/>
      <c r="IK109" s="175"/>
      <c r="IL109" s="176"/>
      <c r="IM109" s="155"/>
      <c r="IN109" s="148"/>
      <c r="IO109" s="33"/>
      <c r="IP109" s="155"/>
      <c r="IQ109" s="148"/>
      <c r="IR109" s="33"/>
      <c r="IS109" s="33"/>
      <c r="IT109" s="143"/>
      <c r="IU109" s="38"/>
      <c r="IV109" s="144"/>
      <c r="IW109" s="143"/>
      <c r="IX109" s="38"/>
      <c r="IY109" s="144" t="e">
        <v>#REF!</v>
      </c>
    </row>
    <row r="110">
      <c r="A110" s="33"/>
      <c r="B110" s="181"/>
      <c r="C110" s="38" t="str">
        <f>IFERROR(__xludf.DUMMYFUNCTION("""COMPUTED_VALUE"""),"")</f>
        <v/>
      </c>
      <c r="D110" s="144">
        <v>46111.0</v>
      </c>
      <c r="E110" s="167"/>
      <c r="F110" s="168"/>
      <c r="G110" s="169"/>
      <c r="H110" s="170"/>
      <c r="I110" s="171" t="str">
        <f t="array" ref="I110">IFERROR(IF(C110="ac"+ISNUMBER(SEARCH("'",H110))+G110="","", MROUND(SWITCH(C110,"sq",'Personal Info'!$O$15,"bn",'Personal Info'!$S$15,"dl",'Personal Info'!$W$15,"")*IF(H110&gt;10, H110/100, VLOOKUP(H110, _rpe,SUBSTITUTE(G110,"+","")+1,0)), IF( SWITCH(C110:C210,"sq",'Personal Info'!$O$15,"bn",'Personal Info'!$S$15,"dl", 'Personal Info'!$W$15,"")&lt; IF(_uom="lbs", 175, 80), 1.25, IF(_uom="lbs",5,2.5)))),"")</f>
        <v/>
      </c>
      <c r="J110" s="148"/>
      <c r="K110" s="33"/>
      <c r="L110" s="171"/>
      <c r="M110" s="124" t="str">
        <f>IFERROR(__xludf.DUMMYFUNCTION("IF(I110=MAX(FILTER(I$10:I$199,LOOKUP(ROW(C$10:C$199),FILTER(ROW(C$10:C$199),C$10:C$199&lt;&gt;C$9:C$198))=LOOKUP(ROW(C110),FILTER(ROW(C$10:C$199),C$10:C$199&lt;&gt;C$9:C$198)))),J110,)"),"")</f>
        <v/>
      </c>
      <c r="N110" s="122"/>
      <c r="O110" s="33"/>
      <c r="P110" s="143" t="str">
        <f t="shared" si="12"/>
        <v/>
      </c>
      <c r="Q110" s="38" t="str">
        <f>IFERROR(__xludf.DUMMYFUNCTION("""COMPUTED_VALUE"""),"")</f>
        <v/>
      </c>
      <c r="R110" s="144">
        <v>46118.0</v>
      </c>
      <c r="S110" s="167" t="str">
        <f t="shared" si="13"/>
        <v/>
      </c>
      <c r="T110" s="168" t="str">
        <f t="shared" si="319"/>
        <v/>
      </c>
      <c r="U110" s="169" t="str">
        <f t="shared" si="320"/>
        <v/>
      </c>
      <c r="V110" s="172" t="str">
        <f t="shared" si="321"/>
        <v/>
      </c>
      <c r="W110" s="171" t="str">
        <f t="array" ref="W110">IFERROR(IF(Q110="ac"+ISNUMBER(SEARCH("'",V110))+U110="","", IF(ISNUMBER(SEARCH("lw",V110)), I110 + SUBSTITUTE(V110,"lw+",""), MROUND(SWITCH(Q110,"sq",U$7,"bn",V$7,"dl",W$7,"")*IF(V110&gt;10, V110/100, VLOOKUP(V110, _rpe,SUBSTITUTE(U110,"+","")+1,0)), IF( SWITCH(Q110,"sq",U$7,"bn",V$7,"dl", W$7,"")&lt; IF(_uom="lbs", 175, 80), 1.25, IF(_uom="lbs",5,2.5))))), "")</f>
        <v/>
      </c>
      <c r="X110" s="148"/>
      <c r="Y110" s="33"/>
      <c r="Z110" s="171"/>
      <c r="AA110" s="124" t="str">
        <f>IFERROR(__xludf.DUMMYFUNCTION("IF(W110=MAX(FILTER(W$10:W$199,LOOKUP(ROW(Q$10:Q$199),FILTER(ROW(Q$10:Q$199),Q$10:Q$199&lt;&gt;Q$9:Q$198))=LOOKUP(ROW(Q110),FILTER(ROW(Q$10:Q$199),Q$10:Q$199&lt;&gt;Q$9:Q$198)))),X110,)"),"")</f>
        <v/>
      </c>
      <c r="AB110" s="122"/>
      <c r="AC110" s="33"/>
      <c r="AD110" s="143" t="str">
        <f t="shared" si="14"/>
        <v/>
      </c>
      <c r="AE110" s="38" t="str">
        <f>IFERROR(__xludf.DUMMYFUNCTION("""COMPUTED_VALUE"""),"")</f>
        <v/>
      </c>
      <c r="AF110" s="144">
        <v>46125.0</v>
      </c>
      <c r="AG110" s="167" t="str">
        <f t="shared" si="54"/>
        <v/>
      </c>
      <c r="AH110" s="168" t="str">
        <f t="shared" si="322"/>
        <v/>
      </c>
      <c r="AI110" s="169" t="str">
        <f t="shared" si="323"/>
        <v/>
      </c>
      <c r="AJ110" s="172" t="str">
        <f t="shared" si="324"/>
        <v/>
      </c>
      <c r="AK110" s="171" t="str">
        <f t="array" ref="AK110">IFERROR(IF(AE110="ac"+ISNUMBER(SEARCH("'",AJ110))+AI110="","", IF(ISNUMBER(SEARCH("lw",AJ110)), W110 + SUBSTITUTE(AJ110,"lw+",""), MROUND(SWITCH(AE110,"sq",AI$7,"bn",AJ$7,"dl",AK$7,"")*IF(AJ110&gt;10, AJ110/100, VLOOKUP(AJ110, _rpe,SUBSTITUTE(AI110,"+","")+1,0)), IF( SWITCH(AE110,"sq",AI$7,"bn",AJ$7,"dl", AK$7,"")&lt; IF(_uom="lbs", 175, 80), 1.25, IF(_uom="lbs",5,2.5))))), "")</f>
        <v/>
      </c>
      <c r="AL110" s="148"/>
      <c r="AM110" s="33"/>
      <c r="AN110" s="171"/>
      <c r="AO110" s="124" t="str">
        <f>IFERROR(__xludf.DUMMYFUNCTION("IF(AK110=MAX(FILTER(AK$10:AK$199,LOOKUP(ROW(AE$10:AE$199),FILTER(ROW(AE$10:AE$199),AE$10:AE$199&lt;&gt;AE$9:AE$198))=LOOKUP(ROW(AE110),FILTER(ROW(AE$10:AE$199),AE$10:AE$199&lt;&gt;AE$9:AE$198)))),AL110,)"),"")</f>
        <v/>
      </c>
      <c r="AP110" s="122"/>
      <c r="AQ110" s="33"/>
      <c r="AR110" s="143" t="str">
        <f t="shared" si="16"/>
        <v/>
      </c>
      <c r="AS110" s="38" t="str">
        <f>IFERROR(__xludf.DUMMYFUNCTION("""COMPUTED_VALUE"""),"")</f>
        <v/>
      </c>
      <c r="AT110" s="144">
        <v>46132.0</v>
      </c>
      <c r="AU110" s="167" t="str">
        <f t="shared" si="26"/>
        <v/>
      </c>
      <c r="AV110" s="168" t="str">
        <f t="shared" si="325"/>
        <v/>
      </c>
      <c r="AW110" s="169" t="str">
        <f t="shared" si="326"/>
        <v/>
      </c>
      <c r="AX110" s="172" t="str">
        <f t="shared" si="327"/>
        <v/>
      </c>
      <c r="AY110" s="171" t="str">
        <f t="array" ref="AY110">IFERROR(IF(AS110="ac"+ISNUMBER(SEARCH("'",AX110))+AW110="","", IF(ISNUMBER(SEARCH("lw",AX110)), AK110 + SUBSTITUTE(AX110,"lw+",""), MROUND(SWITCH(AS110,"sq",AW$7,"bn",AX$7,"dl",AY$7,"")*IF(AX110&gt;10, AX110/100, VLOOKUP(AX110, _rpe,SUBSTITUTE(AW110,"+","")+1,0)), IF( SWITCH(AS110,"sq",AW$7,"bn",AX$7,"dl", AY$7,"")&lt; IF(_uom="lbs", 175, 80), 1.25, IF(_uom="lbs",5,2.5))))), "")</f>
        <v/>
      </c>
      <c r="AZ110" s="148"/>
      <c r="BA110" s="33"/>
      <c r="BB110" s="171"/>
      <c r="BC110" s="124" t="str">
        <f>IFERROR(__xludf.DUMMYFUNCTION("IF(AY110=MAX(FILTER(AY$10:AY$199,LOOKUP(ROW(AS$10:AS$199),FILTER(ROW(AS$10:AS$199),AS$10:AS$199&lt;&gt;AS$9:AS$198))=LOOKUP(ROW(AS110),FILTER(ROW(AS$10:AS$199),AS$10:AS$199&lt;&gt;AS$9:AS$198)))),AZ110,)"),"")</f>
        <v/>
      </c>
      <c r="BD110" s="122"/>
      <c r="BE110" s="33"/>
      <c r="BF110" s="143" t="str">
        <f t="shared" si="17"/>
        <v/>
      </c>
      <c r="BG110" s="38" t="str">
        <f>IFERROR(__xludf.DUMMYFUNCTION("""COMPUTED_VALUE"""),"")</f>
        <v/>
      </c>
      <c r="BH110" s="144">
        <v>46139.0</v>
      </c>
      <c r="BI110" s="167" t="str">
        <f t="shared" si="18"/>
        <v/>
      </c>
      <c r="BJ110" s="168" t="str">
        <f t="shared" si="328"/>
        <v/>
      </c>
      <c r="BK110" s="169" t="str">
        <f t="shared" si="329"/>
        <v/>
      </c>
      <c r="BL110" s="172" t="str">
        <f t="shared" si="330"/>
        <v/>
      </c>
      <c r="BM110" s="171" t="str">
        <f t="array" ref="BM110">IFERROR(IF(BG110="ac"+ISNUMBER(SEARCH("'",BL110))+BK110="","", IF(ISNUMBER(SEARCH("lw",BL110)), AY110 + SUBSTITUTE(BL110,"lw+",""), MROUND(SWITCH(BG110,"sq",BK$7,"bn",BL$7,"dl",BM$7,"")*IF(BL110&gt;10, BL110/100, VLOOKUP(BL110, _rpe,SUBSTITUTE(BK110,"+","")+1,0)), IF( SWITCH(BG110,"sq",BK$7,"bn",BL$7,"dl", BM$7,"")&lt; IF(_uom="lbs", 175, 80), 1.25, IF(_uom="lbs",5,2.5))))), "")</f>
        <v/>
      </c>
      <c r="BN110" s="148"/>
      <c r="BO110" s="33"/>
      <c r="BP110" s="171"/>
      <c r="BQ110" s="124" t="str">
        <f>IFERROR(__xludf.DUMMYFUNCTION("IF(BM110=MAX(FILTER(BM$10:BM$199,LOOKUP(ROW(BG$10:BG$199),FILTER(ROW(BG$10:BG$199),BG$10:BG$199&lt;&gt;BG$9:BG$198))=LOOKUP(ROW(BG110),FILTER(ROW(BG$10:BG$199),BG$10:BG$199&lt;&gt;BG$9:BG$198)))),BN110,)"),"")</f>
        <v/>
      </c>
      <c r="BR110" s="122"/>
      <c r="BS110" s="33"/>
      <c r="BT110" s="143" t="str">
        <f t="shared" si="19"/>
        <v/>
      </c>
      <c r="BU110" s="38" t="str">
        <f>IFERROR(__xludf.DUMMYFUNCTION("""COMPUTED_VALUE"""),"")</f>
        <v/>
      </c>
      <c r="BV110" s="144">
        <v>46146.0</v>
      </c>
      <c r="BW110" s="167" t="str">
        <f t="shared" si="20"/>
        <v/>
      </c>
      <c r="BX110" s="168" t="str">
        <f t="shared" si="331"/>
        <v/>
      </c>
      <c r="BY110" s="169" t="str">
        <f t="shared" si="332"/>
        <v/>
      </c>
      <c r="BZ110" s="172" t="str">
        <f t="shared" si="333"/>
        <v/>
      </c>
      <c r="CA110" s="171" t="str">
        <f t="array" ref="CA110">IFERROR(IF(BU110="ac"+ISNUMBER(SEARCH("'",BZ110))+BY110="","", IF(ISNUMBER(SEARCH("lw",BZ110)), BM110 + SUBSTITUTE(BZ110,"lw+",""), MROUND(SWITCH(BU110,"sq",BY$7,"bn",BZ$7,"dl",CA$7,"")*IF(BZ110&gt;10, BZ110/100, VLOOKUP(BZ110, _rpe,SUBSTITUTE(BY110,"+","")+1,0)), IF( SWITCH(BU110,"sq",BY$7,"bn",BZ$7,"dl", CA$7,"")&lt; IF(_uom="lbs", 175, 80), 1.25, IF(_uom="lbs",5,2.5))))), "")</f>
        <v/>
      </c>
      <c r="CB110" s="148"/>
      <c r="CC110" s="33"/>
      <c r="CD110" s="171"/>
      <c r="CE110" s="124" t="str">
        <f>IFERROR(__xludf.DUMMYFUNCTION("IF(CA110=MAX(FILTER(CA$10:CA$199,LOOKUP(ROW(BU$10:BU$199),FILTER(ROW(BU$10:BU$199),BU$10:BU$199&lt;&gt;BU$9:BU$198))=LOOKUP(ROW(BU110),FILTER(ROW(BU$10:BU$199),BU$10:BU$199&lt;&gt;BU$9:BU$198)))),CB110,)"),"")</f>
        <v/>
      </c>
      <c r="CF110" s="122"/>
      <c r="CG110" s="33"/>
      <c r="CH110" s="143" t="str">
        <f t="shared" si="21"/>
        <v/>
      </c>
      <c r="CI110" s="38" t="str">
        <f>IFERROR(__xludf.DUMMYFUNCTION("""COMPUTED_VALUE"""),"")</f>
        <v/>
      </c>
      <c r="CJ110" s="144">
        <v>46153.0</v>
      </c>
      <c r="CK110" s="167" t="str">
        <f t="shared" si="27"/>
        <v/>
      </c>
      <c r="CL110" s="168" t="str">
        <f t="shared" si="334"/>
        <v/>
      </c>
      <c r="CM110" s="169" t="str">
        <f t="shared" si="335"/>
        <v/>
      </c>
      <c r="CN110" s="172" t="str">
        <f t="shared" si="336"/>
        <v/>
      </c>
      <c r="CO110" s="171" t="str">
        <f t="array" ref="CO110">IFERROR(IF(CI110="ac"+ISNUMBER(SEARCH("'",CN110))+CM110="","", IF(ISNUMBER(SEARCH("lw",CN110)), CA110 + SUBSTITUTE(CN110,"lw+",""), MROUND(SWITCH(CI110,"sq",CM$7,"bn",CN$7,"dl",CO$7,"")*IF(CN110&gt;10, CN110/100, VLOOKUP(CN110, _rpe,SUBSTITUTE(CM110,"+","")+1,0)), IF( SWITCH(CI110,"sq",CM$7,"bn",CN$7,"dl", CO$7,"")&lt; IF(_uom="lbs", 175, 80), 1.25, IF(_uom="lbs",5,2.5))))), "")</f>
        <v/>
      </c>
      <c r="CP110" s="148"/>
      <c r="CQ110" s="33"/>
      <c r="CR110" s="171"/>
      <c r="CS110" s="124" t="str">
        <f>IFERROR(__xludf.DUMMYFUNCTION("IF(CO110=MAX(FILTER(CO$10:CO$199,LOOKUP(ROW(CI$10:CI$199),FILTER(ROW(CI$10:CI$199),CI$10:CI$199&lt;&gt;CI$9:CI$198))=LOOKUP(ROW(CI110),FILTER(ROW(CI$10:CI$199),CI$10:CI$199&lt;&gt;CI$9:CI$198)))),CP110,)"),"")</f>
        <v/>
      </c>
      <c r="CT110" s="122"/>
      <c r="CU110" s="33"/>
      <c r="CV110" s="143" t="str">
        <f t="shared" si="22"/>
        <v/>
      </c>
      <c r="CW110" s="38" t="str">
        <f>IFERROR(__xludf.DUMMYFUNCTION("""COMPUTED_VALUE"""),"")</f>
        <v/>
      </c>
      <c r="CX110" s="144">
        <v>46160.0</v>
      </c>
      <c r="CY110" s="167" t="str">
        <f t="shared" si="28"/>
        <v/>
      </c>
      <c r="CZ110" s="168" t="str">
        <f t="shared" si="337"/>
        <v/>
      </c>
      <c r="DA110" s="169" t="str">
        <f t="shared" si="338"/>
        <v/>
      </c>
      <c r="DB110" s="172" t="str">
        <f t="shared" si="339"/>
        <v/>
      </c>
      <c r="DC110" s="171" t="str">
        <f t="array" ref="DC110">IFERROR(IF(CW110="ac"+ISNUMBER(SEARCH("'",DB110))+DA110="","", IF(ISNUMBER(SEARCH("lw",DB110)), CO110 + SUBSTITUTE(DB110,"lw+",""), MROUND(SWITCH(CW110,"sq",DA$7,"bn",DB$7,"dl",DC$7,"")*IF(DB110&gt;10, DB110/100, VLOOKUP(DB110, _rpe,SUBSTITUTE(DA110,"+","")+1,0)), IF( SWITCH(CW110,"sq",DA$7,"bn",DB$7,"dl", DC$7,"")&lt; IF(_uom="lbs", 175, 80), 1.25, IF(_uom="lbs",5,2.5))))), "")</f>
        <v/>
      </c>
      <c r="DD110" s="148"/>
      <c r="DE110" s="33"/>
      <c r="DF110" s="171"/>
      <c r="DG110" s="124" t="str">
        <f>IFERROR(__xludf.DUMMYFUNCTION("IF(DC110=MAX(FILTER(DC$10:DC$199,LOOKUP(ROW(CW$10:CW$199),FILTER(ROW(CW$10:CW$199),CW$10:CW$199&lt;&gt;CW$9:CW$198))=LOOKUP(ROW(CW110),FILTER(ROW(CW$10:CW$199),CW$10:CW$199&lt;&gt;CW$9:CW$198)))),DD110,)"),"")</f>
        <v/>
      </c>
      <c r="DH110" s="122"/>
      <c r="DI110" s="33"/>
      <c r="DJ110" s="143" t="str">
        <f t="shared" si="23"/>
        <v/>
      </c>
      <c r="DK110" s="38" t="str">
        <f>IFERROR(__xludf.DUMMYFUNCTION("""COMPUTED_VALUE"""),"")</f>
        <v/>
      </c>
      <c r="DL110" s="144">
        <v>46167.0</v>
      </c>
      <c r="DM110" s="167" t="str">
        <f t="shared" ref="DM110:DN110" si="362">IF(ISBLANK(CY110),"",CY110)</f>
        <v/>
      </c>
      <c r="DN110" s="168" t="str">
        <f t="shared" si="362"/>
        <v/>
      </c>
      <c r="DO110" s="169" t="str">
        <f t="shared" si="341"/>
        <v/>
      </c>
      <c r="DP110" s="172" t="str">
        <f t="shared" si="342"/>
        <v/>
      </c>
      <c r="DQ110" s="171" t="str">
        <f t="array" ref="DQ110">IFERROR(IF(DK110="ac"+ISNUMBER(SEARCH("'",DP110))+DO110="","", IF(ISNUMBER(SEARCH("lw",DP110)), DC110 + SUBSTITUTE(DP110,"lw+",""), MROUND(SWITCH(DK110,"sq",DO$7,"bn",DP$7,"dl",DQ$7,"")*IF(DP110&gt;10, DP110/100, VLOOKUP(DP110, _rpe,SUBSTITUTE(DO110,"+","")+1,0)), IF( SWITCH(DK110,"sq",DO$7,"bn",DP$7,"dl", DQ$7,"")&lt; IF(_uom="lbs", 175, 80), 1.25, IF(_uom="lbs",5,2.5))))), "")</f>
        <v/>
      </c>
      <c r="DR110" s="148"/>
      <c r="DS110" s="33"/>
      <c r="DT110" s="171"/>
      <c r="DU110" s="124" t="str">
        <f>IFERROR(__xludf.DUMMYFUNCTION("IF(DQ110=MAX(FILTER(DQ$10:DQ$199,LOOKUP(ROW(DK$10:DK$199),FILTER(ROW(DK$10:DK$199),DK$10:DK$199&lt;&gt;DK$9:DK$198))=LOOKUP(ROW(DK110),FILTER(ROW(DK$10:DK$199),DK$10:DK$199&lt;&gt;DK$9:DK$198)))),DR110,)"),"")</f>
        <v/>
      </c>
      <c r="DV110" s="122"/>
      <c r="DW110" s="33"/>
      <c r="DX110" s="143"/>
      <c r="DY110" s="38"/>
      <c r="DZ110" s="144"/>
      <c r="EA110" s="150"/>
      <c r="EB110" s="174"/>
      <c r="EC110" s="175"/>
      <c r="ED110" s="176"/>
      <c r="EE110" s="155"/>
      <c r="EF110" s="148"/>
      <c r="EG110" s="33"/>
      <c r="EH110" s="155"/>
      <c r="EI110" s="148"/>
      <c r="EJ110" s="33"/>
      <c r="EK110" s="33"/>
      <c r="EL110" s="143"/>
      <c r="EM110" s="38"/>
      <c r="EN110" s="144"/>
      <c r="EO110" s="150"/>
      <c r="EP110" s="174"/>
      <c r="EQ110" s="175"/>
      <c r="ER110" s="176"/>
      <c r="ES110" s="155"/>
      <c r="ET110" s="148"/>
      <c r="EU110" s="33"/>
      <c r="EV110" s="155"/>
      <c r="EW110" s="148"/>
      <c r="EX110" s="33"/>
      <c r="EY110" s="33"/>
      <c r="EZ110" s="143"/>
      <c r="FA110" s="38"/>
      <c r="FB110" s="144"/>
      <c r="FC110" s="150"/>
      <c r="FD110" s="174"/>
      <c r="FE110" s="175"/>
      <c r="FF110" s="176"/>
      <c r="FG110" s="155"/>
      <c r="FH110" s="148"/>
      <c r="FI110" s="33"/>
      <c r="FJ110" s="155"/>
      <c r="FK110" s="148"/>
      <c r="FL110" s="33"/>
      <c r="FM110" s="33"/>
      <c r="FN110" s="143"/>
      <c r="FO110" s="38"/>
      <c r="FP110" s="144"/>
      <c r="FQ110" s="150"/>
      <c r="FR110" s="174"/>
      <c r="FS110" s="175"/>
      <c r="FT110" s="176"/>
      <c r="FU110" s="155"/>
      <c r="FV110" s="148"/>
      <c r="FW110" s="33"/>
      <c r="FX110" s="155"/>
      <c r="FY110" s="148"/>
      <c r="FZ110" s="33"/>
      <c r="GA110" s="33"/>
      <c r="GB110" s="143"/>
      <c r="GC110" s="38"/>
      <c r="GD110" s="144"/>
      <c r="GE110" s="150"/>
      <c r="GF110" s="174"/>
      <c r="GG110" s="175"/>
      <c r="GH110" s="176"/>
      <c r="GI110" s="155"/>
      <c r="GJ110" s="148"/>
      <c r="GK110" s="33"/>
      <c r="GL110" s="155"/>
      <c r="GM110" s="148"/>
      <c r="GN110" s="33"/>
      <c r="GO110" s="33"/>
      <c r="GP110" s="143"/>
      <c r="GQ110" s="38"/>
      <c r="GR110" s="144"/>
      <c r="GS110" s="150"/>
      <c r="GT110" s="174"/>
      <c r="GU110" s="175"/>
      <c r="GV110" s="176"/>
      <c r="GW110" s="155"/>
      <c r="GX110" s="148"/>
      <c r="GY110" s="33"/>
      <c r="GZ110" s="155"/>
      <c r="HA110" s="148"/>
      <c r="HB110" s="33"/>
      <c r="HC110" s="33"/>
      <c r="HD110" s="143"/>
      <c r="HE110" s="38"/>
      <c r="HF110" s="144"/>
      <c r="HG110" s="150"/>
      <c r="HH110" s="174"/>
      <c r="HI110" s="175"/>
      <c r="HJ110" s="176"/>
      <c r="HK110" s="155"/>
      <c r="HL110" s="148"/>
      <c r="HM110" s="33"/>
      <c r="HN110" s="155"/>
      <c r="HO110" s="148"/>
      <c r="HP110" s="33"/>
      <c r="HQ110" s="33"/>
      <c r="HR110" s="143"/>
      <c r="HS110" s="38"/>
      <c r="HT110" s="144"/>
      <c r="HU110" s="150"/>
      <c r="HV110" s="174"/>
      <c r="HW110" s="175"/>
      <c r="HX110" s="176"/>
      <c r="HY110" s="155"/>
      <c r="HZ110" s="148"/>
      <c r="IA110" s="33"/>
      <c r="IB110" s="155"/>
      <c r="IC110" s="148"/>
      <c r="ID110" s="33"/>
      <c r="IE110" s="33"/>
      <c r="IF110" s="143"/>
      <c r="IG110" s="38"/>
      <c r="IH110" s="144"/>
      <c r="II110" s="150"/>
      <c r="IJ110" s="174"/>
      <c r="IK110" s="175"/>
      <c r="IL110" s="176"/>
      <c r="IM110" s="155"/>
      <c r="IN110" s="148"/>
      <c r="IO110" s="33"/>
      <c r="IP110" s="155"/>
      <c r="IQ110" s="148"/>
      <c r="IR110" s="33"/>
      <c r="IS110" s="33"/>
      <c r="IT110" s="143"/>
      <c r="IU110" s="38"/>
      <c r="IV110" s="144"/>
      <c r="IW110" s="143"/>
      <c r="IX110" s="38"/>
      <c r="IY110" s="144" t="e">
        <v>#REF!</v>
      </c>
    </row>
    <row r="111">
      <c r="A111" s="33"/>
      <c r="B111" s="181"/>
      <c r="C111" s="38" t="str">
        <f>IFERROR(__xludf.DUMMYFUNCTION("""COMPUTED_VALUE"""),"")</f>
        <v/>
      </c>
      <c r="D111" s="144">
        <v>46111.0</v>
      </c>
      <c r="E111" s="167"/>
      <c r="F111" s="168"/>
      <c r="G111" s="169"/>
      <c r="H111" s="170"/>
      <c r="I111" s="171" t="str">
        <f t="array" ref="I111">IFERROR(IF(C111="ac"+ISNUMBER(SEARCH("'",H111))+G111="","", MROUND(SWITCH(C111,"sq",'Personal Info'!$O$15,"bn",'Personal Info'!$S$15,"dl",'Personal Info'!$W$15,"")*IF(H111&gt;10, H111/100, VLOOKUP(H111, _rpe,SUBSTITUTE(G111,"+","")+1,0)), IF( SWITCH(C111:C210,"sq",'Personal Info'!$O$15,"bn",'Personal Info'!$S$15,"dl", 'Personal Info'!$W$15,"")&lt; IF(_uom="lbs", 175, 80), 1.25, IF(_uom="lbs",5,2.5)))),"")</f>
        <v/>
      </c>
      <c r="J111" s="148"/>
      <c r="K111" s="33"/>
      <c r="L111" s="171"/>
      <c r="M111" s="124" t="str">
        <f>IFERROR(__xludf.DUMMYFUNCTION("IF(I111=MAX(FILTER(I$10:I$199,LOOKUP(ROW(C$10:C$199),FILTER(ROW(C$10:C$199),C$10:C$199&lt;&gt;C$9:C$198))=LOOKUP(ROW(C111),FILTER(ROW(C$10:C$199),C$10:C$199&lt;&gt;C$9:C$198)))),J111,)"),"")</f>
        <v/>
      </c>
      <c r="N111" s="122"/>
      <c r="O111" s="33"/>
      <c r="P111" s="143" t="str">
        <f t="shared" si="12"/>
        <v/>
      </c>
      <c r="Q111" s="38" t="str">
        <f>IFERROR(__xludf.DUMMYFUNCTION("""COMPUTED_VALUE"""),"")</f>
        <v/>
      </c>
      <c r="R111" s="144">
        <v>46118.0</v>
      </c>
      <c r="S111" s="167" t="str">
        <f t="shared" si="13"/>
        <v/>
      </c>
      <c r="T111" s="168" t="str">
        <f t="shared" si="319"/>
        <v/>
      </c>
      <c r="U111" s="169" t="str">
        <f t="shared" si="320"/>
        <v/>
      </c>
      <c r="V111" s="172" t="str">
        <f t="shared" si="321"/>
        <v/>
      </c>
      <c r="W111" s="171" t="str">
        <f t="array" ref="W111">IFERROR(IF(Q111="ac"+ISNUMBER(SEARCH("'",V111))+U111="","", IF(ISNUMBER(SEARCH("lw",V111)), I111 + SUBSTITUTE(V111,"lw+",""), MROUND(SWITCH(Q111,"sq",U$7,"bn",V$7,"dl",W$7,"")*IF(V111&gt;10, V111/100, VLOOKUP(V111, _rpe,SUBSTITUTE(U111,"+","")+1,0)), IF( SWITCH(Q111,"sq",U$7,"bn",V$7,"dl", W$7,"")&lt; IF(_uom="lbs", 175, 80), 1.25, IF(_uom="lbs",5,2.5))))), "")</f>
        <v/>
      </c>
      <c r="X111" s="148"/>
      <c r="Y111" s="33"/>
      <c r="Z111" s="171"/>
      <c r="AA111" s="124" t="str">
        <f>IFERROR(__xludf.DUMMYFUNCTION("IF(W111=MAX(FILTER(W$10:W$199,LOOKUP(ROW(Q$10:Q$199),FILTER(ROW(Q$10:Q$199),Q$10:Q$199&lt;&gt;Q$9:Q$198))=LOOKUP(ROW(Q111),FILTER(ROW(Q$10:Q$199),Q$10:Q$199&lt;&gt;Q$9:Q$198)))),X111,)"),"")</f>
        <v/>
      </c>
      <c r="AB111" s="122"/>
      <c r="AC111" s="33"/>
      <c r="AD111" s="143" t="str">
        <f t="shared" si="14"/>
        <v/>
      </c>
      <c r="AE111" s="38" t="str">
        <f>IFERROR(__xludf.DUMMYFUNCTION("""COMPUTED_VALUE"""),"")</f>
        <v/>
      </c>
      <c r="AF111" s="144">
        <v>46125.0</v>
      </c>
      <c r="AG111" s="167" t="str">
        <f t="shared" si="54"/>
        <v/>
      </c>
      <c r="AH111" s="168" t="str">
        <f t="shared" si="322"/>
        <v/>
      </c>
      <c r="AI111" s="169" t="str">
        <f t="shared" si="323"/>
        <v/>
      </c>
      <c r="AJ111" s="172" t="str">
        <f t="shared" si="324"/>
        <v/>
      </c>
      <c r="AK111" s="171" t="str">
        <f t="array" ref="AK111">IFERROR(IF(AE111="ac"+ISNUMBER(SEARCH("'",AJ111))+AI111="","", IF(ISNUMBER(SEARCH("lw",AJ111)), W111 + SUBSTITUTE(AJ111,"lw+",""), MROUND(SWITCH(AE111,"sq",AI$7,"bn",AJ$7,"dl",AK$7,"")*IF(AJ111&gt;10, AJ111/100, VLOOKUP(AJ111, _rpe,SUBSTITUTE(AI111,"+","")+1,0)), IF( SWITCH(AE111,"sq",AI$7,"bn",AJ$7,"dl", AK$7,"")&lt; IF(_uom="lbs", 175, 80), 1.25, IF(_uom="lbs",5,2.5))))), "")</f>
        <v/>
      </c>
      <c r="AL111" s="148"/>
      <c r="AM111" s="33"/>
      <c r="AN111" s="171"/>
      <c r="AO111" s="124" t="str">
        <f>IFERROR(__xludf.DUMMYFUNCTION("IF(AK111=MAX(FILTER(AK$10:AK$199,LOOKUP(ROW(AE$10:AE$199),FILTER(ROW(AE$10:AE$199),AE$10:AE$199&lt;&gt;AE$9:AE$198))=LOOKUP(ROW(AE111),FILTER(ROW(AE$10:AE$199),AE$10:AE$199&lt;&gt;AE$9:AE$198)))),AL111,)"),"")</f>
        <v/>
      </c>
      <c r="AP111" s="122"/>
      <c r="AQ111" s="33"/>
      <c r="AR111" s="143" t="str">
        <f t="shared" si="16"/>
        <v/>
      </c>
      <c r="AS111" s="38" t="str">
        <f>IFERROR(__xludf.DUMMYFUNCTION("""COMPUTED_VALUE"""),"")</f>
        <v/>
      </c>
      <c r="AT111" s="144">
        <v>46132.0</v>
      </c>
      <c r="AU111" s="167" t="str">
        <f t="shared" si="26"/>
        <v/>
      </c>
      <c r="AV111" s="168" t="str">
        <f t="shared" si="325"/>
        <v/>
      </c>
      <c r="AW111" s="169" t="str">
        <f t="shared" si="326"/>
        <v/>
      </c>
      <c r="AX111" s="172" t="str">
        <f t="shared" si="327"/>
        <v/>
      </c>
      <c r="AY111" s="171" t="str">
        <f t="array" ref="AY111">IFERROR(IF(AS111="ac"+ISNUMBER(SEARCH("'",AX111))+AW111="","", IF(ISNUMBER(SEARCH("lw",AX111)), AK111 + SUBSTITUTE(AX111,"lw+",""), MROUND(SWITCH(AS111,"sq",AW$7,"bn",AX$7,"dl",AY$7,"")*IF(AX111&gt;10, AX111/100, VLOOKUP(AX111, _rpe,SUBSTITUTE(AW111,"+","")+1,0)), IF( SWITCH(AS111,"sq",AW$7,"bn",AX$7,"dl", AY$7,"")&lt; IF(_uom="lbs", 175, 80), 1.25, IF(_uom="lbs",5,2.5))))), "")</f>
        <v/>
      </c>
      <c r="AZ111" s="148"/>
      <c r="BA111" s="33"/>
      <c r="BB111" s="171"/>
      <c r="BC111" s="124" t="str">
        <f>IFERROR(__xludf.DUMMYFUNCTION("IF(AY111=MAX(FILTER(AY$10:AY$199,LOOKUP(ROW(AS$10:AS$199),FILTER(ROW(AS$10:AS$199),AS$10:AS$199&lt;&gt;AS$9:AS$198))=LOOKUP(ROW(AS111),FILTER(ROW(AS$10:AS$199),AS$10:AS$199&lt;&gt;AS$9:AS$198)))),AZ111,)"),"")</f>
        <v/>
      </c>
      <c r="BD111" s="122"/>
      <c r="BE111" s="33"/>
      <c r="BF111" s="143" t="str">
        <f t="shared" si="17"/>
        <v/>
      </c>
      <c r="BG111" s="38" t="str">
        <f>IFERROR(__xludf.DUMMYFUNCTION("""COMPUTED_VALUE"""),"")</f>
        <v/>
      </c>
      <c r="BH111" s="144">
        <v>46139.0</v>
      </c>
      <c r="BI111" s="167" t="str">
        <f t="shared" si="18"/>
        <v/>
      </c>
      <c r="BJ111" s="168" t="str">
        <f t="shared" si="328"/>
        <v/>
      </c>
      <c r="BK111" s="169" t="str">
        <f t="shared" si="329"/>
        <v/>
      </c>
      <c r="BL111" s="172" t="str">
        <f t="shared" si="330"/>
        <v/>
      </c>
      <c r="BM111" s="171" t="str">
        <f t="array" ref="BM111">IFERROR(IF(BG111="ac"+ISNUMBER(SEARCH("'",BL111))+BK111="","", IF(ISNUMBER(SEARCH("lw",BL111)), AY111 + SUBSTITUTE(BL111,"lw+",""), MROUND(SWITCH(BG111,"sq",BK$7,"bn",BL$7,"dl",BM$7,"")*IF(BL111&gt;10, BL111/100, VLOOKUP(BL111, _rpe,SUBSTITUTE(BK111,"+","")+1,0)), IF( SWITCH(BG111,"sq",BK$7,"bn",BL$7,"dl", BM$7,"")&lt; IF(_uom="lbs", 175, 80), 1.25, IF(_uom="lbs",5,2.5))))), "")</f>
        <v/>
      </c>
      <c r="BN111" s="148"/>
      <c r="BO111" s="33"/>
      <c r="BP111" s="171"/>
      <c r="BQ111" s="124" t="str">
        <f>IFERROR(__xludf.DUMMYFUNCTION("IF(BM111=MAX(FILTER(BM$10:BM$199,LOOKUP(ROW(BG$10:BG$199),FILTER(ROW(BG$10:BG$199),BG$10:BG$199&lt;&gt;BG$9:BG$198))=LOOKUP(ROW(BG111),FILTER(ROW(BG$10:BG$199),BG$10:BG$199&lt;&gt;BG$9:BG$198)))),BN111,)"),"")</f>
        <v/>
      </c>
      <c r="BR111" s="122"/>
      <c r="BS111" s="33"/>
      <c r="BT111" s="143" t="str">
        <f t="shared" si="19"/>
        <v/>
      </c>
      <c r="BU111" s="38" t="str">
        <f>IFERROR(__xludf.DUMMYFUNCTION("""COMPUTED_VALUE"""),"")</f>
        <v/>
      </c>
      <c r="BV111" s="144">
        <v>46146.0</v>
      </c>
      <c r="BW111" s="167" t="str">
        <f t="shared" si="20"/>
        <v/>
      </c>
      <c r="BX111" s="168" t="str">
        <f t="shared" si="331"/>
        <v/>
      </c>
      <c r="BY111" s="169" t="str">
        <f t="shared" si="332"/>
        <v/>
      </c>
      <c r="BZ111" s="172" t="str">
        <f t="shared" si="333"/>
        <v/>
      </c>
      <c r="CA111" s="171" t="str">
        <f t="array" ref="CA111">IFERROR(IF(BU111="ac"+ISNUMBER(SEARCH("'",BZ111))+BY111="","", IF(ISNUMBER(SEARCH("lw",BZ111)), BM111 + SUBSTITUTE(BZ111,"lw+",""), MROUND(SWITCH(BU111,"sq",BY$7,"bn",BZ$7,"dl",CA$7,"")*IF(BZ111&gt;10, BZ111/100, VLOOKUP(BZ111, _rpe,SUBSTITUTE(BY111,"+","")+1,0)), IF( SWITCH(BU111,"sq",BY$7,"bn",BZ$7,"dl", CA$7,"")&lt; IF(_uom="lbs", 175, 80), 1.25, IF(_uom="lbs",5,2.5))))), "")</f>
        <v/>
      </c>
      <c r="CB111" s="148"/>
      <c r="CC111" s="33"/>
      <c r="CD111" s="171"/>
      <c r="CE111" s="124" t="str">
        <f>IFERROR(__xludf.DUMMYFUNCTION("IF(CA111=MAX(FILTER(CA$10:CA$199,LOOKUP(ROW(BU$10:BU$199),FILTER(ROW(BU$10:BU$199),BU$10:BU$199&lt;&gt;BU$9:BU$198))=LOOKUP(ROW(BU111),FILTER(ROW(BU$10:BU$199),BU$10:BU$199&lt;&gt;BU$9:BU$198)))),CB111,)"),"")</f>
        <v/>
      </c>
      <c r="CF111" s="122"/>
      <c r="CG111" s="33"/>
      <c r="CH111" s="143" t="str">
        <f t="shared" si="21"/>
        <v/>
      </c>
      <c r="CI111" s="38" t="str">
        <f>IFERROR(__xludf.DUMMYFUNCTION("""COMPUTED_VALUE"""),"")</f>
        <v/>
      </c>
      <c r="CJ111" s="144">
        <v>46153.0</v>
      </c>
      <c r="CK111" s="167" t="str">
        <f t="shared" si="27"/>
        <v/>
      </c>
      <c r="CL111" s="168" t="str">
        <f t="shared" si="334"/>
        <v/>
      </c>
      <c r="CM111" s="169" t="str">
        <f t="shared" si="335"/>
        <v/>
      </c>
      <c r="CN111" s="172" t="str">
        <f t="shared" si="336"/>
        <v/>
      </c>
      <c r="CO111" s="171" t="str">
        <f t="array" ref="CO111">IFERROR(IF(CI111="ac"+ISNUMBER(SEARCH("'",CN111))+CM111="","", IF(ISNUMBER(SEARCH("lw",CN111)), CA111 + SUBSTITUTE(CN111,"lw+",""), MROUND(SWITCH(CI111,"sq",CM$7,"bn",CN$7,"dl",CO$7,"")*IF(CN111&gt;10, CN111/100, VLOOKUP(CN111, _rpe,SUBSTITUTE(CM111,"+","")+1,0)), IF( SWITCH(CI111,"sq",CM$7,"bn",CN$7,"dl", CO$7,"")&lt; IF(_uom="lbs", 175, 80), 1.25, IF(_uom="lbs",5,2.5))))), "")</f>
        <v/>
      </c>
      <c r="CP111" s="148"/>
      <c r="CQ111" s="33"/>
      <c r="CR111" s="171"/>
      <c r="CS111" s="124" t="str">
        <f>IFERROR(__xludf.DUMMYFUNCTION("IF(CO111=MAX(FILTER(CO$10:CO$199,LOOKUP(ROW(CI$10:CI$199),FILTER(ROW(CI$10:CI$199),CI$10:CI$199&lt;&gt;CI$9:CI$198))=LOOKUP(ROW(CI111),FILTER(ROW(CI$10:CI$199),CI$10:CI$199&lt;&gt;CI$9:CI$198)))),CP111,)"),"")</f>
        <v/>
      </c>
      <c r="CT111" s="122"/>
      <c r="CU111" s="33"/>
      <c r="CV111" s="143" t="str">
        <f t="shared" si="22"/>
        <v/>
      </c>
      <c r="CW111" s="38" t="str">
        <f>IFERROR(__xludf.DUMMYFUNCTION("""COMPUTED_VALUE"""),"")</f>
        <v/>
      </c>
      <c r="CX111" s="144">
        <v>46160.0</v>
      </c>
      <c r="CY111" s="167" t="str">
        <f t="shared" si="28"/>
        <v/>
      </c>
      <c r="CZ111" s="168" t="str">
        <f t="shared" si="337"/>
        <v/>
      </c>
      <c r="DA111" s="169" t="str">
        <f t="shared" si="338"/>
        <v/>
      </c>
      <c r="DB111" s="172" t="str">
        <f t="shared" si="339"/>
        <v/>
      </c>
      <c r="DC111" s="171" t="str">
        <f t="array" ref="DC111">IFERROR(IF(CW111="ac"+ISNUMBER(SEARCH("'",DB111))+DA111="","", IF(ISNUMBER(SEARCH("lw",DB111)), CO111 + SUBSTITUTE(DB111,"lw+",""), MROUND(SWITCH(CW111,"sq",DA$7,"bn",DB$7,"dl",DC$7,"")*IF(DB111&gt;10, DB111/100, VLOOKUP(DB111, _rpe,SUBSTITUTE(DA111,"+","")+1,0)), IF( SWITCH(CW111,"sq",DA$7,"bn",DB$7,"dl", DC$7,"")&lt; IF(_uom="lbs", 175, 80), 1.25, IF(_uom="lbs",5,2.5))))), "")</f>
        <v/>
      </c>
      <c r="DD111" s="148"/>
      <c r="DE111" s="33"/>
      <c r="DF111" s="171"/>
      <c r="DG111" s="124" t="str">
        <f>IFERROR(__xludf.DUMMYFUNCTION("IF(DC111=MAX(FILTER(DC$10:DC$199,LOOKUP(ROW(CW$10:CW$199),FILTER(ROW(CW$10:CW$199),CW$10:CW$199&lt;&gt;CW$9:CW$198))=LOOKUP(ROW(CW111),FILTER(ROW(CW$10:CW$199),CW$10:CW$199&lt;&gt;CW$9:CW$198)))),DD111,)"),"")</f>
        <v/>
      </c>
      <c r="DH111" s="122"/>
      <c r="DI111" s="33"/>
      <c r="DJ111" s="143" t="str">
        <f t="shared" si="23"/>
        <v/>
      </c>
      <c r="DK111" s="38" t="str">
        <f>IFERROR(__xludf.DUMMYFUNCTION("""COMPUTED_VALUE"""),"")</f>
        <v/>
      </c>
      <c r="DL111" s="144">
        <v>46167.0</v>
      </c>
      <c r="DM111" s="167" t="str">
        <f t="shared" ref="DM111:DN111" si="363">IF(ISBLANK(CY111),"",CY111)</f>
        <v/>
      </c>
      <c r="DN111" s="168" t="str">
        <f t="shared" si="363"/>
        <v/>
      </c>
      <c r="DO111" s="169" t="str">
        <f t="shared" si="341"/>
        <v/>
      </c>
      <c r="DP111" s="172" t="str">
        <f t="shared" si="342"/>
        <v/>
      </c>
      <c r="DQ111" s="171" t="str">
        <f t="array" ref="DQ111">IFERROR(IF(DK111="ac"+ISNUMBER(SEARCH("'",DP111))+DO111="","", IF(ISNUMBER(SEARCH("lw",DP111)), DC111 + SUBSTITUTE(DP111,"lw+",""), MROUND(SWITCH(DK111,"sq",DO$7,"bn",DP$7,"dl",DQ$7,"")*IF(DP111&gt;10, DP111/100, VLOOKUP(DP111, _rpe,SUBSTITUTE(DO111,"+","")+1,0)), IF( SWITCH(DK111,"sq",DO$7,"bn",DP$7,"dl", DQ$7,"")&lt; IF(_uom="lbs", 175, 80), 1.25, IF(_uom="lbs",5,2.5))))), "")</f>
        <v/>
      </c>
      <c r="DR111" s="148"/>
      <c r="DS111" s="33"/>
      <c r="DT111" s="171"/>
      <c r="DU111" s="124" t="str">
        <f>IFERROR(__xludf.DUMMYFUNCTION("IF(DQ111=MAX(FILTER(DQ$10:DQ$199,LOOKUP(ROW(DK$10:DK$199),FILTER(ROW(DK$10:DK$199),DK$10:DK$199&lt;&gt;DK$9:DK$198))=LOOKUP(ROW(DK111),FILTER(ROW(DK$10:DK$199),DK$10:DK$199&lt;&gt;DK$9:DK$198)))),DR111,)"),"")</f>
        <v/>
      </c>
      <c r="DV111" s="122"/>
      <c r="DW111" s="33"/>
      <c r="DX111" s="143"/>
      <c r="DY111" s="38"/>
      <c r="DZ111" s="144"/>
      <c r="EA111" s="150"/>
      <c r="EB111" s="174"/>
      <c r="EC111" s="175"/>
      <c r="ED111" s="176"/>
      <c r="EE111" s="155"/>
      <c r="EF111" s="148"/>
      <c r="EG111" s="33"/>
      <c r="EH111" s="155"/>
      <c r="EI111" s="148"/>
      <c r="EJ111" s="33"/>
      <c r="EK111" s="33"/>
      <c r="EL111" s="143"/>
      <c r="EM111" s="38"/>
      <c r="EN111" s="144"/>
      <c r="EO111" s="150"/>
      <c r="EP111" s="174"/>
      <c r="EQ111" s="175"/>
      <c r="ER111" s="176"/>
      <c r="ES111" s="155"/>
      <c r="ET111" s="148"/>
      <c r="EU111" s="33"/>
      <c r="EV111" s="155"/>
      <c r="EW111" s="148"/>
      <c r="EX111" s="33"/>
      <c r="EY111" s="33"/>
      <c r="EZ111" s="143"/>
      <c r="FA111" s="38"/>
      <c r="FB111" s="144"/>
      <c r="FC111" s="150"/>
      <c r="FD111" s="174"/>
      <c r="FE111" s="175"/>
      <c r="FF111" s="176"/>
      <c r="FG111" s="155"/>
      <c r="FH111" s="148"/>
      <c r="FI111" s="33"/>
      <c r="FJ111" s="155"/>
      <c r="FK111" s="148"/>
      <c r="FL111" s="33"/>
      <c r="FM111" s="33"/>
      <c r="FN111" s="143"/>
      <c r="FO111" s="38"/>
      <c r="FP111" s="144"/>
      <c r="FQ111" s="150"/>
      <c r="FR111" s="174"/>
      <c r="FS111" s="175"/>
      <c r="FT111" s="176"/>
      <c r="FU111" s="155"/>
      <c r="FV111" s="148"/>
      <c r="FW111" s="33"/>
      <c r="FX111" s="155"/>
      <c r="FY111" s="148"/>
      <c r="FZ111" s="33"/>
      <c r="GA111" s="33"/>
      <c r="GB111" s="143"/>
      <c r="GC111" s="38"/>
      <c r="GD111" s="144"/>
      <c r="GE111" s="150"/>
      <c r="GF111" s="174"/>
      <c r="GG111" s="175"/>
      <c r="GH111" s="176"/>
      <c r="GI111" s="155"/>
      <c r="GJ111" s="148"/>
      <c r="GK111" s="33"/>
      <c r="GL111" s="155"/>
      <c r="GM111" s="148"/>
      <c r="GN111" s="33"/>
      <c r="GO111" s="33"/>
      <c r="GP111" s="143"/>
      <c r="GQ111" s="38"/>
      <c r="GR111" s="144"/>
      <c r="GS111" s="150"/>
      <c r="GT111" s="174"/>
      <c r="GU111" s="175"/>
      <c r="GV111" s="176"/>
      <c r="GW111" s="155"/>
      <c r="GX111" s="148"/>
      <c r="GY111" s="33"/>
      <c r="GZ111" s="155"/>
      <c r="HA111" s="148"/>
      <c r="HB111" s="33"/>
      <c r="HC111" s="33"/>
      <c r="HD111" s="143"/>
      <c r="HE111" s="38"/>
      <c r="HF111" s="144"/>
      <c r="HG111" s="150"/>
      <c r="HH111" s="174"/>
      <c r="HI111" s="175"/>
      <c r="HJ111" s="176"/>
      <c r="HK111" s="155"/>
      <c r="HL111" s="148"/>
      <c r="HM111" s="33"/>
      <c r="HN111" s="155"/>
      <c r="HO111" s="148"/>
      <c r="HP111" s="33"/>
      <c r="HQ111" s="33"/>
      <c r="HR111" s="143"/>
      <c r="HS111" s="38"/>
      <c r="HT111" s="144"/>
      <c r="HU111" s="150"/>
      <c r="HV111" s="174"/>
      <c r="HW111" s="175"/>
      <c r="HX111" s="176"/>
      <c r="HY111" s="155"/>
      <c r="HZ111" s="148"/>
      <c r="IA111" s="33"/>
      <c r="IB111" s="155"/>
      <c r="IC111" s="148"/>
      <c r="ID111" s="33"/>
      <c r="IE111" s="33"/>
      <c r="IF111" s="143"/>
      <c r="IG111" s="38"/>
      <c r="IH111" s="144"/>
      <c r="II111" s="150"/>
      <c r="IJ111" s="174"/>
      <c r="IK111" s="175"/>
      <c r="IL111" s="176"/>
      <c r="IM111" s="155"/>
      <c r="IN111" s="148"/>
      <c r="IO111" s="33"/>
      <c r="IP111" s="155"/>
      <c r="IQ111" s="148"/>
      <c r="IR111" s="33"/>
      <c r="IS111" s="33"/>
      <c r="IT111" s="143"/>
      <c r="IU111" s="38"/>
      <c r="IV111" s="144"/>
      <c r="IW111" s="143"/>
      <c r="IX111" s="38"/>
      <c r="IY111" s="144" t="e">
        <v>#REF!</v>
      </c>
    </row>
    <row r="112">
      <c r="A112" s="33"/>
      <c r="B112" s="181"/>
      <c r="C112" s="38" t="str">
        <f>IFERROR(__xludf.DUMMYFUNCTION("""COMPUTED_VALUE"""),"")</f>
        <v/>
      </c>
      <c r="D112" s="144">
        <v>46111.0</v>
      </c>
      <c r="E112" s="167"/>
      <c r="F112" s="168"/>
      <c r="G112" s="169"/>
      <c r="H112" s="170"/>
      <c r="I112" s="171" t="str">
        <f t="array" ref="I112">IFERROR(IF(C112="ac"+ISNUMBER(SEARCH("'",H112))+G112="","", MROUND(SWITCH(C112,"sq",'Personal Info'!$O$15,"bn",'Personal Info'!$S$15,"dl",'Personal Info'!$W$15,"")*IF(H112&gt;10, H112/100, VLOOKUP(H112, _rpe,SUBSTITUTE(G112,"+","")+1,0)), IF( SWITCH(C112:C210,"sq",'Personal Info'!$O$15,"bn",'Personal Info'!$S$15,"dl", 'Personal Info'!$W$15,"")&lt; IF(_uom="lbs", 175, 80), 1.25, IF(_uom="lbs",5,2.5)))),"")</f>
        <v/>
      </c>
      <c r="J112" s="148"/>
      <c r="K112" s="33"/>
      <c r="L112" s="171"/>
      <c r="M112" s="124" t="str">
        <f>IFERROR(__xludf.DUMMYFUNCTION("IF(I112=MAX(FILTER(I$10:I$199,LOOKUP(ROW(C$10:C$199),FILTER(ROW(C$10:C$199),C$10:C$199&lt;&gt;C$9:C$198))=LOOKUP(ROW(C112),FILTER(ROW(C$10:C$199),C$10:C$199&lt;&gt;C$9:C$198)))),J112,)"),"")</f>
        <v/>
      </c>
      <c r="N112" s="122"/>
      <c r="O112" s="33"/>
      <c r="P112" s="143" t="str">
        <f t="shared" si="12"/>
        <v/>
      </c>
      <c r="Q112" s="38" t="str">
        <f>IFERROR(__xludf.DUMMYFUNCTION("""COMPUTED_VALUE"""),"")</f>
        <v/>
      </c>
      <c r="R112" s="144">
        <v>46118.0</v>
      </c>
      <c r="S112" s="167" t="str">
        <f t="shared" si="13"/>
        <v/>
      </c>
      <c r="T112" s="168" t="str">
        <f t="shared" si="319"/>
        <v/>
      </c>
      <c r="U112" s="169" t="str">
        <f t="shared" si="320"/>
        <v/>
      </c>
      <c r="V112" s="172" t="str">
        <f t="shared" si="321"/>
        <v/>
      </c>
      <c r="W112" s="171" t="str">
        <f t="array" ref="W112">IFERROR(IF(Q112="ac"+ISNUMBER(SEARCH("'",V112))+U112="","", IF(ISNUMBER(SEARCH("lw",V112)), I112 + SUBSTITUTE(V112,"lw+",""), MROUND(SWITCH(Q112,"sq",U$7,"bn",V$7,"dl",W$7,"")*IF(V112&gt;10, V112/100, VLOOKUP(V112, _rpe,SUBSTITUTE(U112,"+","")+1,0)), IF( SWITCH(Q112,"sq",U$7,"bn",V$7,"dl", W$7,"")&lt; IF(_uom="lbs", 175, 80), 1.25, IF(_uom="lbs",5,2.5))))), "")</f>
        <v/>
      </c>
      <c r="X112" s="148"/>
      <c r="Y112" s="33"/>
      <c r="Z112" s="171"/>
      <c r="AA112" s="124" t="str">
        <f>IFERROR(__xludf.DUMMYFUNCTION("IF(W112=MAX(FILTER(W$10:W$199,LOOKUP(ROW(Q$10:Q$199),FILTER(ROW(Q$10:Q$199),Q$10:Q$199&lt;&gt;Q$9:Q$198))=LOOKUP(ROW(Q112),FILTER(ROW(Q$10:Q$199),Q$10:Q$199&lt;&gt;Q$9:Q$198)))),X112,)"),"")</f>
        <v/>
      </c>
      <c r="AB112" s="122"/>
      <c r="AC112" s="33"/>
      <c r="AD112" s="143" t="str">
        <f t="shared" si="14"/>
        <v/>
      </c>
      <c r="AE112" s="38" t="str">
        <f>IFERROR(__xludf.DUMMYFUNCTION("""COMPUTED_VALUE"""),"")</f>
        <v/>
      </c>
      <c r="AF112" s="144">
        <v>46125.0</v>
      </c>
      <c r="AG112" s="167" t="str">
        <f t="shared" si="54"/>
        <v/>
      </c>
      <c r="AH112" s="168" t="str">
        <f t="shared" si="322"/>
        <v/>
      </c>
      <c r="AI112" s="169" t="str">
        <f t="shared" si="323"/>
        <v/>
      </c>
      <c r="AJ112" s="172" t="str">
        <f t="shared" si="324"/>
        <v/>
      </c>
      <c r="AK112" s="171" t="str">
        <f t="array" ref="AK112">IFERROR(IF(AE112="ac"+ISNUMBER(SEARCH("'",AJ112))+AI112="","", IF(ISNUMBER(SEARCH("lw",AJ112)), W112 + SUBSTITUTE(AJ112,"lw+",""), MROUND(SWITCH(AE112,"sq",AI$7,"bn",AJ$7,"dl",AK$7,"")*IF(AJ112&gt;10, AJ112/100, VLOOKUP(AJ112, _rpe,SUBSTITUTE(AI112,"+","")+1,0)), IF( SWITCH(AE112,"sq",AI$7,"bn",AJ$7,"dl", AK$7,"")&lt; IF(_uom="lbs", 175, 80), 1.25, IF(_uom="lbs",5,2.5))))), "")</f>
        <v/>
      </c>
      <c r="AL112" s="148"/>
      <c r="AM112" s="33"/>
      <c r="AN112" s="171"/>
      <c r="AO112" s="124" t="str">
        <f>IFERROR(__xludf.DUMMYFUNCTION("IF(AK112=MAX(FILTER(AK$10:AK$199,LOOKUP(ROW(AE$10:AE$199),FILTER(ROW(AE$10:AE$199),AE$10:AE$199&lt;&gt;AE$9:AE$198))=LOOKUP(ROW(AE112),FILTER(ROW(AE$10:AE$199),AE$10:AE$199&lt;&gt;AE$9:AE$198)))),AL112,)"),"")</f>
        <v/>
      </c>
      <c r="AP112" s="122"/>
      <c r="AQ112" s="33"/>
      <c r="AR112" s="143" t="str">
        <f t="shared" si="16"/>
        <v/>
      </c>
      <c r="AS112" s="38" t="str">
        <f>IFERROR(__xludf.DUMMYFUNCTION("""COMPUTED_VALUE"""),"")</f>
        <v/>
      </c>
      <c r="AT112" s="144">
        <v>46132.0</v>
      </c>
      <c r="AU112" s="167" t="str">
        <f t="shared" si="26"/>
        <v/>
      </c>
      <c r="AV112" s="168" t="str">
        <f t="shared" si="325"/>
        <v/>
      </c>
      <c r="AW112" s="169" t="str">
        <f t="shared" si="326"/>
        <v/>
      </c>
      <c r="AX112" s="172" t="str">
        <f t="shared" si="327"/>
        <v/>
      </c>
      <c r="AY112" s="171" t="str">
        <f t="array" ref="AY112">IFERROR(IF(AS112="ac"+ISNUMBER(SEARCH("'",AX112))+AW112="","", IF(ISNUMBER(SEARCH("lw",AX112)), AK112 + SUBSTITUTE(AX112,"lw+",""), MROUND(SWITCH(AS112,"sq",AW$7,"bn",AX$7,"dl",AY$7,"")*IF(AX112&gt;10, AX112/100, VLOOKUP(AX112, _rpe,SUBSTITUTE(AW112,"+","")+1,0)), IF( SWITCH(AS112,"sq",AW$7,"bn",AX$7,"dl", AY$7,"")&lt; IF(_uom="lbs", 175, 80), 1.25, IF(_uom="lbs",5,2.5))))), "")</f>
        <v/>
      </c>
      <c r="AZ112" s="148"/>
      <c r="BA112" s="33"/>
      <c r="BB112" s="171"/>
      <c r="BC112" s="124" t="str">
        <f>IFERROR(__xludf.DUMMYFUNCTION("IF(AY112=MAX(FILTER(AY$10:AY$199,LOOKUP(ROW(AS$10:AS$199),FILTER(ROW(AS$10:AS$199),AS$10:AS$199&lt;&gt;AS$9:AS$198))=LOOKUP(ROW(AS112),FILTER(ROW(AS$10:AS$199),AS$10:AS$199&lt;&gt;AS$9:AS$198)))),AZ112,)"),"")</f>
        <v/>
      </c>
      <c r="BD112" s="122"/>
      <c r="BE112" s="33"/>
      <c r="BF112" s="143" t="str">
        <f t="shared" si="17"/>
        <v/>
      </c>
      <c r="BG112" s="38" t="str">
        <f>IFERROR(__xludf.DUMMYFUNCTION("""COMPUTED_VALUE"""),"")</f>
        <v/>
      </c>
      <c r="BH112" s="144">
        <v>46139.0</v>
      </c>
      <c r="BI112" s="167" t="str">
        <f t="shared" si="18"/>
        <v/>
      </c>
      <c r="BJ112" s="168" t="str">
        <f t="shared" si="328"/>
        <v/>
      </c>
      <c r="BK112" s="169" t="str">
        <f t="shared" si="329"/>
        <v/>
      </c>
      <c r="BL112" s="172" t="str">
        <f t="shared" si="330"/>
        <v/>
      </c>
      <c r="BM112" s="171" t="str">
        <f t="array" ref="BM112">IFERROR(IF(BG112="ac"+ISNUMBER(SEARCH("'",BL112))+BK112="","", IF(ISNUMBER(SEARCH("lw",BL112)), AY112 + SUBSTITUTE(BL112,"lw+",""), MROUND(SWITCH(BG112,"sq",BK$7,"bn",BL$7,"dl",BM$7,"")*IF(BL112&gt;10, BL112/100, VLOOKUP(BL112, _rpe,SUBSTITUTE(BK112,"+","")+1,0)), IF( SWITCH(BG112,"sq",BK$7,"bn",BL$7,"dl", BM$7,"")&lt; IF(_uom="lbs", 175, 80), 1.25, IF(_uom="lbs",5,2.5))))), "")</f>
        <v/>
      </c>
      <c r="BN112" s="148"/>
      <c r="BO112" s="33"/>
      <c r="BP112" s="171"/>
      <c r="BQ112" s="124" t="str">
        <f>IFERROR(__xludf.DUMMYFUNCTION("IF(BM112=MAX(FILTER(BM$10:BM$199,LOOKUP(ROW(BG$10:BG$199),FILTER(ROW(BG$10:BG$199),BG$10:BG$199&lt;&gt;BG$9:BG$198))=LOOKUP(ROW(BG112),FILTER(ROW(BG$10:BG$199),BG$10:BG$199&lt;&gt;BG$9:BG$198)))),BN112,)"),"")</f>
        <v/>
      </c>
      <c r="BR112" s="122"/>
      <c r="BS112" s="33"/>
      <c r="BT112" s="143" t="str">
        <f t="shared" si="19"/>
        <v/>
      </c>
      <c r="BU112" s="38" t="str">
        <f>IFERROR(__xludf.DUMMYFUNCTION("""COMPUTED_VALUE"""),"")</f>
        <v/>
      </c>
      <c r="BV112" s="144">
        <v>46146.0</v>
      </c>
      <c r="BW112" s="167" t="str">
        <f t="shared" si="20"/>
        <v/>
      </c>
      <c r="BX112" s="168" t="str">
        <f t="shared" si="331"/>
        <v/>
      </c>
      <c r="BY112" s="169" t="str">
        <f t="shared" si="332"/>
        <v/>
      </c>
      <c r="BZ112" s="172" t="str">
        <f t="shared" si="333"/>
        <v/>
      </c>
      <c r="CA112" s="171" t="str">
        <f t="array" ref="CA112">IFERROR(IF(BU112="ac"+ISNUMBER(SEARCH("'",BZ112))+BY112="","", IF(ISNUMBER(SEARCH("lw",BZ112)), BM112 + SUBSTITUTE(BZ112,"lw+",""), MROUND(SWITCH(BU112,"sq",BY$7,"bn",BZ$7,"dl",CA$7,"")*IF(BZ112&gt;10, BZ112/100, VLOOKUP(BZ112, _rpe,SUBSTITUTE(BY112,"+","")+1,0)), IF( SWITCH(BU112,"sq",BY$7,"bn",BZ$7,"dl", CA$7,"")&lt; IF(_uom="lbs", 175, 80), 1.25, IF(_uom="lbs",5,2.5))))), "")</f>
        <v/>
      </c>
      <c r="CB112" s="148"/>
      <c r="CC112" s="33"/>
      <c r="CD112" s="171"/>
      <c r="CE112" s="124" t="str">
        <f>IFERROR(__xludf.DUMMYFUNCTION("IF(CA112=MAX(FILTER(CA$10:CA$199,LOOKUP(ROW(BU$10:BU$199),FILTER(ROW(BU$10:BU$199),BU$10:BU$199&lt;&gt;BU$9:BU$198))=LOOKUP(ROW(BU112),FILTER(ROW(BU$10:BU$199),BU$10:BU$199&lt;&gt;BU$9:BU$198)))),CB112,)"),"")</f>
        <v/>
      </c>
      <c r="CF112" s="122"/>
      <c r="CG112" s="33"/>
      <c r="CH112" s="143" t="str">
        <f t="shared" si="21"/>
        <v/>
      </c>
      <c r="CI112" s="38" t="str">
        <f>IFERROR(__xludf.DUMMYFUNCTION("""COMPUTED_VALUE"""),"")</f>
        <v/>
      </c>
      <c r="CJ112" s="144">
        <v>46153.0</v>
      </c>
      <c r="CK112" s="167" t="str">
        <f t="shared" si="27"/>
        <v/>
      </c>
      <c r="CL112" s="168" t="str">
        <f t="shared" si="334"/>
        <v/>
      </c>
      <c r="CM112" s="169" t="str">
        <f t="shared" si="335"/>
        <v/>
      </c>
      <c r="CN112" s="172" t="str">
        <f t="shared" si="336"/>
        <v/>
      </c>
      <c r="CO112" s="171" t="str">
        <f t="array" ref="CO112">IFERROR(IF(CI112="ac"+ISNUMBER(SEARCH("'",CN112))+CM112="","", IF(ISNUMBER(SEARCH("lw",CN112)), CA112 + SUBSTITUTE(CN112,"lw+",""), MROUND(SWITCH(CI112,"sq",CM$7,"bn",CN$7,"dl",CO$7,"")*IF(CN112&gt;10, CN112/100, VLOOKUP(CN112, _rpe,SUBSTITUTE(CM112,"+","")+1,0)), IF( SWITCH(CI112,"sq",CM$7,"bn",CN$7,"dl", CO$7,"")&lt; IF(_uom="lbs", 175, 80), 1.25, IF(_uom="lbs",5,2.5))))), "")</f>
        <v/>
      </c>
      <c r="CP112" s="148"/>
      <c r="CQ112" s="33"/>
      <c r="CR112" s="171"/>
      <c r="CS112" s="124" t="str">
        <f>IFERROR(__xludf.DUMMYFUNCTION("IF(CO112=MAX(FILTER(CO$10:CO$199,LOOKUP(ROW(CI$10:CI$199),FILTER(ROW(CI$10:CI$199),CI$10:CI$199&lt;&gt;CI$9:CI$198))=LOOKUP(ROW(CI112),FILTER(ROW(CI$10:CI$199),CI$10:CI$199&lt;&gt;CI$9:CI$198)))),CP112,)"),"")</f>
        <v/>
      </c>
      <c r="CT112" s="122"/>
      <c r="CU112" s="33"/>
      <c r="CV112" s="143" t="str">
        <f t="shared" si="22"/>
        <v/>
      </c>
      <c r="CW112" s="38" t="str">
        <f>IFERROR(__xludf.DUMMYFUNCTION("""COMPUTED_VALUE"""),"")</f>
        <v/>
      </c>
      <c r="CX112" s="144">
        <v>46160.0</v>
      </c>
      <c r="CY112" s="167" t="str">
        <f t="shared" si="28"/>
        <v/>
      </c>
      <c r="CZ112" s="168" t="str">
        <f t="shared" si="337"/>
        <v/>
      </c>
      <c r="DA112" s="169" t="str">
        <f t="shared" si="338"/>
        <v/>
      </c>
      <c r="DB112" s="172" t="str">
        <f t="shared" si="339"/>
        <v/>
      </c>
      <c r="DC112" s="171" t="str">
        <f t="array" ref="DC112">IFERROR(IF(CW112="ac"+ISNUMBER(SEARCH("'",DB112))+DA112="","", IF(ISNUMBER(SEARCH("lw",DB112)), CO112 + SUBSTITUTE(DB112,"lw+",""), MROUND(SWITCH(CW112,"sq",DA$7,"bn",DB$7,"dl",DC$7,"")*IF(DB112&gt;10, DB112/100, VLOOKUP(DB112, _rpe,SUBSTITUTE(DA112,"+","")+1,0)), IF( SWITCH(CW112,"sq",DA$7,"bn",DB$7,"dl", DC$7,"")&lt; IF(_uom="lbs", 175, 80), 1.25, IF(_uom="lbs",5,2.5))))), "")</f>
        <v/>
      </c>
      <c r="DD112" s="148"/>
      <c r="DE112" s="33"/>
      <c r="DF112" s="171"/>
      <c r="DG112" s="124" t="str">
        <f>IFERROR(__xludf.DUMMYFUNCTION("IF(DC112=MAX(FILTER(DC$10:DC$199,LOOKUP(ROW(CW$10:CW$199),FILTER(ROW(CW$10:CW$199),CW$10:CW$199&lt;&gt;CW$9:CW$198))=LOOKUP(ROW(CW112),FILTER(ROW(CW$10:CW$199),CW$10:CW$199&lt;&gt;CW$9:CW$198)))),DD112,)"),"")</f>
        <v/>
      </c>
      <c r="DH112" s="122"/>
      <c r="DI112" s="33"/>
      <c r="DJ112" s="143" t="str">
        <f t="shared" si="23"/>
        <v/>
      </c>
      <c r="DK112" s="38" t="str">
        <f>IFERROR(__xludf.DUMMYFUNCTION("""COMPUTED_VALUE"""),"")</f>
        <v/>
      </c>
      <c r="DL112" s="144">
        <v>46167.0</v>
      </c>
      <c r="DM112" s="167" t="str">
        <f t="shared" ref="DM112:DN112" si="364">IF(ISBLANK(CY112),"",CY112)</f>
        <v/>
      </c>
      <c r="DN112" s="168" t="str">
        <f t="shared" si="364"/>
        <v/>
      </c>
      <c r="DO112" s="169" t="str">
        <f t="shared" si="341"/>
        <v/>
      </c>
      <c r="DP112" s="172" t="str">
        <f t="shared" si="342"/>
        <v/>
      </c>
      <c r="DQ112" s="171" t="str">
        <f t="array" ref="DQ112">IFERROR(IF(DK112="ac"+ISNUMBER(SEARCH("'",DP112))+DO112="","", IF(ISNUMBER(SEARCH("lw",DP112)), DC112 + SUBSTITUTE(DP112,"lw+",""), MROUND(SWITCH(DK112,"sq",DO$7,"bn",DP$7,"dl",DQ$7,"")*IF(DP112&gt;10, DP112/100, VLOOKUP(DP112, _rpe,SUBSTITUTE(DO112,"+","")+1,0)), IF( SWITCH(DK112,"sq",DO$7,"bn",DP$7,"dl", DQ$7,"")&lt; IF(_uom="lbs", 175, 80), 1.25, IF(_uom="lbs",5,2.5))))), "")</f>
        <v/>
      </c>
      <c r="DR112" s="148"/>
      <c r="DS112" s="33"/>
      <c r="DT112" s="171"/>
      <c r="DU112" s="124" t="str">
        <f>IFERROR(__xludf.DUMMYFUNCTION("IF(DQ112=MAX(FILTER(DQ$10:DQ$199,LOOKUP(ROW(DK$10:DK$199),FILTER(ROW(DK$10:DK$199),DK$10:DK$199&lt;&gt;DK$9:DK$198))=LOOKUP(ROW(DK112),FILTER(ROW(DK$10:DK$199),DK$10:DK$199&lt;&gt;DK$9:DK$198)))),DR112,)"),"")</f>
        <v/>
      </c>
      <c r="DV112" s="122"/>
      <c r="DW112" s="33"/>
      <c r="DX112" s="143"/>
      <c r="DY112" s="38"/>
      <c r="DZ112" s="144"/>
      <c r="EA112" s="150"/>
      <c r="EB112" s="174"/>
      <c r="EC112" s="175"/>
      <c r="ED112" s="176"/>
      <c r="EE112" s="155"/>
      <c r="EF112" s="148"/>
      <c r="EG112" s="33"/>
      <c r="EH112" s="155"/>
      <c r="EI112" s="148"/>
      <c r="EJ112" s="33"/>
      <c r="EK112" s="33"/>
      <c r="EL112" s="143"/>
      <c r="EM112" s="38"/>
      <c r="EN112" s="144"/>
      <c r="EO112" s="150"/>
      <c r="EP112" s="174"/>
      <c r="EQ112" s="175"/>
      <c r="ER112" s="176"/>
      <c r="ES112" s="155"/>
      <c r="ET112" s="148"/>
      <c r="EU112" s="33"/>
      <c r="EV112" s="155"/>
      <c r="EW112" s="148"/>
      <c r="EX112" s="33"/>
      <c r="EY112" s="33"/>
      <c r="EZ112" s="143"/>
      <c r="FA112" s="38"/>
      <c r="FB112" s="144"/>
      <c r="FC112" s="150"/>
      <c r="FD112" s="174"/>
      <c r="FE112" s="175"/>
      <c r="FF112" s="176"/>
      <c r="FG112" s="155"/>
      <c r="FH112" s="148"/>
      <c r="FI112" s="33"/>
      <c r="FJ112" s="155"/>
      <c r="FK112" s="148"/>
      <c r="FL112" s="33"/>
      <c r="FM112" s="33"/>
      <c r="FN112" s="143"/>
      <c r="FO112" s="38"/>
      <c r="FP112" s="144"/>
      <c r="FQ112" s="150"/>
      <c r="FR112" s="174"/>
      <c r="FS112" s="175"/>
      <c r="FT112" s="176"/>
      <c r="FU112" s="155"/>
      <c r="FV112" s="148"/>
      <c r="FW112" s="33"/>
      <c r="FX112" s="155"/>
      <c r="FY112" s="148"/>
      <c r="FZ112" s="33"/>
      <c r="GA112" s="33"/>
      <c r="GB112" s="143"/>
      <c r="GC112" s="38"/>
      <c r="GD112" s="144"/>
      <c r="GE112" s="150"/>
      <c r="GF112" s="174"/>
      <c r="GG112" s="175"/>
      <c r="GH112" s="176"/>
      <c r="GI112" s="155"/>
      <c r="GJ112" s="148"/>
      <c r="GK112" s="33"/>
      <c r="GL112" s="155"/>
      <c r="GM112" s="148"/>
      <c r="GN112" s="33"/>
      <c r="GO112" s="33"/>
      <c r="GP112" s="143"/>
      <c r="GQ112" s="38"/>
      <c r="GR112" s="144"/>
      <c r="GS112" s="150"/>
      <c r="GT112" s="174"/>
      <c r="GU112" s="175"/>
      <c r="GV112" s="176"/>
      <c r="GW112" s="155"/>
      <c r="GX112" s="148"/>
      <c r="GY112" s="33"/>
      <c r="GZ112" s="155"/>
      <c r="HA112" s="148"/>
      <c r="HB112" s="33"/>
      <c r="HC112" s="33"/>
      <c r="HD112" s="143"/>
      <c r="HE112" s="38"/>
      <c r="HF112" s="144"/>
      <c r="HG112" s="150"/>
      <c r="HH112" s="174"/>
      <c r="HI112" s="175"/>
      <c r="HJ112" s="176"/>
      <c r="HK112" s="155"/>
      <c r="HL112" s="148"/>
      <c r="HM112" s="33"/>
      <c r="HN112" s="155"/>
      <c r="HO112" s="148"/>
      <c r="HP112" s="33"/>
      <c r="HQ112" s="33"/>
      <c r="HR112" s="143"/>
      <c r="HS112" s="38"/>
      <c r="HT112" s="144"/>
      <c r="HU112" s="150"/>
      <c r="HV112" s="174"/>
      <c r="HW112" s="175"/>
      <c r="HX112" s="176"/>
      <c r="HY112" s="155"/>
      <c r="HZ112" s="148"/>
      <c r="IA112" s="33"/>
      <c r="IB112" s="155"/>
      <c r="IC112" s="148"/>
      <c r="ID112" s="33"/>
      <c r="IE112" s="33"/>
      <c r="IF112" s="143"/>
      <c r="IG112" s="38"/>
      <c r="IH112" s="144"/>
      <c r="II112" s="150"/>
      <c r="IJ112" s="174"/>
      <c r="IK112" s="175"/>
      <c r="IL112" s="176"/>
      <c r="IM112" s="155"/>
      <c r="IN112" s="148"/>
      <c r="IO112" s="33"/>
      <c r="IP112" s="155"/>
      <c r="IQ112" s="148"/>
      <c r="IR112" s="33"/>
      <c r="IS112" s="33"/>
      <c r="IT112" s="143"/>
      <c r="IU112" s="38"/>
      <c r="IV112" s="144"/>
      <c r="IW112" s="143"/>
      <c r="IX112" s="38"/>
      <c r="IY112" s="144" t="e">
        <v>#REF!</v>
      </c>
    </row>
    <row r="113">
      <c r="A113" s="33"/>
      <c r="B113" s="181"/>
      <c r="C113" s="38" t="str">
        <f>IFERROR(__xludf.DUMMYFUNCTION("""COMPUTED_VALUE"""),"")</f>
        <v/>
      </c>
      <c r="D113" s="144">
        <v>46111.0</v>
      </c>
      <c r="E113" s="167"/>
      <c r="F113" s="168"/>
      <c r="G113" s="169"/>
      <c r="H113" s="170"/>
      <c r="I113" s="171" t="str">
        <f t="array" ref="I113">IFERROR(IF(C113="ac"+ISNUMBER(SEARCH("'",H113))+G113="","", MROUND(SWITCH(C113,"sq",'Personal Info'!$O$15,"bn",'Personal Info'!$S$15,"dl",'Personal Info'!$W$15,"")*IF(H113&gt;10, H113/100, VLOOKUP(H113, _rpe,SUBSTITUTE(G113,"+","")+1,0)), IF( SWITCH(C113:C210,"sq",'Personal Info'!$O$15,"bn",'Personal Info'!$S$15,"dl", 'Personal Info'!$W$15,"")&lt; IF(_uom="lbs", 175, 80), 1.25, IF(_uom="lbs",5,2.5)))),"")</f>
        <v/>
      </c>
      <c r="J113" s="148"/>
      <c r="K113" s="33"/>
      <c r="L113" s="171"/>
      <c r="M113" s="124" t="str">
        <f>IFERROR(__xludf.DUMMYFUNCTION("IF(I113=MAX(FILTER(I$10:I$199,LOOKUP(ROW(C$10:C$199),FILTER(ROW(C$10:C$199),C$10:C$199&lt;&gt;C$9:C$198))=LOOKUP(ROW(C113),FILTER(ROW(C$10:C$199),C$10:C$199&lt;&gt;C$9:C$198)))),J113,)"),"")</f>
        <v/>
      </c>
      <c r="N113" s="122"/>
      <c r="O113" s="33"/>
      <c r="P113" s="143" t="str">
        <f t="shared" si="12"/>
        <v/>
      </c>
      <c r="Q113" s="38" t="str">
        <f>IFERROR(__xludf.DUMMYFUNCTION("""COMPUTED_VALUE"""),"")</f>
        <v/>
      </c>
      <c r="R113" s="144">
        <v>46118.0</v>
      </c>
      <c r="S113" s="167" t="str">
        <f t="shared" si="13"/>
        <v/>
      </c>
      <c r="T113" s="168" t="str">
        <f t="shared" si="319"/>
        <v/>
      </c>
      <c r="U113" s="169" t="str">
        <f t="shared" si="320"/>
        <v/>
      </c>
      <c r="V113" s="172" t="str">
        <f t="shared" si="321"/>
        <v/>
      </c>
      <c r="W113" s="171" t="str">
        <f t="array" ref="W113">IFERROR(IF(Q113="ac"+ISNUMBER(SEARCH("'",V113))+U113="","", IF(ISNUMBER(SEARCH("lw",V113)), I113 + SUBSTITUTE(V113,"lw+",""), MROUND(SWITCH(Q113,"sq",U$7,"bn",V$7,"dl",W$7,"")*IF(V113&gt;10, V113/100, VLOOKUP(V113, _rpe,SUBSTITUTE(U113,"+","")+1,0)), IF( SWITCH(Q113,"sq",U$7,"bn",V$7,"dl", W$7,"")&lt; IF(_uom="lbs", 175, 80), 1.25, IF(_uom="lbs",5,2.5))))), "")</f>
        <v/>
      </c>
      <c r="X113" s="148"/>
      <c r="Y113" s="33"/>
      <c r="Z113" s="171"/>
      <c r="AA113" s="124" t="str">
        <f>IFERROR(__xludf.DUMMYFUNCTION("IF(W113=MAX(FILTER(W$10:W$199,LOOKUP(ROW(Q$10:Q$199),FILTER(ROW(Q$10:Q$199),Q$10:Q$199&lt;&gt;Q$9:Q$198))=LOOKUP(ROW(Q113),FILTER(ROW(Q$10:Q$199),Q$10:Q$199&lt;&gt;Q$9:Q$198)))),X113,)"),"")</f>
        <v/>
      </c>
      <c r="AB113" s="122"/>
      <c r="AC113" s="33"/>
      <c r="AD113" s="143" t="str">
        <f t="shared" si="14"/>
        <v/>
      </c>
      <c r="AE113" s="38" t="str">
        <f>IFERROR(__xludf.DUMMYFUNCTION("""COMPUTED_VALUE"""),"")</f>
        <v/>
      </c>
      <c r="AF113" s="144">
        <v>46125.0</v>
      </c>
      <c r="AG113" s="167" t="str">
        <f t="shared" si="54"/>
        <v/>
      </c>
      <c r="AH113" s="168" t="str">
        <f t="shared" si="322"/>
        <v/>
      </c>
      <c r="AI113" s="169" t="str">
        <f t="shared" si="323"/>
        <v/>
      </c>
      <c r="AJ113" s="172" t="str">
        <f t="shared" si="324"/>
        <v/>
      </c>
      <c r="AK113" s="171" t="str">
        <f t="array" ref="AK113">IFERROR(IF(AE113="ac"+ISNUMBER(SEARCH("'",AJ113))+AI113="","", IF(ISNUMBER(SEARCH("lw",AJ113)), W113 + SUBSTITUTE(AJ113,"lw+",""), MROUND(SWITCH(AE113,"sq",AI$7,"bn",AJ$7,"dl",AK$7,"")*IF(AJ113&gt;10, AJ113/100, VLOOKUP(AJ113, _rpe,SUBSTITUTE(AI113,"+","")+1,0)), IF( SWITCH(AE113,"sq",AI$7,"bn",AJ$7,"dl", AK$7,"")&lt; IF(_uom="lbs", 175, 80), 1.25, IF(_uom="lbs",5,2.5))))), "")</f>
        <v/>
      </c>
      <c r="AL113" s="148"/>
      <c r="AM113" s="33"/>
      <c r="AN113" s="171"/>
      <c r="AO113" s="124" t="str">
        <f>IFERROR(__xludf.DUMMYFUNCTION("IF(AK113=MAX(FILTER(AK$10:AK$199,LOOKUP(ROW(AE$10:AE$199),FILTER(ROW(AE$10:AE$199),AE$10:AE$199&lt;&gt;AE$9:AE$198))=LOOKUP(ROW(AE113),FILTER(ROW(AE$10:AE$199),AE$10:AE$199&lt;&gt;AE$9:AE$198)))),AL113,)"),"")</f>
        <v/>
      </c>
      <c r="AP113" s="122"/>
      <c r="AQ113" s="33"/>
      <c r="AR113" s="143" t="str">
        <f t="shared" si="16"/>
        <v/>
      </c>
      <c r="AS113" s="38" t="str">
        <f>IFERROR(__xludf.DUMMYFUNCTION("""COMPUTED_VALUE"""),"")</f>
        <v/>
      </c>
      <c r="AT113" s="144">
        <v>46132.0</v>
      </c>
      <c r="AU113" s="167" t="str">
        <f t="shared" si="26"/>
        <v/>
      </c>
      <c r="AV113" s="168" t="str">
        <f t="shared" si="325"/>
        <v/>
      </c>
      <c r="AW113" s="169" t="str">
        <f t="shared" si="326"/>
        <v/>
      </c>
      <c r="AX113" s="172" t="str">
        <f t="shared" si="327"/>
        <v/>
      </c>
      <c r="AY113" s="171" t="str">
        <f t="array" ref="AY113">IFERROR(IF(AS113="ac"+ISNUMBER(SEARCH("'",AX113))+AW113="","", IF(ISNUMBER(SEARCH("lw",AX113)), AK113 + SUBSTITUTE(AX113,"lw+",""), MROUND(SWITCH(AS113,"sq",AW$7,"bn",AX$7,"dl",AY$7,"")*IF(AX113&gt;10, AX113/100, VLOOKUP(AX113, _rpe,SUBSTITUTE(AW113,"+","")+1,0)), IF( SWITCH(AS113,"sq",AW$7,"bn",AX$7,"dl", AY$7,"")&lt; IF(_uom="lbs", 175, 80), 1.25, IF(_uom="lbs",5,2.5))))), "")</f>
        <v/>
      </c>
      <c r="AZ113" s="148"/>
      <c r="BA113" s="33"/>
      <c r="BB113" s="171"/>
      <c r="BC113" s="124" t="str">
        <f>IFERROR(__xludf.DUMMYFUNCTION("IF(AY113=MAX(FILTER(AY$10:AY$199,LOOKUP(ROW(AS$10:AS$199),FILTER(ROW(AS$10:AS$199),AS$10:AS$199&lt;&gt;AS$9:AS$198))=LOOKUP(ROW(AS113),FILTER(ROW(AS$10:AS$199),AS$10:AS$199&lt;&gt;AS$9:AS$198)))),AZ113,)"),"")</f>
        <v/>
      </c>
      <c r="BD113" s="122"/>
      <c r="BE113" s="33"/>
      <c r="BF113" s="143" t="str">
        <f t="shared" si="17"/>
        <v/>
      </c>
      <c r="BG113" s="38" t="str">
        <f>IFERROR(__xludf.DUMMYFUNCTION("""COMPUTED_VALUE"""),"")</f>
        <v/>
      </c>
      <c r="BH113" s="144">
        <v>46139.0</v>
      </c>
      <c r="BI113" s="167" t="str">
        <f t="shared" si="18"/>
        <v/>
      </c>
      <c r="BJ113" s="168" t="str">
        <f t="shared" si="328"/>
        <v/>
      </c>
      <c r="BK113" s="169" t="str">
        <f t="shared" si="329"/>
        <v/>
      </c>
      <c r="BL113" s="172" t="str">
        <f t="shared" si="330"/>
        <v/>
      </c>
      <c r="BM113" s="171" t="str">
        <f t="array" ref="BM113">IFERROR(IF(BG113="ac"+ISNUMBER(SEARCH("'",BL113))+BK113="","", IF(ISNUMBER(SEARCH("lw",BL113)), AY113 + SUBSTITUTE(BL113,"lw+",""), MROUND(SWITCH(BG113,"sq",BK$7,"bn",BL$7,"dl",BM$7,"")*IF(BL113&gt;10, BL113/100, VLOOKUP(BL113, _rpe,SUBSTITUTE(BK113,"+","")+1,0)), IF( SWITCH(BG113,"sq",BK$7,"bn",BL$7,"dl", BM$7,"")&lt; IF(_uom="lbs", 175, 80), 1.25, IF(_uom="lbs",5,2.5))))), "")</f>
        <v/>
      </c>
      <c r="BN113" s="148"/>
      <c r="BO113" s="33"/>
      <c r="BP113" s="171"/>
      <c r="BQ113" s="124" t="str">
        <f>IFERROR(__xludf.DUMMYFUNCTION("IF(BM113=MAX(FILTER(BM$10:BM$199,LOOKUP(ROW(BG$10:BG$199),FILTER(ROW(BG$10:BG$199),BG$10:BG$199&lt;&gt;BG$9:BG$198))=LOOKUP(ROW(BG113),FILTER(ROW(BG$10:BG$199),BG$10:BG$199&lt;&gt;BG$9:BG$198)))),BN113,)"),"")</f>
        <v/>
      </c>
      <c r="BR113" s="122"/>
      <c r="BS113" s="33"/>
      <c r="BT113" s="143" t="str">
        <f t="shared" si="19"/>
        <v/>
      </c>
      <c r="BU113" s="38" t="str">
        <f>IFERROR(__xludf.DUMMYFUNCTION("""COMPUTED_VALUE"""),"")</f>
        <v/>
      </c>
      <c r="BV113" s="144">
        <v>46146.0</v>
      </c>
      <c r="BW113" s="167" t="str">
        <f t="shared" si="20"/>
        <v/>
      </c>
      <c r="BX113" s="168" t="str">
        <f t="shared" si="331"/>
        <v/>
      </c>
      <c r="BY113" s="169" t="str">
        <f t="shared" si="332"/>
        <v/>
      </c>
      <c r="BZ113" s="172" t="str">
        <f t="shared" si="333"/>
        <v/>
      </c>
      <c r="CA113" s="171" t="str">
        <f t="array" ref="CA113">IFERROR(IF(BU113="ac"+ISNUMBER(SEARCH("'",BZ113))+BY113="","", IF(ISNUMBER(SEARCH("lw",BZ113)), BM113 + SUBSTITUTE(BZ113,"lw+",""), MROUND(SWITCH(BU113,"sq",BY$7,"bn",BZ$7,"dl",CA$7,"")*IF(BZ113&gt;10, BZ113/100, VLOOKUP(BZ113, _rpe,SUBSTITUTE(BY113,"+","")+1,0)), IF( SWITCH(BU113,"sq",BY$7,"bn",BZ$7,"dl", CA$7,"")&lt; IF(_uom="lbs", 175, 80), 1.25, IF(_uom="lbs",5,2.5))))), "")</f>
        <v/>
      </c>
      <c r="CB113" s="148"/>
      <c r="CC113" s="33"/>
      <c r="CD113" s="171"/>
      <c r="CE113" s="124" t="str">
        <f>IFERROR(__xludf.DUMMYFUNCTION("IF(CA113=MAX(FILTER(CA$10:CA$199,LOOKUP(ROW(BU$10:BU$199),FILTER(ROW(BU$10:BU$199),BU$10:BU$199&lt;&gt;BU$9:BU$198))=LOOKUP(ROW(BU113),FILTER(ROW(BU$10:BU$199),BU$10:BU$199&lt;&gt;BU$9:BU$198)))),CB113,)"),"")</f>
        <v/>
      </c>
      <c r="CF113" s="122"/>
      <c r="CG113" s="33"/>
      <c r="CH113" s="143" t="str">
        <f t="shared" si="21"/>
        <v/>
      </c>
      <c r="CI113" s="38" t="str">
        <f>IFERROR(__xludf.DUMMYFUNCTION("""COMPUTED_VALUE"""),"")</f>
        <v/>
      </c>
      <c r="CJ113" s="144">
        <v>46153.0</v>
      </c>
      <c r="CK113" s="167" t="str">
        <f t="shared" si="27"/>
        <v/>
      </c>
      <c r="CL113" s="168" t="str">
        <f t="shared" si="334"/>
        <v/>
      </c>
      <c r="CM113" s="169" t="str">
        <f t="shared" si="335"/>
        <v/>
      </c>
      <c r="CN113" s="172" t="str">
        <f t="shared" si="336"/>
        <v/>
      </c>
      <c r="CO113" s="171" t="str">
        <f t="array" ref="CO113">IFERROR(IF(CI113="ac"+ISNUMBER(SEARCH("'",CN113))+CM113="","", IF(ISNUMBER(SEARCH("lw",CN113)), CA113 + SUBSTITUTE(CN113,"lw+",""), MROUND(SWITCH(CI113,"sq",CM$7,"bn",CN$7,"dl",CO$7,"")*IF(CN113&gt;10, CN113/100, VLOOKUP(CN113, _rpe,SUBSTITUTE(CM113,"+","")+1,0)), IF( SWITCH(CI113,"sq",CM$7,"bn",CN$7,"dl", CO$7,"")&lt; IF(_uom="lbs", 175, 80), 1.25, IF(_uom="lbs",5,2.5))))), "")</f>
        <v/>
      </c>
      <c r="CP113" s="148"/>
      <c r="CQ113" s="33"/>
      <c r="CR113" s="171"/>
      <c r="CS113" s="124" t="str">
        <f>IFERROR(__xludf.DUMMYFUNCTION("IF(CO113=MAX(FILTER(CO$10:CO$199,LOOKUP(ROW(CI$10:CI$199),FILTER(ROW(CI$10:CI$199),CI$10:CI$199&lt;&gt;CI$9:CI$198))=LOOKUP(ROW(CI113),FILTER(ROW(CI$10:CI$199),CI$10:CI$199&lt;&gt;CI$9:CI$198)))),CP113,)"),"")</f>
        <v/>
      </c>
      <c r="CT113" s="122"/>
      <c r="CU113" s="33"/>
      <c r="CV113" s="143" t="str">
        <f t="shared" si="22"/>
        <v/>
      </c>
      <c r="CW113" s="38" t="str">
        <f>IFERROR(__xludf.DUMMYFUNCTION("""COMPUTED_VALUE"""),"")</f>
        <v/>
      </c>
      <c r="CX113" s="144">
        <v>46160.0</v>
      </c>
      <c r="CY113" s="167" t="str">
        <f t="shared" si="28"/>
        <v/>
      </c>
      <c r="CZ113" s="168" t="str">
        <f t="shared" si="337"/>
        <v/>
      </c>
      <c r="DA113" s="169" t="str">
        <f t="shared" si="338"/>
        <v/>
      </c>
      <c r="DB113" s="172" t="str">
        <f t="shared" si="339"/>
        <v/>
      </c>
      <c r="DC113" s="171" t="str">
        <f t="array" ref="DC113">IFERROR(IF(CW113="ac"+ISNUMBER(SEARCH("'",DB113))+DA113="","", IF(ISNUMBER(SEARCH("lw",DB113)), CO113 + SUBSTITUTE(DB113,"lw+",""), MROUND(SWITCH(CW113,"sq",DA$7,"bn",DB$7,"dl",DC$7,"")*IF(DB113&gt;10, DB113/100, VLOOKUP(DB113, _rpe,SUBSTITUTE(DA113,"+","")+1,0)), IF( SWITCH(CW113,"sq",DA$7,"bn",DB$7,"dl", DC$7,"")&lt; IF(_uom="lbs", 175, 80), 1.25, IF(_uom="lbs",5,2.5))))), "")</f>
        <v/>
      </c>
      <c r="DD113" s="148"/>
      <c r="DE113" s="33"/>
      <c r="DF113" s="171"/>
      <c r="DG113" s="124" t="str">
        <f>IFERROR(__xludf.DUMMYFUNCTION("IF(DC113=MAX(FILTER(DC$10:DC$199,LOOKUP(ROW(CW$10:CW$199),FILTER(ROW(CW$10:CW$199),CW$10:CW$199&lt;&gt;CW$9:CW$198))=LOOKUP(ROW(CW113),FILTER(ROW(CW$10:CW$199),CW$10:CW$199&lt;&gt;CW$9:CW$198)))),DD113,)"),"")</f>
        <v/>
      </c>
      <c r="DH113" s="122"/>
      <c r="DI113" s="33"/>
      <c r="DJ113" s="143" t="str">
        <f t="shared" si="23"/>
        <v/>
      </c>
      <c r="DK113" s="38" t="str">
        <f>IFERROR(__xludf.DUMMYFUNCTION("""COMPUTED_VALUE"""),"")</f>
        <v/>
      </c>
      <c r="DL113" s="144">
        <v>46167.0</v>
      </c>
      <c r="DM113" s="167" t="str">
        <f t="shared" ref="DM113:DN113" si="365">IF(ISBLANK(CY113),"",CY113)</f>
        <v/>
      </c>
      <c r="DN113" s="168" t="str">
        <f t="shared" si="365"/>
        <v/>
      </c>
      <c r="DO113" s="169" t="str">
        <f t="shared" si="341"/>
        <v/>
      </c>
      <c r="DP113" s="172" t="str">
        <f t="shared" si="342"/>
        <v/>
      </c>
      <c r="DQ113" s="171" t="str">
        <f t="array" ref="DQ113">IFERROR(IF(DK113="ac"+ISNUMBER(SEARCH("'",DP113))+DO113="","", IF(ISNUMBER(SEARCH("lw",DP113)), DC113 + SUBSTITUTE(DP113,"lw+",""), MROUND(SWITCH(DK113,"sq",DO$7,"bn",DP$7,"dl",DQ$7,"")*IF(DP113&gt;10, DP113/100, VLOOKUP(DP113, _rpe,SUBSTITUTE(DO113,"+","")+1,0)), IF( SWITCH(DK113,"sq",DO$7,"bn",DP$7,"dl", DQ$7,"")&lt; IF(_uom="lbs", 175, 80), 1.25, IF(_uom="lbs",5,2.5))))), "")</f>
        <v/>
      </c>
      <c r="DR113" s="148"/>
      <c r="DS113" s="33"/>
      <c r="DT113" s="171"/>
      <c r="DU113" s="124" t="str">
        <f>IFERROR(__xludf.DUMMYFUNCTION("IF(DQ113=MAX(FILTER(DQ$10:DQ$199,LOOKUP(ROW(DK$10:DK$199),FILTER(ROW(DK$10:DK$199),DK$10:DK$199&lt;&gt;DK$9:DK$198))=LOOKUP(ROW(DK113),FILTER(ROW(DK$10:DK$199),DK$10:DK$199&lt;&gt;DK$9:DK$198)))),DR113,)"),"")</f>
        <v/>
      </c>
      <c r="DV113" s="122"/>
      <c r="DW113" s="33"/>
      <c r="DX113" s="143"/>
      <c r="DY113" s="38"/>
      <c r="DZ113" s="144"/>
      <c r="EA113" s="150"/>
      <c r="EB113" s="174"/>
      <c r="EC113" s="175"/>
      <c r="ED113" s="176"/>
      <c r="EE113" s="155"/>
      <c r="EF113" s="148"/>
      <c r="EG113" s="33"/>
      <c r="EH113" s="155"/>
      <c r="EI113" s="148"/>
      <c r="EJ113" s="33"/>
      <c r="EK113" s="33"/>
      <c r="EL113" s="143"/>
      <c r="EM113" s="38"/>
      <c r="EN113" s="144"/>
      <c r="EO113" s="150"/>
      <c r="EP113" s="174"/>
      <c r="EQ113" s="175"/>
      <c r="ER113" s="176"/>
      <c r="ES113" s="155"/>
      <c r="ET113" s="148"/>
      <c r="EU113" s="33"/>
      <c r="EV113" s="155"/>
      <c r="EW113" s="148"/>
      <c r="EX113" s="33"/>
      <c r="EY113" s="33"/>
      <c r="EZ113" s="143"/>
      <c r="FA113" s="38"/>
      <c r="FB113" s="144"/>
      <c r="FC113" s="150"/>
      <c r="FD113" s="174"/>
      <c r="FE113" s="175"/>
      <c r="FF113" s="176"/>
      <c r="FG113" s="155"/>
      <c r="FH113" s="148"/>
      <c r="FI113" s="33"/>
      <c r="FJ113" s="155"/>
      <c r="FK113" s="148"/>
      <c r="FL113" s="33"/>
      <c r="FM113" s="33"/>
      <c r="FN113" s="143"/>
      <c r="FO113" s="38"/>
      <c r="FP113" s="144"/>
      <c r="FQ113" s="150"/>
      <c r="FR113" s="174"/>
      <c r="FS113" s="175"/>
      <c r="FT113" s="176"/>
      <c r="FU113" s="155"/>
      <c r="FV113" s="148"/>
      <c r="FW113" s="33"/>
      <c r="FX113" s="155"/>
      <c r="FY113" s="148"/>
      <c r="FZ113" s="33"/>
      <c r="GA113" s="33"/>
      <c r="GB113" s="143"/>
      <c r="GC113" s="38"/>
      <c r="GD113" s="144"/>
      <c r="GE113" s="150"/>
      <c r="GF113" s="174"/>
      <c r="GG113" s="175"/>
      <c r="GH113" s="176"/>
      <c r="GI113" s="155"/>
      <c r="GJ113" s="148"/>
      <c r="GK113" s="33"/>
      <c r="GL113" s="155"/>
      <c r="GM113" s="148"/>
      <c r="GN113" s="33"/>
      <c r="GO113" s="33"/>
      <c r="GP113" s="143"/>
      <c r="GQ113" s="38"/>
      <c r="GR113" s="144"/>
      <c r="GS113" s="150"/>
      <c r="GT113" s="174"/>
      <c r="GU113" s="175"/>
      <c r="GV113" s="176"/>
      <c r="GW113" s="155"/>
      <c r="GX113" s="148"/>
      <c r="GY113" s="33"/>
      <c r="GZ113" s="155"/>
      <c r="HA113" s="148"/>
      <c r="HB113" s="33"/>
      <c r="HC113" s="33"/>
      <c r="HD113" s="143"/>
      <c r="HE113" s="38"/>
      <c r="HF113" s="144"/>
      <c r="HG113" s="150"/>
      <c r="HH113" s="174"/>
      <c r="HI113" s="175"/>
      <c r="HJ113" s="176"/>
      <c r="HK113" s="155"/>
      <c r="HL113" s="148"/>
      <c r="HM113" s="33"/>
      <c r="HN113" s="155"/>
      <c r="HO113" s="148"/>
      <c r="HP113" s="33"/>
      <c r="HQ113" s="33"/>
      <c r="HR113" s="143"/>
      <c r="HS113" s="38"/>
      <c r="HT113" s="144"/>
      <c r="HU113" s="150"/>
      <c r="HV113" s="174"/>
      <c r="HW113" s="175"/>
      <c r="HX113" s="176"/>
      <c r="HY113" s="155"/>
      <c r="HZ113" s="148"/>
      <c r="IA113" s="33"/>
      <c r="IB113" s="155"/>
      <c r="IC113" s="148"/>
      <c r="ID113" s="33"/>
      <c r="IE113" s="33"/>
      <c r="IF113" s="143"/>
      <c r="IG113" s="38"/>
      <c r="IH113" s="144"/>
      <c r="II113" s="150"/>
      <c r="IJ113" s="174"/>
      <c r="IK113" s="175"/>
      <c r="IL113" s="176"/>
      <c r="IM113" s="155"/>
      <c r="IN113" s="148"/>
      <c r="IO113" s="33"/>
      <c r="IP113" s="155"/>
      <c r="IQ113" s="148"/>
      <c r="IR113" s="33"/>
      <c r="IS113" s="33"/>
      <c r="IT113" s="143"/>
      <c r="IU113" s="38"/>
      <c r="IV113" s="144"/>
      <c r="IW113" s="143"/>
      <c r="IX113" s="38"/>
      <c r="IY113" s="144" t="e">
        <v>#REF!</v>
      </c>
    </row>
    <row r="114">
      <c r="A114" s="33"/>
      <c r="B114" s="181"/>
      <c r="C114" s="38" t="str">
        <f>IFERROR(__xludf.DUMMYFUNCTION("""COMPUTED_VALUE"""),"")</f>
        <v/>
      </c>
      <c r="D114" s="144">
        <v>46111.0</v>
      </c>
      <c r="E114" s="167"/>
      <c r="F114" s="168"/>
      <c r="G114" s="169"/>
      <c r="H114" s="170"/>
      <c r="I114" s="171" t="str">
        <f t="array" ref="I114">IFERROR(IF(C114="ac"+ISNUMBER(SEARCH("'",H114))+G114="","", MROUND(SWITCH(C114,"sq",'Personal Info'!$O$15,"bn",'Personal Info'!$S$15,"dl",'Personal Info'!$W$15,"")*IF(H114&gt;10, H114/100, VLOOKUP(H114, _rpe,SUBSTITUTE(G114,"+","")+1,0)), IF( SWITCH(C114:C210,"sq",'Personal Info'!$O$15,"bn",'Personal Info'!$S$15,"dl", 'Personal Info'!$W$15,"")&lt; IF(_uom="lbs", 175, 80), 1.25, IF(_uom="lbs",5,2.5)))),"")</f>
        <v/>
      </c>
      <c r="J114" s="148"/>
      <c r="K114" s="33"/>
      <c r="L114" s="171"/>
      <c r="M114" s="124" t="str">
        <f>IFERROR(__xludf.DUMMYFUNCTION("IF(I114=MAX(FILTER(I$10:I$199,LOOKUP(ROW(C$10:C$199),FILTER(ROW(C$10:C$199),C$10:C$199&lt;&gt;C$9:C$198))=LOOKUP(ROW(C114),FILTER(ROW(C$10:C$199),C$10:C$199&lt;&gt;C$9:C$198)))),J114,)"),"")</f>
        <v/>
      </c>
      <c r="N114" s="122"/>
      <c r="O114" s="33"/>
      <c r="P114" s="143" t="str">
        <f t="shared" si="12"/>
        <v/>
      </c>
      <c r="Q114" s="38" t="str">
        <f>IFERROR(__xludf.DUMMYFUNCTION("""COMPUTED_VALUE"""),"")</f>
        <v/>
      </c>
      <c r="R114" s="144">
        <v>46118.0</v>
      </c>
      <c r="S114" s="167" t="str">
        <f t="shared" si="13"/>
        <v/>
      </c>
      <c r="T114" s="168" t="str">
        <f t="shared" si="319"/>
        <v/>
      </c>
      <c r="U114" s="169" t="str">
        <f t="shared" si="320"/>
        <v/>
      </c>
      <c r="V114" s="172" t="str">
        <f t="shared" si="321"/>
        <v/>
      </c>
      <c r="W114" s="171" t="str">
        <f t="array" ref="W114">IFERROR(IF(Q114="ac"+ISNUMBER(SEARCH("'",V114))+U114="","", IF(ISNUMBER(SEARCH("lw",V114)), I114 + SUBSTITUTE(V114,"lw+",""), MROUND(SWITCH(Q114,"sq",U$7,"bn",V$7,"dl",W$7,"")*IF(V114&gt;10, V114/100, VLOOKUP(V114, _rpe,SUBSTITUTE(U114,"+","")+1,0)), IF( SWITCH(Q114,"sq",U$7,"bn",V$7,"dl", W$7,"")&lt; IF(_uom="lbs", 175, 80), 1.25, IF(_uom="lbs",5,2.5))))), "")</f>
        <v/>
      </c>
      <c r="X114" s="148"/>
      <c r="Y114" s="33"/>
      <c r="Z114" s="171"/>
      <c r="AA114" s="124" t="str">
        <f>IFERROR(__xludf.DUMMYFUNCTION("IF(W114=MAX(FILTER(W$10:W$199,LOOKUP(ROW(Q$10:Q$199),FILTER(ROW(Q$10:Q$199),Q$10:Q$199&lt;&gt;Q$9:Q$198))=LOOKUP(ROW(Q114),FILTER(ROW(Q$10:Q$199),Q$10:Q$199&lt;&gt;Q$9:Q$198)))),X114,)"),"")</f>
        <v/>
      </c>
      <c r="AB114" s="122"/>
      <c r="AC114" s="33"/>
      <c r="AD114" s="143" t="str">
        <f t="shared" si="14"/>
        <v/>
      </c>
      <c r="AE114" s="38" t="str">
        <f>IFERROR(__xludf.DUMMYFUNCTION("""COMPUTED_VALUE"""),"")</f>
        <v/>
      </c>
      <c r="AF114" s="144">
        <v>46125.0</v>
      </c>
      <c r="AG114" s="167" t="str">
        <f t="shared" si="54"/>
        <v/>
      </c>
      <c r="AH114" s="168" t="str">
        <f t="shared" si="322"/>
        <v/>
      </c>
      <c r="AI114" s="169" t="str">
        <f t="shared" si="323"/>
        <v/>
      </c>
      <c r="AJ114" s="172" t="str">
        <f t="shared" si="324"/>
        <v/>
      </c>
      <c r="AK114" s="171" t="str">
        <f t="array" ref="AK114">IFERROR(IF(AE114="ac"+ISNUMBER(SEARCH("'",AJ114))+AI114="","", IF(ISNUMBER(SEARCH("lw",AJ114)), W114 + SUBSTITUTE(AJ114,"lw+",""), MROUND(SWITCH(AE114,"sq",AI$7,"bn",AJ$7,"dl",AK$7,"")*IF(AJ114&gt;10, AJ114/100, VLOOKUP(AJ114, _rpe,SUBSTITUTE(AI114,"+","")+1,0)), IF( SWITCH(AE114,"sq",AI$7,"bn",AJ$7,"dl", AK$7,"")&lt; IF(_uom="lbs", 175, 80), 1.25, IF(_uom="lbs",5,2.5))))), "")</f>
        <v/>
      </c>
      <c r="AL114" s="148"/>
      <c r="AM114" s="33"/>
      <c r="AN114" s="171"/>
      <c r="AO114" s="124" t="str">
        <f>IFERROR(__xludf.DUMMYFUNCTION("IF(AK114=MAX(FILTER(AK$10:AK$199,LOOKUP(ROW(AE$10:AE$199),FILTER(ROW(AE$10:AE$199),AE$10:AE$199&lt;&gt;AE$9:AE$198))=LOOKUP(ROW(AE114),FILTER(ROW(AE$10:AE$199),AE$10:AE$199&lt;&gt;AE$9:AE$198)))),AL114,)"),"")</f>
        <v/>
      </c>
      <c r="AP114" s="122"/>
      <c r="AQ114" s="33"/>
      <c r="AR114" s="143" t="str">
        <f t="shared" si="16"/>
        <v/>
      </c>
      <c r="AS114" s="38" t="str">
        <f>IFERROR(__xludf.DUMMYFUNCTION("""COMPUTED_VALUE"""),"")</f>
        <v/>
      </c>
      <c r="AT114" s="144">
        <v>46132.0</v>
      </c>
      <c r="AU114" s="167" t="str">
        <f t="shared" si="26"/>
        <v/>
      </c>
      <c r="AV114" s="168" t="str">
        <f t="shared" si="325"/>
        <v/>
      </c>
      <c r="AW114" s="169" t="str">
        <f t="shared" si="326"/>
        <v/>
      </c>
      <c r="AX114" s="172" t="str">
        <f t="shared" si="327"/>
        <v/>
      </c>
      <c r="AY114" s="171" t="str">
        <f t="array" ref="AY114">IFERROR(IF(AS114="ac"+ISNUMBER(SEARCH("'",AX114))+AW114="","", IF(ISNUMBER(SEARCH("lw",AX114)), AK114 + SUBSTITUTE(AX114,"lw+",""), MROUND(SWITCH(AS114,"sq",AW$7,"bn",AX$7,"dl",AY$7,"")*IF(AX114&gt;10, AX114/100, VLOOKUP(AX114, _rpe,SUBSTITUTE(AW114,"+","")+1,0)), IF( SWITCH(AS114,"sq",AW$7,"bn",AX$7,"dl", AY$7,"")&lt; IF(_uom="lbs", 175, 80), 1.25, IF(_uom="lbs",5,2.5))))), "")</f>
        <v/>
      </c>
      <c r="AZ114" s="148"/>
      <c r="BA114" s="33"/>
      <c r="BB114" s="171"/>
      <c r="BC114" s="124" t="str">
        <f>IFERROR(__xludf.DUMMYFUNCTION("IF(AY114=MAX(FILTER(AY$10:AY$199,LOOKUP(ROW(AS$10:AS$199),FILTER(ROW(AS$10:AS$199),AS$10:AS$199&lt;&gt;AS$9:AS$198))=LOOKUP(ROW(AS114),FILTER(ROW(AS$10:AS$199),AS$10:AS$199&lt;&gt;AS$9:AS$198)))),AZ114,)"),"")</f>
        <v/>
      </c>
      <c r="BD114" s="122"/>
      <c r="BE114" s="33"/>
      <c r="BF114" s="143" t="str">
        <f t="shared" si="17"/>
        <v/>
      </c>
      <c r="BG114" s="38" t="str">
        <f>IFERROR(__xludf.DUMMYFUNCTION("""COMPUTED_VALUE"""),"")</f>
        <v/>
      </c>
      <c r="BH114" s="144">
        <v>46139.0</v>
      </c>
      <c r="BI114" s="167" t="str">
        <f t="shared" si="18"/>
        <v/>
      </c>
      <c r="BJ114" s="168" t="str">
        <f t="shared" si="328"/>
        <v/>
      </c>
      <c r="BK114" s="169" t="str">
        <f t="shared" si="329"/>
        <v/>
      </c>
      <c r="BL114" s="172" t="str">
        <f t="shared" si="330"/>
        <v/>
      </c>
      <c r="BM114" s="171" t="str">
        <f t="array" ref="BM114">IFERROR(IF(BG114="ac"+ISNUMBER(SEARCH("'",BL114))+BK114="","", IF(ISNUMBER(SEARCH("lw",BL114)), AY114 + SUBSTITUTE(BL114,"lw+",""), MROUND(SWITCH(BG114,"sq",BK$7,"bn",BL$7,"dl",BM$7,"")*IF(BL114&gt;10, BL114/100, VLOOKUP(BL114, _rpe,SUBSTITUTE(BK114,"+","")+1,0)), IF( SWITCH(BG114,"sq",BK$7,"bn",BL$7,"dl", BM$7,"")&lt; IF(_uom="lbs", 175, 80), 1.25, IF(_uom="lbs",5,2.5))))), "")</f>
        <v/>
      </c>
      <c r="BN114" s="148"/>
      <c r="BO114" s="33"/>
      <c r="BP114" s="171"/>
      <c r="BQ114" s="124" t="str">
        <f>IFERROR(__xludf.DUMMYFUNCTION("IF(BM114=MAX(FILTER(BM$10:BM$199,LOOKUP(ROW(BG$10:BG$199),FILTER(ROW(BG$10:BG$199),BG$10:BG$199&lt;&gt;BG$9:BG$198))=LOOKUP(ROW(BG114),FILTER(ROW(BG$10:BG$199),BG$10:BG$199&lt;&gt;BG$9:BG$198)))),BN114,)"),"")</f>
        <v/>
      </c>
      <c r="BR114" s="122"/>
      <c r="BS114" s="33"/>
      <c r="BT114" s="143" t="str">
        <f t="shared" si="19"/>
        <v/>
      </c>
      <c r="BU114" s="38" t="str">
        <f>IFERROR(__xludf.DUMMYFUNCTION("""COMPUTED_VALUE"""),"")</f>
        <v/>
      </c>
      <c r="BV114" s="144">
        <v>46146.0</v>
      </c>
      <c r="BW114" s="167" t="str">
        <f t="shared" si="20"/>
        <v/>
      </c>
      <c r="BX114" s="168" t="str">
        <f t="shared" si="331"/>
        <v/>
      </c>
      <c r="BY114" s="169" t="str">
        <f t="shared" si="332"/>
        <v/>
      </c>
      <c r="BZ114" s="172" t="str">
        <f t="shared" si="333"/>
        <v/>
      </c>
      <c r="CA114" s="171" t="str">
        <f t="array" ref="CA114">IFERROR(IF(BU114="ac"+ISNUMBER(SEARCH("'",BZ114))+BY114="","", IF(ISNUMBER(SEARCH("lw",BZ114)), BM114 + SUBSTITUTE(BZ114,"lw+",""), MROUND(SWITCH(BU114,"sq",BY$7,"bn",BZ$7,"dl",CA$7,"")*IF(BZ114&gt;10, BZ114/100, VLOOKUP(BZ114, _rpe,SUBSTITUTE(BY114,"+","")+1,0)), IF( SWITCH(BU114,"sq",BY$7,"bn",BZ$7,"dl", CA$7,"")&lt; IF(_uom="lbs", 175, 80), 1.25, IF(_uom="lbs",5,2.5))))), "")</f>
        <v/>
      </c>
      <c r="CB114" s="148"/>
      <c r="CC114" s="33"/>
      <c r="CD114" s="171"/>
      <c r="CE114" s="124" t="str">
        <f>IFERROR(__xludf.DUMMYFUNCTION("IF(CA114=MAX(FILTER(CA$10:CA$199,LOOKUP(ROW(BU$10:BU$199),FILTER(ROW(BU$10:BU$199),BU$10:BU$199&lt;&gt;BU$9:BU$198))=LOOKUP(ROW(BU114),FILTER(ROW(BU$10:BU$199),BU$10:BU$199&lt;&gt;BU$9:BU$198)))),CB114,)"),"")</f>
        <v/>
      </c>
      <c r="CF114" s="122"/>
      <c r="CG114" s="33"/>
      <c r="CH114" s="143" t="str">
        <f t="shared" si="21"/>
        <v/>
      </c>
      <c r="CI114" s="38" t="str">
        <f>IFERROR(__xludf.DUMMYFUNCTION("""COMPUTED_VALUE"""),"")</f>
        <v/>
      </c>
      <c r="CJ114" s="144">
        <v>46153.0</v>
      </c>
      <c r="CK114" s="167" t="str">
        <f t="shared" si="27"/>
        <v/>
      </c>
      <c r="CL114" s="168" t="str">
        <f t="shared" si="334"/>
        <v/>
      </c>
      <c r="CM114" s="169" t="str">
        <f t="shared" si="335"/>
        <v/>
      </c>
      <c r="CN114" s="172" t="str">
        <f t="shared" si="336"/>
        <v/>
      </c>
      <c r="CO114" s="171" t="str">
        <f t="array" ref="CO114">IFERROR(IF(CI114="ac"+ISNUMBER(SEARCH("'",CN114))+CM114="","", IF(ISNUMBER(SEARCH("lw",CN114)), CA114 + SUBSTITUTE(CN114,"lw+",""), MROUND(SWITCH(CI114,"sq",CM$7,"bn",CN$7,"dl",CO$7,"")*IF(CN114&gt;10, CN114/100, VLOOKUP(CN114, _rpe,SUBSTITUTE(CM114,"+","")+1,0)), IF( SWITCH(CI114,"sq",CM$7,"bn",CN$7,"dl", CO$7,"")&lt; IF(_uom="lbs", 175, 80), 1.25, IF(_uom="lbs",5,2.5))))), "")</f>
        <v/>
      </c>
      <c r="CP114" s="148"/>
      <c r="CQ114" s="33"/>
      <c r="CR114" s="171"/>
      <c r="CS114" s="124" t="str">
        <f>IFERROR(__xludf.DUMMYFUNCTION("IF(CO114=MAX(FILTER(CO$10:CO$199,LOOKUP(ROW(CI$10:CI$199),FILTER(ROW(CI$10:CI$199),CI$10:CI$199&lt;&gt;CI$9:CI$198))=LOOKUP(ROW(CI114),FILTER(ROW(CI$10:CI$199),CI$10:CI$199&lt;&gt;CI$9:CI$198)))),CP114,)"),"")</f>
        <v/>
      </c>
      <c r="CT114" s="122"/>
      <c r="CU114" s="33"/>
      <c r="CV114" s="143" t="str">
        <f t="shared" si="22"/>
        <v/>
      </c>
      <c r="CW114" s="38" t="str">
        <f>IFERROR(__xludf.DUMMYFUNCTION("""COMPUTED_VALUE"""),"")</f>
        <v/>
      </c>
      <c r="CX114" s="144">
        <v>46160.0</v>
      </c>
      <c r="CY114" s="167" t="str">
        <f t="shared" si="28"/>
        <v/>
      </c>
      <c r="CZ114" s="168" t="str">
        <f t="shared" si="337"/>
        <v/>
      </c>
      <c r="DA114" s="169" t="str">
        <f t="shared" si="338"/>
        <v/>
      </c>
      <c r="DB114" s="172" t="str">
        <f t="shared" si="339"/>
        <v/>
      </c>
      <c r="DC114" s="171" t="str">
        <f t="array" ref="DC114">IFERROR(IF(CW114="ac"+ISNUMBER(SEARCH("'",DB114))+DA114="","", IF(ISNUMBER(SEARCH("lw",DB114)), CO114 + SUBSTITUTE(DB114,"lw+",""), MROUND(SWITCH(CW114,"sq",DA$7,"bn",DB$7,"dl",DC$7,"")*IF(DB114&gt;10, DB114/100, VLOOKUP(DB114, _rpe,SUBSTITUTE(DA114,"+","")+1,0)), IF( SWITCH(CW114,"sq",DA$7,"bn",DB$7,"dl", DC$7,"")&lt; IF(_uom="lbs", 175, 80), 1.25, IF(_uom="lbs",5,2.5))))), "")</f>
        <v/>
      </c>
      <c r="DD114" s="148"/>
      <c r="DE114" s="33"/>
      <c r="DF114" s="171"/>
      <c r="DG114" s="124" t="str">
        <f>IFERROR(__xludf.DUMMYFUNCTION("IF(DC114=MAX(FILTER(DC$10:DC$199,LOOKUP(ROW(CW$10:CW$199),FILTER(ROW(CW$10:CW$199),CW$10:CW$199&lt;&gt;CW$9:CW$198))=LOOKUP(ROW(CW114),FILTER(ROW(CW$10:CW$199),CW$10:CW$199&lt;&gt;CW$9:CW$198)))),DD114,)"),"")</f>
        <v/>
      </c>
      <c r="DH114" s="122"/>
      <c r="DI114" s="33"/>
      <c r="DJ114" s="143" t="str">
        <f t="shared" si="23"/>
        <v/>
      </c>
      <c r="DK114" s="38" t="str">
        <f>IFERROR(__xludf.DUMMYFUNCTION("""COMPUTED_VALUE"""),"")</f>
        <v/>
      </c>
      <c r="DL114" s="144">
        <v>46167.0</v>
      </c>
      <c r="DM114" s="167" t="str">
        <f t="shared" ref="DM114:DN114" si="366">IF(ISBLANK(CY114),"",CY114)</f>
        <v/>
      </c>
      <c r="DN114" s="168" t="str">
        <f t="shared" si="366"/>
        <v/>
      </c>
      <c r="DO114" s="169" t="str">
        <f t="shared" si="341"/>
        <v/>
      </c>
      <c r="DP114" s="172" t="str">
        <f t="shared" si="342"/>
        <v/>
      </c>
      <c r="DQ114" s="171" t="str">
        <f t="array" ref="DQ114">IFERROR(IF(DK114="ac"+ISNUMBER(SEARCH("'",DP114))+DO114="","", IF(ISNUMBER(SEARCH("lw",DP114)), DC114 + SUBSTITUTE(DP114,"lw+",""), MROUND(SWITCH(DK114,"sq",DO$7,"bn",DP$7,"dl",DQ$7,"")*IF(DP114&gt;10, DP114/100, VLOOKUP(DP114, _rpe,SUBSTITUTE(DO114,"+","")+1,0)), IF( SWITCH(DK114,"sq",DO$7,"bn",DP$7,"dl", DQ$7,"")&lt; IF(_uom="lbs", 175, 80), 1.25, IF(_uom="lbs",5,2.5))))), "")</f>
        <v/>
      </c>
      <c r="DR114" s="148"/>
      <c r="DS114" s="33"/>
      <c r="DT114" s="171"/>
      <c r="DU114" s="124" t="str">
        <f>IFERROR(__xludf.DUMMYFUNCTION("IF(DQ114=MAX(FILTER(DQ$10:DQ$199,LOOKUP(ROW(DK$10:DK$199),FILTER(ROW(DK$10:DK$199),DK$10:DK$199&lt;&gt;DK$9:DK$198))=LOOKUP(ROW(DK114),FILTER(ROW(DK$10:DK$199),DK$10:DK$199&lt;&gt;DK$9:DK$198)))),DR114,)"),"")</f>
        <v/>
      </c>
      <c r="DV114" s="122"/>
      <c r="DW114" s="33"/>
      <c r="DX114" s="143"/>
      <c r="DY114" s="38"/>
      <c r="DZ114" s="144"/>
      <c r="EA114" s="150"/>
      <c r="EB114" s="174"/>
      <c r="EC114" s="175"/>
      <c r="ED114" s="176"/>
      <c r="EE114" s="155"/>
      <c r="EF114" s="148"/>
      <c r="EG114" s="33"/>
      <c r="EH114" s="155"/>
      <c r="EI114" s="148"/>
      <c r="EJ114" s="33"/>
      <c r="EK114" s="33"/>
      <c r="EL114" s="143"/>
      <c r="EM114" s="38"/>
      <c r="EN114" s="144"/>
      <c r="EO114" s="150"/>
      <c r="EP114" s="174"/>
      <c r="EQ114" s="175"/>
      <c r="ER114" s="176"/>
      <c r="ES114" s="155"/>
      <c r="ET114" s="148"/>
      <c r="EU114" s="33"/>
      <c r="EV114" s="155"/>
      <c r="EW114" s="148"/>
      <c r="EX114" s="33"/>
      <c r="EY114" s="33"/>
      <c r="EZ114" s="143"/>
      <c r="FA114" s="38"/>
      <c r="FB114" s="144"/>
      <c r="FC114" s="150"/>
      <c r="FD114" s="174"/>
      <c r="FE114" s="175"/>
      <c r="FF114" s="176"/>
      <c r="FG114" s="155"/>
      <c r="FH114" s="148"/>
      <c r="FI114" s="33"/>
      <c r="FJ114" s="155"/>
      <c r="FK114" s="148"/>
      <c r="FL114" s="33"/>
      <c r="FM114" s="33"/>
      <c r="FN114" s="143"/>
      <c r="FO114" s="38"/>
      <c r="FP114" s="144"/>
      <c r="FQ114" s="150"/>
      <c r="FR114" s="174"/>
      <c r="FS114" s="175"/>
      <c r="FT114" s="176"/>
      <c r="FU114" s="155"/>
      <c r="FV114" s="148"/>
      <c r="FW114" s="33"/>
      <c r="FX114" s="155"/>
      <c r="FY114" s="148"/>
      <c r="FZ114" s="33"/>
      <c r="GA114" s="33"/>
      <c r="GB114" s="143"/>
      <c r="GC114" s="38"/>
      <c r="GD114" s="144"/>
      <c r="GE114" s="150"/>
      <c r="GF114" s="174"/>
      <c r="GG114" s="175"/>
      <c r="GH114" s="176"/>
      <c r="GI114" s="155"/>
      <c r="GJ114" s="148"/>
      <c r="GK114" s="33"/>
      <c r="GL114" s="155"/>
      <c r="GM114" s="148"/>
      <c r="GN114" s="33"/>
      <c r="GO114" s="33"/>
      <c r="GP114" s="143"/>
      <c r="GQ114" s="38"/>
      <c r="GR114" s="144"/>
      <c r="GS114" s="150"/>
      <c r="GT114" s="174"/>
      <c r="GU114" s="175"/>
      <c r="GV114" s="176"/>
      <c r="GW114" s="155"/>
      <c r="GX114" s="148"/>
      <c r="GY114" s="33"/>
      <c r="GZ114" s="155"/>
      <c r="HA114" s="148"/>
      <c r="HB114" s="33"/>
      <c r="HC114" s="33"/>
      <c r="HD114" s="143"/>
      <c r="HE114" s="38"/>
      <c r="HF114" s="144"/>
      <c r="HG114" s="150"/>
      <c r="HH114" s="174"/>
      <c r="HI114" s="175"/>
      <c r="HJ114" s="176"/>
      <c r="HK114" s="155"/>
      <c r="HL114" s="148"/>
      <c r="HM114" s="33"/>
      <c r="HN114" s="155"/>
      <c r="HO114" s="148"/>
      <c r="HP114" s="33"/>
      <c r="HQ114" s="33"/>
      <c r="HR114" s="143"/>
      <c r="HS114" s="38"/>
      <c r="HT114" s="144"/>
      <c r="HU114" s="150"/>
      <c r="HV114" s="174"/>
      <c r="HW114" s="175"/>
      <c r="HX114" s="176"/>
      <c r="HY114" s="155"/>
      <c r="HZ114" s="148"/>
      <c r="IA114" s="33"/>
      <c r="IB114" s="155"/>
      <c r="IC114" s="148"/>
      <c r="ID114" s="33"/>
      <c r="IE114" s="33"/>
      <c r="IF114" s="143"/>
      <c r="IG114" s="38"/>
      <c r="IH114" s="144"/>
      <c r="II114" s="150"/>
      <c r="IJ114" s="174"/>
      <c r="IK114" s="175"/>
      <c r="IL114" s="176"/>
      <c r="IM114" s="155"/>
      <c r="IN114" s="148"/>
      <c r="IO114" s="33"/>
      <c r="IP114" s="155"/>
      <c r="IQ114" s="148"/>
      <c r="IR114" s="33"/>
      <c r="IS114" s="33"/>
      <c r="IT114" s="143"/>
      <c r="IU114" s="38"/>
      <c r="IV114" s="144"/>
      <c r="IW114" s="143"/>
      <c r="IX114" s="38"/>
      <c r="IY114" s="144" t="e">
        <v>#REF!</v>
      </c>
    </row>
    <row r="115">
      <c r="A115" s="33"/>
      <c r="B115" s="181"/>
      <c r="C115" s="38" t="str">
        <f>IFERROR(__xludf.DUMMYFUNCTION("""COMPUTED_VALUE"""),"")</f>
        <v/>
      </c>
      <c r="D115" s="144">
        <v>46111.0</v>
      </c>
      <c r="E115" s="167"/>
      <c r="F115" s="168"/>
      <c r="G115" s="169"/>
      <c r="H115" s="170"/>
      <c r="I115" s="171" t="str">
        <f t="array" ref="I115">IFERROR(IF(C115="ac"+ISNUMBER(SEARCH("'",H115))+G115="","", MROUND(SWITCH(C115,"sq",'Personal Info'!$O$15,"bn",'Personal Info'!$S$15,"dl",'Personal Info'!$W$15,"")*IF(H115&gt;10, H115/100, VLOOKUP(H115, _rpe,SUBSTITUTE(G115,"+","")+1,0)), IF( SWITCH(C115:C210,"sq",'Personal Info'!$O$15,"bn",'Personal Info'!$S$15,"dl", 'Personal Info'!$W$15,"")&lt; IF(_uom="lbs", 175, 80), 1.25, IF(_uom="lbs",5,2.5)))),"")</f>
        <v/>
      </c>
      <c r="J115" s="148"/>
      <c r="K115" s="33"/>
      <c r="L115" s="171"/>
      <c r="M115" s="124" t="str">
        <f>IFERROR(__xludf.DUMMYFUNCTION("IF(I115=MAX(FILTER(I$10:I$199,LOOKUP(ROW(C$10:C$199),FILTER(ROW(C$10:C$199),C$10:C$199&lt;&gt;C$9:C$198))=LOOKUP(ROW(C115),FILTER(ROW(C$10:C$199),C$10:C$199&lt;&gt;C$9:C$198)))),J115,)"),"")</f>
        <v/>
      </c>
      <c r="N115" s="122"/>
      <c r="O115" s="33"/>
      <c r="P115" s="143" t="str">
        <f t="shared" si="12"/>
        <v/>
      </c>
      <c r="Q115" s="38" t="str">
        <f>IFERROR(__xludf.DUMMYFUNCTION("""COMPUTED_VALUE"""),"")</f>
        <v/>
      </c>
      <c r="R115" s="144">
        <v>46118.0</v>
      </c>
      <c r="S115" s="167" t="str">
        <f t="shared" si="13"/>
        <v/>
      </c>
      <c r="T115" s="168" t="str">
        <f t="shared" si="319"/>
        <v/>
      </c>
      <c r="U115" s="169" t="str">
        <f t="shared" si="320"/>
        <v/>
      </c>
      <c r="V115" s="172" t="str">
        <f t="shared" si="321"/>
        <v/>
      </c>
      <c r="W115" s="171" t="str">
        <f t="array" ref="W115">IFERROR(IF(Q115="ac"+ISNUMBER(SEARCH("'",V115))+U115="","", IF(ISNUMBER(SEARCH("lw",V115)), I115 + SUBSTITUTE(V115,"lw+",""), MROUND(SWITCH(Q115,"sq",U$7,"bn",V$7,"dl",W$7,"")*IF(V115&gt;10, V115/100, VLOOKUP(V115, _rpe,SUBSTITUTE(U115,"+","")+1,0)), IF( SWITCH(Q115,"sq",U$7,"bn",V$7,"dl", W$7,"")&lt; IF(_uom="lbs", 175, 80), 1.25, IF(_uom="lbs",5,2.5))))), "")</f>
        <v/>
      </c>
      <c r="X115" s="148"/>
      <c r="Y115" s="33"/>
      <c r="Z115" s="171"/>
      <c r="AA115" s="124" t="str">
        <f>IFERROR(__xludf.DUMMYFUNCTION("IF(W115=MAX(FILTER(W$10:W$199,LOOKUP(ROW(Q$10:Q$199),FILTER(ROW(Q$10:Q$199),Q$10:Q$199&lt;&gt;Q$9:Q$198))=LOOKUP(ROW(Q115),FILTER(ROW(Q$10:Q$199),Q$10:Q$199&lt;&gt;Q$9:Q$198)))),X115,)"),"")</f>
        <v/>
      </c>
      <c r="AB115" s="122"/>
      <c r="AC115" s="33"/>
      <c r="AD115" s="143" t="str">
        <f t="shared" si="14"/>
        <v/>
      </c>
      <c r="AE115" s="38" t="str">
        <f>IFERROR(__xludf.DUMMYFUNCTION("""COMPUTED_VALUE"""),"")</f>
        <v/>
      </c>
      <c r="AF115" s="144">
        <v>46125.0</v>
      </c>
      <c r="AG115" s="167" t="str">
        <f t="shared" si="54"/>
        <v/>
      </c>
      <c r="AH115" s="168" t="str">
        <f t="shared" si="322"/>
        <v/>
      </c>
      <c r="AI115" s="169" t="str">
        <f t="shared" si="323"/>
        <v/>
      </c>
      <c r="AJ115" s="172" t="str">
        <f t="shared" si="324"/>
        <v/>
      </c>
      <c r="AK115" s="171" t="str">
        <f t="array" ref="AK115">IFERROR(IF(AE115="ac"+ISNUMBER(SEARCH("'",AJ115))+AI115="","", IF(ISNUMBER(SEARCH("lw",AJ115)), W115 + SUBSTITUTE(AJ115,"lw+",""), MROUND(SWITCH(AE115,"sq",AI$7,"bn",AJ$7,"dl",AK$7,"")*IF(AJ115&gt;10, AJ115/100, VLOOKUP(AJ115, _rpe,SUBSTITUTE(AI115,"+","")+1,0)), IF( SWITCH(AE115,"sq",AI$7,"bn",AJ$7,"dl", AK$7,"")&lt; IF(_uom="lbs", 175, 80), 1.25, IF(_uom="lbs",5,2.5))))), "")</f>
        <v/>
      </c>
      <c r="AL115" s="148"/>
      <c r="AM115" s="33"/>
      <c r="AN115" s="171"/>
      <c r="AO115" s="124" t="str">
        <f>IFERROR(__xludf.DUMMYFUNCTION("IF(AK115=MAX(FILTER(AK$10:AK$199,LOOKUP(ROW(AE$10:AE$199),FILTER(ROW(AE$10:AE$199),AE$10:AE$199&lt;&gt;AE$9:AE$198))=LOOKUP(ROW(AE115),FILTER(ROW(AE$10:AE$199),AE$10:AE$199&lt;&gt;AE$9:AE$198)))),AL115,)"),"")</f>
        <v/>
      </c>
      <c r="AP115" s="122"/>
      <c r="AQ115" s="33"/>
      <c r="AR115" s="143" t="str">
        <f t="shared" si="16"/>
        <v/>
      </c>
      <c r="AS115" s="38" t="str">
        <f>IFERROR(__xludf.DUMMYFUNCTION("""COMPUTED_VALUE"""),"")</f>
        <v/>
      </c>
      <c r="AT115" s="144">
        <v>46132.0</v>
      </c>
      <c r="AU115" s="167" t="str">
        <f t="shared" si="26"/>
        <v/>
      </c>
      <c r="AV115" s="168" t="str">
        <f t="shared" si="325"/>
        <v/>
      </c>
      <c r="AW115" s="169" t="str">
        <f t="shared" si="326"/>
        <v/>
      </c>
      <c r="AX115" s="172" t="str">
        <f t="shared" si="327"/>
        <v/>
      </c>
      <c r="AY115" s="171" t="str">
        <f t="array" ref="AY115">IFERROR(IF(AS115="ac"+ISNUMBER(SEARCH("'",AX115))+AW115="","", IF(ISNUMBER(SEARCH("lw",AX115)), AK115 + SUBSTITUTE(AX115,"lw+",""), MROUND(SWITCH(AS115,"sq",AW$7,"bn",AX$7,"dl",AY$7,"")*IF(AX115&gt;10, AX115/100, VLOOKUP(AX115, _rpe,SUBSTITUTE(AW115,"+","")+1,0)), IF( SWITCH(AS115,"sq",AW$7,"bn",AX$7,"dl", AY$7,"")&lt; IF(_uom="lbs", 175, 80), 1.25, IF(_uom="lbs",5,2.5))))), "")</f>
        <v/>
      </c>
      <c r="AZ115" s="148"/>
      <c r="BA115" s="33"/>
      <c r="BB115" s="171"/>
      <c r="BC115" s="124" t="str">
        <f>IFERROR(__xludf.DUMMYFUNCTION("IF(AY115=MAX(FILTER(AY$10:AY$199,LOOKUP(ROW(AS$10:AS$199),FILTER(ROW(AS$10:AS$199),AS$10:AS$199&lt;&gt;AS$9:AS$198))=LOOKUP(ROW(AS115),FILTER(ROW(AS$10:AS$199),AS$10:AS$199&lt;&gt;AS$9:AS$198)))),AZ115,)"),"")</f>
        <v/>
      </c>
      <c r="BD115" s="122"/>
      <c r="BE115" s="33"/>
      <c r="BF115" s="143" t="str">
        <f t="shared" si="17"/>
        <v/>
      </c>
      <c r="BG115" s="38" t="str">
        <f>IFERROR(__xludf.DUMMYFUNCTION("""COMPUTED_VALUE"""),"")</f>
        <v/>
      </c>
      <c r="BH115" s="144">
        <v>46139.0</v>
      </c>
      <c r="BI115" s="167" t="str">
        <f t="shared" si="18"/>
        <v/>
      </c>
      <c r="BJ115" s="168" t="str">
        <f t="shared" si="328"/>
        <v/>
      </c>
      <c r="BK115" s="169" t="str">
        <f t="shared" si="329"/>
        <v/>
      </c>
      <c r="BL115" s="172" t="str">
        <f t="shared" si="330"/>
        <v/>
      </c>
      <c r="BM115" s="171" t="str">
        <f t="array" ref="BM115">IFERROR(IF(BG115="ac"+ISNUMBER(SEARCH("'",BL115))+BK115="","", IF(ISNUMBER(SEARCH("lw",BL115)), AY115 + SUBSTITUTE(BL115,"lw+",""), MROUND(SWITCH(BG115,"sq",BK$7,"bn",BL$7,"dl",BM$7,"")*IF(BL115&gt;10, BL115/100, VLOOKUP(BL115, _rpe,SUBSTITUTE(BK115,"+","")+1,0)), IF( SWITCH(BG115,"sq",BK$7,"bn",BL$7,"dl", BM$7,"")&lt; IF(_uom="lbs", 175, 80), 1.25, IF(_uom="lbs",5,2.5))))), "")</f>
        <v/>
      </c>
      <c r="BN115" s="148"/>
      <c r="BO115" s="33"/>
      <c r="BP115" s="171"/>
      <c r="BQ115" s="124" t="str">
        <f>IFERROR(__xludf.DUMMYFUNCTION("IF(BM115=MAX(FILTER(BM$10:BM$199,LOOKUP(ROW(BG$10:BG$199),FILTER(ROW(BG$10:BG$199),BG$10:BG$199&lt;&gt;BG$9:BG$198))=LOOKUP(ROW(BG115),FILTER(ROW(BG$10:BG$199),BG$10:BG$199&lt;&gt;BG$9:BG$198)))),BN115,)"),"")</f>
        <v/>
      </c>
      <c r="BR115" s="122"/>
      <c r="BS115" s="33"/>
      <c r="BT115" s="143" t="str">
        <f t="shared" si="19"/>
        <v/>
      </c>
      <c r="BU115" s="38" t="str">
        <f>IFERROR(__xludf.DUMMYFUNCTION("""COMPUTED_VALUE"""),"")</f>
        <v/>
      </c>
      <c r="BV115" s="144">
        <v>46146.0</v>
      </c>
      <c r="BW115" s="167" t="str">
        <f t="shared" si="20"/>
        <v/>
      </c>
      <c r="BX115" s="168" t="str">
        <f t="shared" si="331"/>
        <v/>
      </c>
      <c r="BY115" s="169" t="str">
        <f t="shared" si="332"/>
        <v/>
      </c>
      <c r="BZ115" s="172" t="str">
        <f t="shared" si="333"/>
        <v/>
      </c>
      <c r="CA115" s="171" t="str">
        <f t="array" ref="CA115">IFERROR(IF(BU115="ac"+ISNUMBER(SEARCH("'",BZ115))+BY115="","", IF(ISNUMBER(SEARCH("lw",BZ115)), BM115 + SUBSTITUTE(BZ115,"lw+",""), MROUND(SWITCH(BU115,"sq",BY$7,"bn",BZ$7,"dl",CA$7,"")*IF(BZ115&gt;10, BZ115/100, VLOOKUP(BZ115, _rpe,SUBSTITUTE(BY115,"+","")+1,0)), IF( SWITCH(BU115,"sq",BY$7,"bn",BZ$7,"dl", CA$7,"")&lt; IF(_uom="lbs", 175, 80), 1.25, IF(_uom="lbs",5,2.5))))), "")</f>
        <v/>
      </c>
      <c r="CB115" s="148"/>
      <c r="CC115" s="33"/>
      <c r="CD115" s="171"/>
      <c r="CE115" s="124" t="str">
        <f>IFERROR(__xludf.DUMMYFUNCTION("IF(CA115=MAX(FILTER(CA$10:CA$199,LOOKUP(ROW(BU$10:BU$199),FILTER(ROW(BU$10:BU$199),BU$10:BU$199&lt;&gt;BU$9:BU$198))=LOOKUP(ROW(BU115),FILTER(ROW(BU$10:BU$199),BU$10:BU$199&lt;&gt;BU$9:BU$198)))),CB115,)"),"")</f>
        <v/>
      </c>
      <c r="CF115" s="122"/>
      <c r="CG115" s="33"/>
      <c r="CH115" s="143" t="str">
        <f t="shared" si="21"/>
        <v/>
      </c>
      <c r="CI115" s="38" t="str">
        <f>IFERROR(__xludf.DUMMYFUNCTION("""COMPUTED_VALUE"""),"")</f>
        <v/>
      </c>
      <c r="CJ115" s="144">
        <v>46153.0</v>
      </c>
      <c r="CK115" s="167" t="str">
        <f t="shared" si="27"/>
        <v/>
      </c>
      <c r="CL115" s="168" t="str">
        <f t="shared" si="334"/>
        <v/>
      </c>
      <c r="CM115" s="169" t="str">
        <f t="shared" si="335"/>
        <v/>
      </c>
      <c r="CN115" s="172" t="str">
        <f t="shared" si="336"/>
        <v/>
      </c>
      <c r="CO115" s="171" t="str">
        <f t="array" ref="CO115">IFERROR(IF(CI115="ac"+ISNUMBER(SEARCH("'",CN115))+CM115="","", IF(ISNUMBER(SEARCH("lw",CN115)), CA115 + SUBSTITUTE(CN115,"lw+",""), MROUND(SWITCH(CI115,"sq",CM$7,"bn",CN$7,"dl",CO$7,"")*IF(CN115&gt;10, CN115/100, VLOOKUP(CN115, _rpe,SUBSTITUTE(CM115,"+","")+1,0)), IF( SWITCH(CI115,"sq",CM$7,"bn",CN$7,"dl", CO$7,"")&lt; IF(_uom="lbs", 175, 80), 1.25, IF(_uom="lbs",5,2.5))))), "")</f>
        <v/>
      </c>
      <c r="CP115" s="148"/>
      <c r="CQ115" s="33"/>
      <c r="CR115" s="171"/>
      <c r="CS115" s="124" t="str">
        <f>IFERROR(__xludf.DUMMYFUNCTION("IF(CO115=MAX(FILTER(CO$10:CO$199,LOOKUP(ROW(CI$10:CI$199),FILTER(ROW(CI$10:CI$199),CI$10:CI$199&lt;&gt;CI$9:CI$198))=LOOKUP(ROW(CI115),FILTER(ROW(CI$10:CI$199),CI$10:CI$199&lt;&gt;CI$9:CI$198)))),CP115,)"),"")</f>
        <v/>
      </c>
      <c r="CT115" s="122"/>
      <c r="CU115" s="33"/>
      <c r="CV115" s="143" t="str">
        <f t="shared" si="22"/>
        <v/>
      </c>
      <c r="CW115" s="38" t="str">
        <f>IFERROR(__xludf.DUMMYFUNCTION("""COMPUTED_VALUE"""),"")</f>
        <v/>
      </c>
      <c r="CX115" s="144">
        <v>46160.0</v>
      </c>
      <c r="CY115" s="167" t="str">
        <f t="shared" si="28"/>
        <v/>
      </c>
      <c r="CZ115" s="168" t="str">
        <f t="shared" si="337"/>
        <v/>
      </c>
      <c r="DA115" s="169" t="str">
        <f t="shared" si="338"/>
        <v/>
      </c>
      <c r="DB115" s="172" t="str">
        <f t="shared" si="339"/>
        <v/>
      </c>
      <c r="DC115" s="171" t="str">
        <f t="array" ref="DC115">IFERROR(IF(CW115="ac"+ISNUMBER(SEARCH("'",DB115))+DA115="","", IF(ISNUMBER(SEARCH("lw",DB115)), CO115 + SUBSTITUTE(DB115,"lw+",""), MROUND(SWITCH(CW115,"sq",DA$7,"bn",DB$7,"dl",DC$7,"")*IF(DB115&gt;10, DB115/100, VLOOKUP(DB115, _rpe,SUBSTITUTE(DA115,"+","")+1,0)), IF( SWITCH(CW115,"sq",DA$7,"bn",DB$7,"dl", DC$7,"")&lt; IF(_uom="lbs", 175, 80), 1.25, IF(_uom="lbs",5,2.5))))), "")</f>
        <v/>
      </c>
      <c r="DD115" s="148"/>
      <c r="DE115" s="33"/>
      <c r="DF115" s="171"/>
      <c r="DG115" s="124" t="str">
        <f>IFERROR(__xludf.DUMMYFUNCTION("IF(DC115=MAX(FILTER(DC$10:DC$199,LOOKUP(ROW(CW$10:CW$199),FILTER(ROW(CW$10:CW$199),CW$10:CW$199&lt;&gt;CW$9:CW$198))=LOOKUP(ROW(CW115),FILTER(ROW(CW$10:CW$199),CW$10:CW$199&lt;&gt;CW$9:CW$198)))),DD115,)"),"")</f>
        <v/>
      </c>
      <c r="DH115" s="122"/>
      <c r="DI115" s="33"/>
      <c r="DJ115" s="143" t="str">
        <f t="shared" si="23"/>
        <v/>
      </c>
      <c r="DK115" s="38" t="str">
        <f>IFERROR(__xludf.DUMMYFUNCTION("""COMPUTED_VALUE"""),"")</f>
        <v/>
      </c>
      <c r="DL115" s="144">
        <v>46167.0</v>
      </c>
      <c r="DM115" s="167" t="str">
        <f t="shared" ref="DM115:DN115" si="367">IF(ISBLANK(CY115),"",CY115)</f>
        <v/>
      </c>
      <c r="DN115" s="168" t="str">
        <f t="shared" si="367"/>
        <v/>
      </c>
      <c r="DO115" s="169" t="str">
        <f t="shared" si="341"/>
        <v/>
      </c>
      <c r="DP115" s="172" t="str">
        <f t="shared" si="342"/>
        <v/>
      </c>
      <c r="DQ115" s="171" t="str">
        <f t="array" ref="DQ115">IFERROR(IF(DK115="ac"+ISNUMBER(SEARCH("'",DP115))+DO115="","", IF(ISNUMBER(SEARCH("lw",DP115)), DC115 + SUBSTITUTE(DP115,"lw+",""), MROUND(SWITCH(DK115,"sq",DO$7,"bn",DP$7,"dl",DQ$7,"")*IF(DP115&gt;10, DP115/100, VLOOKUP(DP115, _rpe,SUBSTITUTE(DO115,"+","")+1,0)), IF( SWITCH(DK115,"sq",DO$7,"bn",DP$7,"dl", DQ$7,"")&lt; IF(_uom="lbs", 175, 80), 1.25, IF(_uom="lbs",5,2.5))))), "")</f>
        <v/>
      </c>
      <c r="DR115" s="148"/>
      <c r="DS115" s="33"/>
      <c r="DT115" s="171"/>
      <c r="DU115" s="124" t="str">
        <f>IFERROR(__xludf.DUMMYFUNCTION("IF(DQ115=MAX(FILTER(DQ$10:DQ$199,LOOKUP(ROW(DK$10:DK$199),FILTER(ROW(DK$10:DK$199),DK$10:DK$199&lt;&gt;DK$9:DK$198))=LOOKUP(ROW(DK115),FILTER(ROW(DK$10:DK$199),DK$10:DK$199&lt;&gt;DK$9:DK$198)))),DR115,)"),"")</f>
        <v/>
      </c>
      <c r="DV115" s="122"/>
      <c r="DW115" s="33"/>
      <c r="DX115" s="143"/>
      <c r="DY115" s="38"/>
      <c r="DZ115" s="144"/>
      <c r="EA115" s="150"/>
      <c r="EB115" s="174"/>
      <c r="EC115" s="175"/>
      <c r="ED115" s="176"/>
      <c r="EE115" s="155"/>
      <c r="EF115" s="148"/>
      <c r="EG115" s="33"/>
      <c r="EH115" s="155"/>
      <c r="EI115" s="148"/>
      <c r="EJ115" s="33"/>
      <c r="EK115" s="33"/>
      <c r="EL115" s="143"/>
      <c r="EM115" s="38"/>
      <c r="EN115" s="144"/>
      <c r="EO115" s="150"/>
      <c r="EP115" s="174"/>
      <c r="EQ115" s="175"/>
      <c r="ER115" s="176"/>
      <c r="ES115" s="155"/>
      <c r="ET115" s="148"/>
      <c r="EU115" s="33"/>
      <c r="EV115" s="155"/>
      <c r="EW115" s="148"/>
      <c r="EX115" s="33"/>
      <c r="EY115" s="33"/>
      <c r="EZ115" s="143"/>
      <c r="FA115" s="38"/>
      <c r="FB115" s="144"/>
      <c r="FC115" s="150"/>
      <c r="FD115" s="174"/>
      <c r="FE115" s="175"/>
      <c r="FF115" s="176"/>
      <c r="FG115" s="155"/>
      <c r="FH115" s="148"/>
      <c r="FI115" s="33"/>
      <c r="FJ115" s="155"/>
      <c r="FK115" s="148"/>
      <c r="FL115" s="33"/>
      <c r="FM115" s="33"/>
      <c r="FN115" s="143"/>
      <c r="FO115" s="38"/>
      <c r="FP115" s="144"/>
      <c r="FQ115" s="150"/>
      <c r="FR115" s="174"/>
      <c r="FS115" s="175"/>
      <c r="FT115" s="176"/>
      <c r="FU115" s="155"/>
      <c r="FV115" s="148"/>
      <c r="FW115" s="33"/>
      <c r="FX115" s="155"/>
      <c r="FY115" s="148"/>
      <c r="FZ115" s="33"/>
      <c r="GA115" s="33"/>
      <c r="GB115" s="143"/>
      <c r="GC115" s="38"/>
      <c r="GD115" s="144"/>
      <c r="GE115" s="150"/>
      <c r="GF115" s="174"/>
      <c r="GG115" s="175"/>
      <c r="GH115" s="176"/>
      <c r="GI115" s="155"/>
      <c r="GJ115" s="148"/>
      <c r="GK115" s="33"/>
      <c r="GL115" s="155"/>
      <c r="GM115" s="148"/>
      <c r="GN115" s="33"/>
      <c r="GO115" s="33"/>
      <c r="GP115" s="143"/>
      <c r="GQ115" s="38"/>
      <c r="GR115" s="144"/>
      <c r="GS115" s="150"/>
      <c r="GT115" s="174"/>
      <c r="GU115" s="175"/>
      <c r="GV115" s="176"/>
      <c r="GW115" s="155"/>
      <c r="GX115" s="148"/>
      <c r="GY115" s="33"/>
      <c r="GZ115" s="155"/>
      <c r="HA115" s="148"/>
      <c r="HB115" s="33"/>
      <c r="HC115" s="33"/>
      <c r="HD115" s="143"/>
      <c r="HE115" s="38"/>
      <c r="HF115" s="144"/>
      <c r="HG115" s="150"/>
      <c r="HH115" s="174"/>
      <c r="HI115" s="175"/>
      <c r="HJ115" s="176"/>
      <c r="HK115" s="155"/>
      <c r="HL115" s="148"/>
      <c r="HM115" s="33"/>
      <c r="HN115" s="155"/>
      <c r="HO115" s="148"/>
      <c r="HP115" s="33"/>
      <c r="HQ115" s="33"/>
      <c r="HR115" s="143"/>
      <c r="HS115" s="38"/>
      <c r="HT115" s="144"/>
      <c r="HU115" s="150"/>
      <c r="HV115" s="174"/>
      <c r="HW115" s="175"/>
      <c r="HX115" s="176"/>
      <c r="HY115" s="155"/>
      <c r="HZ115" s="148"/>
      <c r="IA115" s="33"/>
      <c r="IB115" s="155"/>
      <c r="IC115" s="148"/>
      <c r="ID115" s="33"/>
      <c r="IE115" s="33"/>
      <c r="IF115" s="143"/>
      <c r="IG115" s="38"/>
      <c r="IH115" s="144"/>
      <c r="II115" s="150"/>
      <c r="IJ115" s="174"/>
      <c r="IK115" s="175"/>
      <c r="IL115" s="176"/>
      <c r="IM115" s="155"/>
      <c r="IN115" s="148"/>
      <c r="IO115" s="33"/>
      <c r="IP115" s="155"/>
      <c r="IQ115" s="148"/>
      <c r="IR115" s="33"/>
      <c r="IS115" s="33"/>
      <c r="IT115" s="143"/>
      <c r="IU115" s="38"/>
      <c r="IV115" s="144"/>
      <c r="IW115" s="143"/>
      <c r="IX115" s="38"/>
      <c r="IY115" s="144" t="e">
        <v>#REF!</v>
      </c>
    </row>
    <row r="116">
      <c r="A116" s="33"/>
      <c r="B116" s="181"/>
      <c r="C116" s="38" t="str">
        <f>IFERROR(__xludf.DUMMYFUNCTION("""COMPUTED_VALUE"""),"")</f>
        <v/>
      </c>
      <c r="D116" s="144">
        <v>46111.0</v>
      </c>
      <c r="E116" s="167"/>
      <c r="F116" s="168"/>
      <c r="G116" s="169"/>
      <c r="H116" s="170"/>
      <c r="I116" s="171" t="str">
        <f t="array" ref="I116">IFERROR(IF(C116="ac"+ISNUMBER(SEARCH("'",H116))+G116="","", MROUND(SWITCH(C116,"sq",'Personal Info'!$O$15,"bn",'Personal Info'!$S$15,"dl",'Personal Info'!$W$15,"")*IF(H116&gt;10, H116/100, VLOOKUP(H116, _rpe,SUBSTITUTE(G116,"+","")+1,0)), IF( SWITCH(C116:C210,"sq",'Personal Info'!$O$15,"bn",'Personal Info'!$S$15,"dl", 'Personal Info'!$W$15,"")&lt; IF(_uom="lbs", 175, 80), 1.25, IF(_uom="lbs",5,2.5)))),"")</f>
        <v/>
      </c>
      <c r="J116" s="148"/>
      <c r="K116" s="33"/>
      <c r="L116" s="171"/>
      <c r="M116" s="124" t="str">
        <f>IFERROR(__xludf.DUMMYFUNCTION("IF(I116=MAX(FILTER(I$10:I$199,LOOKUP(ROW(C$10:C$199),FILTER(ROW(C$10:C$199),C$10:C$199&lt;&gt;C$9:C$198))=LOOKUP(ROW(C116),FILTER(ROW(C$10:C$199),C$10:C$199&lt;&gt;C$9:C$198)))),J116,)"),"")</f>
        <v/>
      </c>
      <c r="N116" s="122"/>
      <c r="O116" s="33"/>
      <c r="P116" s="143" t="str">
        <f t="shared" si="12"/>
        <v/>
      </c>
      <c r="Q116" s="38" t="str">
        <f>IFERROR(__xludf.DUMMYFUNCTION("""COMPUTED_VALUE"""),"")</f>
        <v/>
      </c>
      <c r="R116" s="144">
        <v>46118.0</v>
      </c>
      <c r="S116" s="167" t="str">
        <f t="shared" si="13"/>
        <v/>
      </c>
      <c r="T116" s="168" t="str">
        <f t="shared" si="319"/>
        <v/>
      </c>
      <c r="U116" s="169" t="str">
        <f t="shared" si="320"/>
        <v/>
      </c>
      <c r="V116" s="172" t="str">
        <f t="shared" si="321"/>
        <v/>
      </c>
      <c r="W116" s="171" t="str">
        <f t="array" ref="W116">IFERROR(IF(Q116="ac"+ISNUMBER(SEARCH("'",V116))+U116="","", IF(ISNUMBER(SEARCH("lw",V116)), I116 + SUBSTITUTE(V116,"lw+",""), MROUND(SWITCH(Q116,"sq",U$7,"bn",V$7,"dl",W$7,"")*IF(V116&gt;10, V116/100, VLOOKUP(V116, _rpe,SUBSTITUTE(U116,"+","")+1,0)), IF( SWITCH(Q116,"sq",U$7,"bn",V$7,"dl", W$7,"")&lt; IF(_uom="lbs", 175, 80), 1.25, IF(_uom="lbs",5,2.5))))), "")</f>
        <v/>
      </c>
      <c r="X116" s="148"/>
      <c r="Y116" s="33"/>
      <c r="Z116" s="171"/>
      <c r="AA116" s="124" t="str">
        <f>IFERROR(__xludf.DUMMYFUNCTION("IF(W116=MAX(FILTER(W$10:W$199,LOOKUP(ROW(Q$10:Q$199),FILTER(ROW(Q$10:Q$199),Q$10:Q$199&lt;&gt;Q$9:Q$198))=LOOKUP(ROW(Q116),FILTER(ROW(Q$10:Q$199),Q$10:Q$199&lt;&gt;Q$9:Q$198)))),X116,)"),"")</f>
        <v/>
      </c>
      <c r="AB116" s="122"/>
      <c r="AC116" s="33"/>
      <c r="AD116" s="143" t="str">
        <f t="shared" si="14"/>
        <v/>
      </c>
      <c r="AE116" s="38" t="str">
        <f>IFERROR(__xludf.DUMMYFUNCTION("""COMPUTED_VALUE"""),"")</f>
        <v/>
      </c>
      <c r="AF116" s="144">
        <v>46125.0</v>
      </c>
      <c r="AG116" s="167" t="str">
        <f t="shared" si="54"/>
        <v/>
      </c>
      <c r="AH116" s="168" t="str">
        <f t="shared" si="322"/>
        <v/>
      </c>
      <c r="AI116" s="169" t="str">
        <f t="shared" si="323"/>
        <v/>
      </c>
      <c r="AJ116" s="172" t="str">
        <f t="shared" si="324"/>
        <v/>
      </c>
      <c r="AK116" s="171" t="str">
        <f t="array" ref="AK116">IFERROR(IF(AE116="ac"+ISNUMBER(SEARCH("'",AJ116))+AI116="","", IF(ISNUMBER(SEARCH("lw",AJ116)), W116 + SUBSTITUTE(AJ116,"lw+",""), MROUND(SWITCH(AE116,"sq",AI$7,"bn",AJ$7,"dl",AK$7,"")*IF(AJ116&gt;10, AJ116/100, VLOOKUP(AJ116, _rpe,SUBSTITUTE(AI116,"+","")+1,0)), IF( SWITCH(AE116,"sq",AI$7,"bn",AJ$7,"dl", AK$7,"")&lt; IF(_uom="lbs", 175, 80), 1.25, IF(_uom="lbs",5,2.5))))), "")</f>
        <v/>
      </c>
      <c r="AL116" s="148"/>
      <c r="AM116" s="33"/>
      <c r="AN116" s="171"/>
      <c r="AO116" s="124" t="str">
        <f>IFERROR(__xludf.DUMMYFUNCTION("IF(AK116=MAX(FILTER(AK$10:AK$199,LOOKUP(ROW(AE$10:AE$199),FILTER(ROW(AE$10:AE$199),AE$10:AE$199&lt;&gt;AE$9:AE$198))=LOOKUP(ROW(AE116),FILTER(ROW(AE$10:AE$199),AE$10:AE$199&lt;&gt;AE$9:AE$198)))),AL116,)"),"")</f>
        <v/>
      </c>
      <c r="AP116" s="122"/>
      <c r="AQ116" s="33"/>
      <c r="AR116" s="143" t="str">
        <f t="shared" si="16"/>
        <v/>
      </c>
      <c r="AS116" s="38" t="str">
        <f>IFERROR(__xludf.DUMMYFUNCTION("""COMPUTED_VALUE"""),"")</f>
        <v/>
      </c>
      <c r="AT116" s="144">
        <v>46132.0</v>
      </c>
      <c r="AU116" s="167" t="str">
        <f t="shared" si="26"/>
        <v/>
      </c>
      <c r="AV116" s="168" t="str">
        <f t="shared" si="325"/>
        <v/>
      </c>
      <c r="AW116" s="169" t="str">
        <f t="shared" si="326"/>
        <v/>
      </c>
      <c r="AX116" s="172" t="str">
        <f t="shared" si="327"/>
        <v/>
      </c>
      <c r="AY116" s="171" t="str">
        <f t="array" ref="AY116">IFERROR(IF(AS116="ac"+ISNUMBER(SEARCH("'",AX116))+AW116="","", IF(ISNUMBER(SEARCH("lw",AX116)), AK116 + SUBSTITUTE(AX116,"lw+",""), MROUND(SWITCH(AS116,"sq",AW$7,"bn",AX$7,"dl",AY$7,"")*IF(AX116&gt;10, AX116/100, VLOOKUP(AX116, _rpe,SUBSTITUTE(AW116,"+","")+1,0)), IF( SWITCH(AS116,"sq",AW$7,"bn",AX$7,"dl", AY$7,"")&lt; IF(_uom="lbs", 175, 80), 1.25, IF(_uom="lbs",5,2.5))))), "")</f>
        <v/>
      </c>
      <c r="AZ116" s="148"/>
      <c r="BA116" s="33"/>
      <c r="BB116" s="171"/>
      <c r="BC116" s="124" t="str">
        <f>IFERROR(__xludf.DUMMYFUNCTION("IF(AY116=MAX(FILTER(AY$10:AY$199,LOOKUP(ROW(AS$10:AS$199),FILTER(ROW(AS$10:AS$199),AS$10:AS$199&lt;&gt;AS$9:AS$198))=LOOKUP(ROW(AS116),FILTER(ROW(AS$10:AS$199),AS$10:AS$199&lt;&gt;AS$9:AS$198)))),AZ116,)"),"")</f>
        <v/>
      </c>
      <c r="BD116" s="122"/>
      <c r="BE116" s="33"/>
      <c r="BF116" s="143" t="str">
        <f t="shared" si="17"/>
        <v/>
      </c>
      <c r="BG116" s="38" t="str">
        <f>IFERROR(__xludf.DUMMYFUNCTION("""COMPUTED_VALUE"""),"")</f>
        <v/>
      </c>
      <c r="BH116" s="144">
        <v>46139.0</v>
      </c>
      <c r="BI116" s="167" t="str">
        <f t="shared" si="18"/>
        <v/>
      </c>
      <c r="BJ116" s="168" t="str">
        <f t="shared" si="328"/>
        <v/>
      </c>
      <c r="BK116" s="169" t="str">
        <f t="shared" si="329"/>
        <v/>
      </c>
      <c r="BL116" s="172" t="str">
        <f t="shared" si="330"/>
        <v/>
      </c>
      <c r="BM116" s="171" t="str">
        <f t="array" ref="BM116">IFERROR(IF(BG116="ac"+ISNUMBER(SEARCH("'",BL116))+BK116="","", IF(ISNUMBER(SEARCH("lw",BL116)), AY116 + SUBSTITUTE(BL116,"lw+",""), MROUND(SWITCH(BG116,"sq",BK$7,"bn",BL$7,"dl",BM$7,"")*IF(BL116&gt;10, BL116/100, VLOOKUP(BL116, _rpe,SUBSTITUTE(BK116,"+","")+1,0)), IF( SWITCH(BG116,"sq",BK$7,"bn",BL$7,"dl", BM$7,"")&lt; IF(_uom="lbs", 175, 80), 1.25, IF(_uom="lbs",5,2.5))))), "")</f>
        <v/>
      </c>
      <c r="BN116" s="148"/>
      <c r="BO116" s="33"/>
      <c r="BP116" s="171"/>
      <c r="BQ116" s="124" t="str">
        <f>IFERROR(__xludf.DUMMYFUNCTION("IF(BM116=MAX(FILTER(BM$10:BM$199,LOOKUP(ROW(BG$10:BG$199),FILTER(ROW(BG$10:BG$199),BG$10:BG$199&lt;&gt;BG$9:BG$198))=LOOKUP(ROW(BG116),FILTER(ROW(BG$10:BG$199),BG$10:BG$199&lt;&gt;BG$9:BG$198)))),BN116,)"),"")</f>
        <v/>
      </c>
      <c r="BR116" s="122"/>
      <c r="BS116" s="33"/>
      <c r="BT116" s="143" t="str">
        <f t="shared" si="19"/>
        <v/>
      </c>
      <c r="BU116" s="38" t="str">
        <f>IFERROR(__xludf.DUMMYFUNCTION("""COMPUTED_VALUE"""),"")</f>
        <v/>
      </c>
      <c r="BV116" s="144">
        <v>46146.0</v>
      </c>
      <c r="BW116" s="167" t="str">
        <f t="shared" si="20"/>
        <v/>
      </c>
      <c r="BX116" s="168" t="str">
        <f t="shared" si="331"/>
        <v/>
      </c>
      <c r="BY116" s="169" t="str">
        <f t="shared" si="332"/>
        <v/>
      </c>
      <c r="BZ116" s="172" t="str">
        <f t="shared" si="333"/>
        <v/>
      </c>
      <c r="CA116" s="171" t="str">
        <f t="array" ref="CA116">IFERROR(IF(BU116="ac"+ISNUMBER(SEARCH("'",BZ116))+BY116="","", IF(ISNUMBER(SEARCH("lw",BZ116)), BM116 + SUBSTITUTE(BZ116,"lw+",""), MROUND(SWITCH(BU116,"sq",BY$7,"bn",BZ$7,"dl",CA$7,"")*IF(BZ116&gt;10, BZ116/100, VLOOKUP(BZ116, _rpe,SUBSTITUTE(BY116,"+","")+1,0)), IF( SWITCH(BU116,"sq",BY$7,"bn",BZ$7,"dl", CA$7,"")&lt; IF(_uom="lbs", 175, 80), 1.25, IF(_uom="lbs",5,2.5))))), "")</f>
        <v/>
      </c>
      <c r="CB116" s="148"/>
      <c r="CC116" s="33"/>
      <c r="CD116" s="171"/>
      <c r="CE116" s="124" t="str">
        <f>IFERROR(__xludf.DUMMYFUNCTION("IF(CA116=MAX(FILTER(CA$10:CA$199,LOOKUP(ROW(BU$10:BU$199),FILTER(ROW(BU$10:BU$199),BU$10:BU$199&lt;&gt;BU$9:BU$198))=LOOKUP(ROW(BU116),FILTER(ROW(BU$10:BU$199),BU$10:BU$199&lt;&gt;BU$9:BU$198)))),CB116,)"),"")</f>
        <v/>
      </c>
      <c r="CF116" s="122"/>
      <c r="CG116" s="33"/>
      <c r="CH116" s="143" t="str">
        <f t="shared" si="21"/>
        <v/>
      </c>
      <c r="CI116" s="38" t="str">
        <f>IFERROR(__xludf.DUMMYFUNCTION("""COMPUTED_VALUE"""),"")</f>
        <v/>
      </c>
      <c r="CJ116" s="144">
        <v>46153.0</v>
      </c>
      <c r="CK116" s="167" t="str">
        <f t="shared" si="27"/>
        <v/>
      </c>
      <c r="CL116" s="168" t="str">
        <f t="shared" si="334"/>
        <v/>
      </c>
      <c r="CM116" s="169" t="str">
        <f t="shared" si="335"/>
        <v/>
      </c>
      <c r="CN116" s="172" t="str">
        <f t="shared" si="336"/>
        <v/>
      </c>
      <c r="CO116" s="171" t="str">
        <f t="array" ref="CO116">IFERROR(IF(CI116="ac"+ISNUMBER(SEARCH("'",CN116))+CM116="","", IF(ISNUMBER(SEARCH("lw",CN116)), CA116 + SUBSTITUTE(CN116,"lw+",""), MROUND(SWITCH(CI116,"sq",CM$7,"bn",CN$7,"dl",CO$7,"")*IF(CN116&gt;10, CN116/100, VLOOKUP(CN116, _rpe,SUBSTITUTE(CM116,"+","")+1,0)), IF( SWITCH(CI116,"sq",CM$7,"bn",CN$7,"dl", CO$7,"")&lt; IF(_uom="lbs", 175, 80), 1.25, IF(_uom="lbs",5,2.5))))), "")</f>
        <v/>
      </c>
      <c r="CP116" s="148"/>
      <c r="CQ116" s="33"/>
      <c r="CR116" s="171"/>
      <c r="CS116" s="124" t="str">
        <f>IFERROR(__xludf.DUMMYFUNCTION("IF(CO116=MAX(FILTER(CO$10:CO$199,LOOKUP(ROW(CI$10:CI$199),FILTER(ROW(CI$10:CI$199),CI$10:CI$199&lt;&gt;CI$9:CI$198))=LOOKUP(ROW(CI116),FILTER(ROW(CI$10:CI$199),CI$10:CI$199&lt;&gt;CI$9:CI$198)))),CP116,)"),"")</f>
        <v/>
      </c>
      <c r="CT116" s="122"/>
      <c r="CU116" s="33"/>
      <c r="CV116" s="143" t="str">
        <f t="shared" si="22"/>
        <v/>
      </c>
      <c r="CW116" s="38" t="str">
        <f>IFERROR(__xludf.DUMMYFUNCTION("""COMPUTED_VALUE"""),"")</f>
        <v/>
      </c>
      <c r="CX116" s="144">
        <v>46160.0</v>
      </c>
      <c r="CY116" s="167" t="str">
        <f t="shared" si="28"/>
        <v/>
      </c>
      <c r="CZ116" s="168" t="str">
        <f t="shared" si="337"/>
        <v/>
      </c>
      <c r="DA116" s="169" t="str">
        <f t="shared" si="338"/>
        <v/>
      </c>
      <c r="DB116" s="172" t="str">
        <f t="shared" si="339"/>
        <v/>
      </c>
      <c r="DC116" s="171" t="str">
        <f t="array" ref="DC116">IFERROR(IF(CW116="ac"+ISNUMBER(SEARCH("'",DB116))+DA116="","", IF(ISNUMBER(SEARCH("lw",DB116)), CO116 + SUBSTITUTE(DB116,"lw+",""), MROUND(SWITCH(CW116,"sq",DA$7,"bn",DB$7,"dl",DC$7,"")*IF(DB116&gt;10, DB116/100, VLOOKUP(DB116, _rpe,SUBSTITUTE(DA116,"+","")+1,0)), IF( SWITCH(CW116,"sq",DA$7,"bn",DB$7,"dl", DC$7,"")&lt; IF(_uom="lbs", 175, 80), 1.25, IF(_uom="lbs",5,2.5))))), "")</f>
        <v/>
      </c>
      <c r="DD116" s="148"/>
      <c r="DE116" s="33"/>
      <c r="DF116" s="171"/>
      <c r="DG116" s="124" t="str">
        <f>IFERROR(__xludf.DUMMYFUNCTION("IF(DC116=MAX(FILTER(DC$10:DC$199,LOOKUP(ROW(CW$10:CW$199),FILTER(ROW(CW$10:CW$199),CW$10:CW$199&lt;&gt;CW$9:CW$198))=LOOKUP(ROW(CW116),FILTER(ROW(CW$10:CW$199),CW$10:CW$199&lt;&gt;CW$9:CW$198)))),DD116,)"),"")</f>
        <v/>
      </c>
      <c r="DH116" s="122"/>
      <c r="DI116" s="33"/>
      <c r="DJ116" s="143" t="str">
        <f t="shared" si="23"/>
        <v/>
      </c>
      <c r="DK116" s="38" t="str">
        <f>IFERROR(__xludf.DUMMYFUNCTION("""COMPUTED_VALUE"""),"")</f>
        <v/>
      </c>
      <c r="DL116" s="144">
        <v>46167.0</v>
      </c>
      <c r="DM116" s="167" t="str">
        <f t="shared" ref="DM116:DN116" si="368">IF(ISBLANK(CY116),"",CY116)</f>
        <v/>
      </c>
      <c r="DN116" s="168" t="str">
        <f t="shared" si="368"/>
        <v/>
      </c>
      <c r="DO116" s="169" t="str">
        <f t="shared" si="341"/>
        <v/>
      </c>
      <c r="DP116" s="172" t="str">
        <f t="shared" si="342"/>
        <v/>
      </c>
      <c r="DQ116" s="171" t="str">
        <f t="array" ref="DQ116">IFERROR(IF(DK116="ac"+ISNUMBER(SEARCH("'",DP116))+DO116="","", IF(ISNUMBER(SEARCH("lw",DP116)), DC116 + SUBSTITUTE(DP116,"lw+",""), MROUND(SWITCH(DK116,"sq",DO$7,"bn",DP$7,"dl",DQ$7,"")*IF(DP116&gt;10, DP116/100, VLOOKUP(DP116, _rpe,SUBSTITUTE(DO116,"+","")+1,0)), IF( SWITCH(DK116,"sq",DO$7,"bn",DP$7,"dl", DQ$7,"")&lt; IF(_uom="lbs", 175, 80), 1.25, IF(_uom="lbs",5,2.5))))), "")</f>
        <v/>
      </c>
      <c r="DR116" s="148"/>
      <c r="DS116" s="33"/>
      <c r="DT116" s="171"/>
      <c r="DU116" s="124" t="str">
        <f>IFERROR(__xludf.DUMMYFUNCTION("IF(DQ116=MAX(FILTER(DQ$10:DQ$199,LOOKUP(ROW(DK$10:DK$199),FILTER(ROW(DK$10:DK$199),DK$10:DK$199&lt;&gt;DK$9:DK$198))=LOOKUP(ROW(DK116),FILTER(ROW(DK$10:DK$199),DK$10:DK$199&lt;&gt;DK$9:DK$198)))),DR116,)"),"")</f>
        <v/>
      </c>
      <c r="DV116" s="122"/>
      <c r="DW116" s="33"/>
      <c r="DX116" s="143"/>
      <c r="DY116" s="38"/>
      <c r="DZ116" s="144"/>
      <c r="EA116" s="150"/>
      <c r="EB116" s="174"/>
      <c r="EC116" s="175"/>
      <c r="ED116" s="176"/>
      <c r="EE116" s="155"/>
      <c r="EF116" s="148"/>
      <c r="EG116" s="33"/>
      <c r="EH116" s="155"/>
      <c r="EI116" s="148"/>
      <c r="EJ116" s="33"/>
      <c r="EK116" s="33"/>
      <c r="EL116" s="143"/>
      <c r="EM116" s="38"/>
      <c r="EN116" s="144"/>
      <c r="EO116" s="150"/>
      <c r="EP116" s="174"/>
      <c r="EQ116" s="175"/>
      <c r="ER116" s="176"/>
      <c r="ES116" s="155"/>
      <c r="ET116" s="148"/>
      <c r="EU116" s="33"/>
      <c r="EV116" s="155"/>
      <c r="EW116" s="148"/>
      <c r="EX116" s="33"/>
      <c r="EY116" s="33"/>
      <c r="EZ116" s="143"/>
      <c r="FA116" s="38"/>
      <c r="FB116" s="144"/>
      <c r="FC116" s="150"/>
      <c r="FD116" s="174"/>
      <c r="FE116" s="175"/>
      <c r="FF116" s="176"/>
      <c r="FG116" s="155"/>
      <c r="FH116" s="148"/>
      <c r="FI116" s="33"/>
      <c r="FJ116" s="155"/>
      <c r="FK116" s="148"/>
      <c r="FL116" s="33"/>
      <c r="FM116" s="33"/>
      <c r="FN116" s="143"/>
      <c r="FO116" s="38"/>
      <c r="FP116" s="144"/>
      <c r="FQ116" s="150"/>
      <c r="FR116" s="174"/>
      <c r="FS116" s="175"/>
      <c r="FT116" s="176"/>
      <c r="FU116" s="155"/>
      <c r="FV116" s="148"/>
      <c r="FW116" s="33"/>
      <c r="FX116" s="155"/>
      <c r="FY116" s="148"/>
      <c r="FZ116" s="33"/>
      <c r="GA116" s="33"/>
      <c r="GB116" s="143"/>
      <c r="GC116" s="38"/>
      <c r="GD116" s="144"/>
      <c r="GE116" s="150"/>
      <c r="GF116" s="174"/>
      <c r="GG116" s="175"/>
      <c r="GH116" s="176"/>
      <c r="GI116" s="155"/>
      <c r="GJ116" s="148"/>
      <c r="GK116" s="33"/>
      <c r="GL116" s="155"/>
      <c r="GM116" s="148"/>
      <c r="GN116" s="33"/>
      <c r="GO116" s="33"/>
      <c r="GP116" s="143"/>
      <c r="GQ116" s="38"/>
      <c r="GR116" s="144"/>
      <c r="GS116" s="150"/>
      <c r="GT116" s="174"/>
      <c r="GU116" s="175"/>
      <c r="GV116" s="176"/>
      <c r="GW116" s="155"/>
      <c r="GX116" s="148"/>
      <c r="GY116" s="33"/>
      <c r="GZ116" s="155"/>
      <c r="HA116" s="148"/>
      <c r="HB116" s="33"/>
      <c r="HC116" s="33"/>
      <c r="HD116" s="143"/>
      <c r="HE116" s="38"/>
      <c r="HF116" s="144"/>
      <c r="HG116" s="150"/>
      <c r="HH116" s="174"/>
      <c r="HI116" s="175"/>
      <c r="HJ116" s="176"/>
      <c r="HK116" s="155"/>
      <c r="HL116" s="148"/>
      <c r="HM116" s="33"/>
      <c r="HN116" s="155"/>
      <c r="HO116" s="148"/>
      <c r="HP116" s="33"/>
      <c r="HQ116" s="33"/>
      <c r="HR116" s="143"/>
      <c r="HS116" s="38"/>
      <c r="HT116" s="144"/>
      <c r="HU116" s="150"/>
      <c r="HV116" s="174"/>
      <c r="HW116" s="175"/>
      <c r="HX116" s="176"/>
      <c r="HY116" s="155"/>
      <c r="HZ116" s="148"/>
      <c r="IA116" s="33"/>
      <c r="IB116" s="155"/>
      <c r="IC116" s="148"/>
      <c r="ID116" s="33"/>
      <c r="IE116" s="33"/>
      <c r="IF116" s="143"/>
      <c r="IG116" s="38"/>
      <c r="IH116" s="144"/>
      <c r="II116" s="150"/>
      <c r="IJ116" s="174"/>
      <c r="IK116" s="175"/>
      <c r="IL116" s="176"/>
      <c r="IM116" s="155"/>
      <c r="IN116" s="148"/>
      <c r="IO116" s="33"/>
      <c r="IP116" s="155"/>
      <c r="IQ116" s="148"/>
      <c r="IR116" s="33"/>
      <c r="IS116" s="33"/>
      <c r="IT116" s="143"/>
      <c r="IU116" s="38"/>
      <c r="IV116" s="144"/>
      <c r="IW116" s="143"/>
      <c r="IX116" s="38"/>
      <c r="IY116" s="144" t="e">
        <v>#REF!</v>
      </c>
    </row>
    <row r="117">
      <c r="A117" s="33"/>
      <c r="B117" s="181"/>
      <c r="C117" s="38" t="str">
        <f>IFERROR(__xludf.DUMMYFUNCTION("""COMPUTED_VALUE"""),"")</f>
        <v/>
      </c>
      <c r="D117" s="144">
        <v>46111.0</v>
      </c>
      <c r="E117" s="167"/>
      <c r="F117" s="168"/>
      <c r="G117" s="169"/>
      <c r="H117" s="170"/>
      <c r="I117" s="171" t="str">
        <f t="array" ref="I117">IFERROR(IF(C117="ac"+ISNUMBER(SEARCH("'",H117))+G117="","", MROUND(SWITCH(C117,"sq",'Personal Info'!$O$15,"bn",'Personal Info'!$S$15,"dl",'Personal Info'!$W$15,"")*IF(H117&gt;10, H117/100, VLOOKUP(H117, _rpe,SUBSTITUTE(G117,"+","")+1,0)), IF( SWITCH(C117:C210,"sq",'Personal Info'!$O$15,"bn",'Personal Info'!$S$15,"dl", 'Personal Info'!$W$15,"")&lt; IF(_uom="lbs", 175, 80), 1.25, IF(_uom="lbs",5,2.5)))),"")</f>
        <v/>
      </c>
      <c r="J117" s="148"/>
      <c r="K117" s="33"/>
      <c r="L117" s="171"/>
      <c r="M117" s="124" t="str">
        <f>IFERROR(__xludf.DUMMYFUNCTION("IF(I117=MAX(FILTER(I$10:I$199,LOOKUP(ROW(C$10:C$199),FILTER(ROW(C$10:C$199),C$10:C$199&lt;&gt;C$9:C$198))=LOOKUP(ROW(C117),FILTER(ROW(C$10:C$199),C$10:C$199&lt;&gt;C$9:C$198)))),J117,)"),"")</f>
        <v/>
      </c>
      <c r="N117" s="122"/>
      <c r="O117" s="33"/>
      <c r="P117" s="143" t="str">
        <f t="shared" si="12"/>
        <v/>
      </c>
      <c r="Q117" s="38" t="str">
        <f>IFERROR(__xludf.DUMMYFUNCTION("""COMPUTED_VALUE"""),"")</f>
        <v/>
      </c>
      <c r="R117" s="144">
        <v>46118.0</v>
      </c>
      <c r="S117" s="167" t="str">
        <f t="shared" si="13"/>
        <v/>
      </c>
      <c r="T117" s="168" t="str">
        <f t="shared" si="319"/>
        <v/>
      </c>
      <c r="U117" s="169" t="str">
        <f t="shared" si="320"/>
        <v/>
      </c>
      <c r="V117" s="172" t="str">
        <f t="shared" si="321"/>
        <v/>
      </c>
      <c r="W117" s="171" t="str">
        <f t="array" ref="W117">IFERROR(IF(Q117="ac"+ISNUMBER(SEARCH("'",V117))+U117="","", IF(ISNUMBER(SEARCH("lw",V117)), I117 + SUBSTITUTE(V117,"lw+",""), MROUND(SWITCH(Q117,"sq",U$7,"bn",V$7,"dl",W$7,"")*IF(V117&gt;10, V117/100, VLOOKUP(V117, _rpe,SUBSTITUTE(U117,"+","")+1,0)), IF( SWITCH(Q117,"sq",U$7,"bn",V$7,"dl", W$7,"")&lt; IF(_uom="lbs", 175, 80), 1.25, IF(_uom="lbs",5,2.5))))), "")</f>
        <v/>
      </c>
      <c r="X117" s="148"/>
      <c r="Y117" s="33"/>
      <c r="Z117" s="171"/>
      <c r="AA117" s="124" t="str">
        <f>IFERROR(__xludf.DUMMYFUNCTION("IF(W117=MAX(FILTER(W$10:W$199,LOOKUP(ROW(Q$10:Q$199),FILTER(ROW(Q$10:Q$199),Q$10:Q$199&lt;&gt;Q$9:Q$198))=LOOKUP(ROW(Q117),FILTER(ROW(Q$10:Q$199),Q$10:Q$199&lt;&gt;Q$9:Q$198)))),X117,)"),"")</f>
        <v/>
      </c>
      <c r="AB117" s="122"/>
      <c r="AC117" s="33"/>
      <c r="AD117" s="143" t="str">
        <f t="shared" si="14"/>
        <v/>
      </c>
      <c r="AE117" s="38" t="str">
        <f>IFERROR(__xludf.DUMMYFUNCTION("""COMPUTED_VALUE"""),"")</f>
        <v/>
      </c>
      <c r="AF117" s="144">
        <v>46125.0</v>
      </c>
      <c r="AG117" s="167" t="str">
        <f t="shared" si="54"/>
        <v/>
      </c>
      <c r="AH117" s="168" t="str">
        <f t="shared" si="322"/>
        <v/>
      </c>
      <c r="AI117" s="169" t="str">
        <f t="shared" si="323"/>
        <v/>
      </c>
      <c r="AJ117" s="172" t="str">
        <f t="shared" si="324"/>
        <v/>
      </c>
      <c r="AK117" s="171" t="str">
        <f t="array" ref="AK117">IFERROR(IF(AE117="ac"+ISNUMBER(SEARCH("'",AJ117))+AI117="","", IF(ISNUMBER(SEARCH("lw",AJ117)), W117 + SUBSTITUTE(AJ117,"lw+",""), MROUND(SWITCH(AE117,"sq",AI$7,"bn",AJ$7,"dl",AK$7,"")*IF(AJ117&gt;10, AJ117/100, VLOOKUP(AJ117, _rpe,SUBSTITUTE(AI117,"+","")+1,0)), IF( SWITCH(AE117,"sq",AI$7,"bn",AJ$7,"dl", AK$7,"")&lt; IF(_uom="lbs", 175, 80), 1.25, IF(_uom="lbs",5,2.5))))), "")</f>
        <v/>
      </c>
      <c r="AL117" s="148"/>
      <c r="AM117" s="33"/>
      <c r="AN117" s="171"/>
      <c r="AO117" s="124" t="str">
        <f>IFERROR(__xludf.DUMMYFUNCTION("IF(AK117=MAX(FILTER(AK$10:AK$199,LOOKUP(ROW(AE$10:AE$199),FILTER(ROW(AE$10:AE$199),AE$10:AE$199&lt;&gt;AE$9:AE$198))=LOOKUP(ROW(AE117),FILTER(ROW(AE$10:AE$199),AE$10:AE$199&lt;&gt;AE$9:AE$198)))),AL117,)"),"")</f>
        <v/>
      </c>
      <c r="AP117" s="122"/>
      <c r="AQ117" s="33"/>
      <c r="AR117" s="143" t="str">
        <f t="shared" si="16"/>
        <v/>
      </c>
      <c r="AS117" s="38" t="str">
        <f>IFERROR(__xludf.DUMMYFUNCTION("""COMPUTED_VALUE"""),"")</f>
        <v/>
      </c>
      <c r="AT117" s="144">
        <v>46132.0</v>
      </c>
      <c r="AU117" s="167" t="str">
        <f t="shared" si="26"/>
        <v/>
      </c>
      <c r="AV117" s="168" t="str">
        <f t="shared" si="325"/>
        <v/>
      </c>
      <c r="AW117" s="169" t="str">
        <f t="shared" si="326"/>
        <v/>
      </c>
      <c r="AX117" s="172" t="str">
        <f t="shared" si="327"/>
        <v/>
      </c>
      <c r="AY117" s="171" t="str">
        <f t="array" ref="AY117">IFERROR(IF(AS117="ac"+ISNUMBER(SEARCH("'",AX117))+AW117="","", IF(ISNUMBER(SEARCH("lw",AX117)), AK117 + SUBSTITUTE(AX117,"lw+",""), MROUND(SWITCH(AS117,"sq",AW$7,"bn",AX$7,"dl",AY$7,"")*IF(AX117&gt;10, AX117/100, VLOOKUP(AX117, _rpe,SUBSTITUTE(AW117,"+","")+1,0)), IF( SWITCH(AS117,"sq",AW$7,"bn",AX$7,"dl", AY$7,"")&lt; IF(_uom="lbs", 175, 80), 1.25, IF(_uom="lbs",5,2.5))))), "")</f>
        <v/>
      </c>
      <c r="AZ117" s="148"/>
      <c r="BA117" s="33"/>
      <c r="BB117" s="171"/>
      <c r="BC117" s="124" t="str">
        <f>IFERROR(__xludf.DUMMYFUNCTION("IF(AY117=MAX(FILTER(AY$10:AY$199,LOOKUP(ROW(AS$10:AS$199),FILTER(ROW(AS$10:AS$199),AS$10:AS$199&lt;&gt;AS$9:AS$198))=LOOKUP(ROW(AS117),FILTER(ROW(AS$10:AS$199),AS$10:AS$199&lt;&gt;AS$9:AS$198)))),AZ117,)"),"")</f>
        <v/>
      </c>
      <c r="BD117" s="122"/>
      <c r="BE117" s="33"/>
      <c r="BF117" s="143" t="str">
        <f t="shared" si="17"/>
        <v/>
      </c>
      <c r="BG117" s="38" t="str">
        <f>IFERROR(__xludf.DUMMYFUNCTION("""COMPUTED_VALUE"""),"")</f>
        <v/>
      </c>
      <c r="BH117" s="144">
        <v>46139.0</v>
      </c>
      <c r="BI117" s="167" t="str">
        <f t="shared" si="18"/>
        <v/>
      </c>
      <c r="BJ117" s="168" t="str">
        <f t="shared" si="328"/>
        <v/>
      </c>
      <c r="BK117" s="169" t="str">
        <f t="shared" si="329"/>
        <v/>
      </c>
      <c r="BL117" s="172" t="str">
        <f t="shared" si="330"/>
        <v/>
      </c>
      <c r="BM117" s="171" t="str">
        <f t="array" ref="BM117">IFERROR(IF(BG117="ac"+ISNUMBER(SEARCH("'",BL117))+BK117="","", IF(ISNUMBER(SEARCH("lw",BL117)), AY117 + SUBSTITUTE(BL117,"lw+",""), MROUND(SWITCH(BG117,"sq",BK$7,"bn",BL$7,"dl",BM$7,"")*IF(BL117&gt;10, BL117/100, VLOOKUP(BL117, _rpe,SUBSTITUTE(BK117,"+","")+1,0)), IF( SWITCH(BG117,"sq",BK$7,"bn",BL$7,"dl", BM$7,"")&lt; IF(_uom="lbs", 175, 80), 1.25, IF(_uom="lbs",5,2.5))))), "")</f>
        <v/>
      </c>
      <c r="BN117" s="148"/>
      <c r="BO117" s="33"/>
      <c r="BP117" s="171"/>
      <c r="BQ117" s="124" t="str">
        <f>IFERROR(__xludf.DUMMYFUNCTION("IF(BM117=MAX(FILTER(BM$10:BM$199,LOOKUP(ROW(BG$10:BG$199),FILTER(ROW(BG$10:BG$199),BG$10:BG$199&lt;&gt;BG$9:BG$198))=LOOKUP(ROW(BG117),FILTER(ROW(BG$10:BG$199),BG$10:BG$199&lt;&gt;BG$9:BG$198)))),BN117,)"),"")</f>
        <v/>
      </c>
      <c r="BR117" s="122"/>
      <c r="BS117" s="33"/>
      <c r="BT117" s="143" t="str">
        <f t="shared" si="19"/>
        <v/>
      </c>
      <c r="BU117" s="38" t="str">
        <f>IFERROR(__xludf.DUMMYFUNCTION("""COMPUTED_VALUE"""),"")</f>
        <v/>
      </c>
      <c r="BV117" s="144">
        <v>46146.0</v>
      </c>
      <c r="BW117" s="167" t="str">
        <f t="shared" si="20"/>
        <v/>
      </c>
      <c r="BX117" s="168" t="str">
        <f t="shared" si="331"/>
        <v/>
      </c>
      <c r="BY117" s="169" t="str">
        <f t="shared" si="332"/>
        <v/>
      </c>
      <c r="BZ117" s="172" t="str">
        <f t="shared" si="333"/>
        <v/>
      </c>
      <c r="CA117" s="171" t="str">
        <f t="array" ref="CA117">IFERROR(IF(BU117="ac"+ISNUMBER(SEARCH("'",BZ117))+BY117="","", IF(ISNUMBER(SEARCH("lw",BZ117)), BM117 + SUBSTITUTE(BZ117,"lw+",""), MROUND(SWITCH(BU117,"sq",BY$7,"bn",BZ$7,"dl",CA$7,"")*IF(BZ117&gt;10, BZ117/100, VLOOKUP(BZ117, _rpe,SUBSTITUTE(BY117,"+","")+1,0)), IF( SWITCH(BU117,"sq",BY$7,"bn",BZ$7,"dl", CA$7,"")&lt; IF(_uom="lbs", 175, 80), 1.25, IF(_uom="lbs",5,2.5))))), "")</f>
        <v/>
      </c>
      <c r="CB117" s="148"/>
      <c r="CC117" s="33"/>
      <c r="CD117" s="171"/>
      <c r="CE117" s="124" t="str">
        <f>IFERROR(__xludf.DUMMYFUNCTION("IF(CA117=MAX(FILTER(CA$10:CA$199,LOOKUP(ROW(BU$10:BU$199),FILTER(ROW(BU$10:BU$199),BU$10:BU$199&lt;&gt;BU$9:BU$198))=LOOKUP(ROW(BU117),FILTER(ROW(BU$10:BU$199),BU$10:BU$199&lt;&gt;BU$9:BU$198)))),CB117,)"),"")</f>
        <v/>
      </c>
      <c r="CF117" s="122"/>
      <c r="CG117" s="33"/>
      <c r="CH117" s="143" t="str">
        <f t="shared" si="21"/>
        <v/>
      </c>
      <c r="CI117" s="38" t="str">
        <f>IFERROR(__xludf.DUMMYFUNCTION("""COMPUTED_VALUE"""),"")</f>
        <v/>
      </c>
      <c r="CJ117" s="144">
        <v>46153.0</v>
      </c>
      <c r="CK117" s="167" t="str">
        <f t="shared" si="27"/>
        <v/>
      </c>
      <c r="CL117" s="168" t="str">
        <f t="shared" si="334"/>
        <v/>
      </c>
      <c r="CM117" s="169" t="str">
        <f t="shared" si="335"/>
        <v/>
      </c>
      <c r="CN117" s="172" t="str">
        <f t="shared" si="336"/>
        <v/>
      </c>
      <c r="CO117" s="171" t="str">
        <f t="array" ref="CO117">IFERROR(IF(CI117="ac"+ISNUMBER(SEARCH("'",CN117))+CM117="","", IF(ISNUMBER(SEARCH("lw",CN117)), CA117 + SUBSTITUTE(CN117,"lw+",""), MROUND(SWITCH(CI117,"sq",CM$7,"bn",CN$7,"dl",CO$7,"")*IF(CN117&gt;10, CN117/100, VLOOKUP(CN117, _rpe,SUBSTITUTE(CM117,"+","")+1,0)), IF( SWITCH(CI117,"sq",CM$7,"bn",CN$7,"dl", CO$7,"")&lt; IF(_uom="lbs", 175, 80), 1.25, IF(_uom="lbs",5,2.5))))), "")</f>
        <v/>
      </c>
      <c r="CP117" s="148"/>
      <c r="CQ117" s="33"/>
      <c r="CR117" s="171"/>
      <c r="CS117" s="124" t="str">
        <f>IFERROR(__xludf.DUMMYFUNCTION("IF(CO117=MAX(FILTER(CO$10:CO$199,LOOKUP(ROW(CI$10:CI$199),FILTER(ROW(CI$10:CI$199),CI$10:CI$199&lt;&gt;CI$9:CI$198))=LOOKUP(ROW(CI117),FILTER(ROW(CI$10:CI$199),CI$10:CI$199&lt;&gt;CI$9:CI$198)))),CP117,)"),"")</f>
        <v/>
      </c>
      <c r="CT117" s="122"/>
      <c r="CU117" s="33"/>
      <c r="CV117" s="143" t="str">
        <f t="shared" si="22"/>
        <v/>
      </c>
      <c r="CW117" s="38" t="str">
        <f>IFERROR(__xludf.DUMMYFUNCTION("""COMPUTED_VALUE"""),"")</f>
        <v/>
      </c>
      <c r="CX117" s="144">
        <v>46160.0</v>
      </c>
      <c r="CY117" s="167" t="str">
        <f t="shared" si="28"/>
        <v/>
      </c>
      <c r="CZ117" s="168" t="str">
        <f t="shared" si="337"/>
        <v/>
      </c>
      <c r="DA117" s="169" t="str">
        <f t="shared" si="338"/>
        <v/>
      </c>
      <c r="DB117" s="172" t="str">
        <f t="shared" si="339"/>
        <v/>
      </c>
      <c r="DC117" s="171" t="str">
        <f t="array" ref="DC117">IFERROR(IF(CW117="ac"+ISNUMBER(SEARCH("'",DB117))+DA117="","", IF(ISNUMBER(SEARCH("lw",DB117)), CO117 + SUBSTITUTE(DB117,"lw+",""), MROUND(SWITCH(CW117,"sq",DA$7,"bn",DB$7,"dl",DC$7,"")*IF(DB117&gt;10, DB117/100, VLOOKUP(DB117, _rpe,SUBSTITUTE(DA117,"+","")+1,0)), IF( SWITCH(CW117,"sq",DA$7,"bn",DB$7,"dl", DC$7,"")&lt; IF(_uom="lbs", 175, 80), 1.25, IF(_uom="lbs",5,2.5))))), "")</f>
        <v/>
      </c>
      <c r="DD117" s="148"/>
      <c r="DE117" s="33"/>
      <c r="DF117" s="171"/>
      <c r="DG117" s="124" t="str">
        <f>IFERROR(__xludf.DUMMYFUNCTION("IF(DC117=MAX(FILTER(DC$10:DC$199,LOOKUP(ROW(CW$10:CW$199),FILTER(ROW(CW$10:CW$199),CW$10:CW$199&lt;&gt;CW$9:CW$198))=LOOKUP(ROW(CW117),FILTER(ROW(CW$10:CW$199),CW$10:CW$199&lt;&gt;CW$9:CW$198)))),DD117,)"),"")</f>
        <v/>
      </c>
      <c r="DH117" s="122"/>
      <c r="DI117" s="33"/>
      <c r="DJ117" s="143" t="str">
        <f t="shared" si="23"/>
        <v/>
      </c>
      <c r="DK117" s="38" t="str">
        <f>IFERROR(__xludf.DUMMYFUNCTION("""COMPUTED_VALUE"""),"")</f>
        <v/>
      </c>
      <c r="DL117" s="144">
        <v>46167.0</v>
      </c>
      <c r="DM117" s="167" t="str">
        <f t="shared" ref="DM117:DN117" si="369">IF(ISBLANK(CY117),"",CY117)</f>
        <v/>
      </c>
      <c r="DN117" s="168" t="str">
        <f t="shared" si="369"/>
        <v/>
      </c>
      <c r="DO117" s="169" t="str">
        <f t="shared" si="341"/>
        <v/>
      </c>
      <c r="DP117" s="172" t="str">
        <f t="shared" si="342"/>
        <v/>
      </c>
      <c r="DQ117" s="171" t="str">
        <f t="array" ref="DQ117">IFERROR(IF(DK117="ac"+ISNUMBER(SEARCH("'",DP117))+DO117="","", IF(ISNUMBER(SEARCH("lw",DP117)), DC117 + SUBSTITUTE(DP117,"lw+",""), MROUND(SWITCH(DK117,"sq",DO$7,"bn",DP$7,"dl",DQ$7,"")*IF(DP117&gt;10, DP117/100, VLOOKUP(DP117, _rpe,SUBSTITUTE(DO117,"+","")+1,0)), IF( SWITCH(DK117,"sq",DO$7,"bn",DP$7,"dl", DQ$7,"")&lt; IF(_uom="lbs", 175, 80), 1.25, IF(_uom="lbs",5,2.5))))), "")</f>
        <v/>
      </c>
      <c r="DR117" s="148"/>
      <c r="DS117" s="33"/>
      <c r="DT117" s="171"/>
      <c r="DU117" s="124" t="str">
        <f>IFERROR(__xludf.DUMMYFUNCTION("IF(DQ117=MAX(FILTER(DQ$10:DQ$199,LOOKUP(ROW(DK$10:DK$199),FILTER(ROW(DK$10:DK$199),DK$10:DK$199&lt;&gt;DK$9:DK$198))=LOOKUP(ROW(DK117),FILTER(ROW(DK$10:DK$199),DK$10:DK$199&lt;&gt;DK$9:DK$198)))),DR117,)"),"")</f>
        <v/>
      </c>
      <c r="DV117" s="122"/>
      <c r="DW117" s="33"/>
      <c r="DX117" s="143"/>
      <c r="DY117" s="38"/>
      <c r="DZ117" s="144"/>
      <c r="EA117" s="150"/>
      <c r="EB117" s="174"/>
      <c r="EC117" s="175"/>
      <c r="ED117" s="176"/>
      <c r="EE117" s="155"/>
      <c r="EF117" s="148"/>
      <c r="EG117" s="33"/>
      <c r="EH117" s="155"/>
      <c r="EI117" s="148"/>
      <c r="EJ117" s="33"/>
      <c r="EK117" s="33"/>
      <c r="EL117" s="143"/>
      <c r="EM117" s="38"/>
      <c r="EN117" s="144"/>
      <c r="EO117" s="150"/>
      <c r="EP117" s="174"/>
      <c r="EQ117" s="175"/>
      <c r="ER117" s="176"/>
      <c r="ES117" s="155"/>
      <c r="ET117" s="148"/>
      <c r="EU117" s="33"/>
      <c r="EV117" s="155"/>
      <c r="EW117" s="148"/>
      <c r="EX117" s="33"/>
      <c r="EY117" s="33"/>
      <c r="EZ117" s="143"/>
      <c r="FA117" s="38"/>
      <c r="FB117" s="144"/>
      <c r="FC117" s="150"/>
      <c r="FD117" s="174"/>
      <c r="FE117" s="175"/>
      <c r="FF117" s="176"/>
      <c r="FG117" s="155"/>
      <c r="FH117" s="148"/>
      <c r="FI117" s="33"/>
      <c r="FJ117" s="155"/>
      <c r="FK117" s="148"/>
      <c r="FL117" s="33"/>
      <c r="FM117" s="33"/>
      <c r="FN117" s="143"/>
      <c r="FO117" s="38"/>
      <c r="FP117" s="144"/>
      <c r="FQ117" s="150"/>
      <c r="FR117" s="174"/>
      <c r="FS117" s="175"/>
      <c r="FT117" s="176"/>
      <c r="FU117" s="155"/>
      <c r="FV117" s="148"/>
      <c r="FW117" s="33"/>
      <c r="FX117" s="155"/>
      <c r="FY117" s="148"/>
      <c r="FZ117" s="33"/>
      <c r="GA117" s="33"/>
      <c r="GB117" s="143"/>
      <c r="GC117" s="38"/>
      <c r="GD117" s="144"/>
      <c r="GE117" s="150"/>
      <c r="GF117" s="174"/>
      <c r="GG117" s="175"/>
      <c r="GH117" s="176"/>
      <c r="GI117" s="155"/>
      <c r="GJ117" s="148"/>
      <c r="GK117" s="33"/>
      <c r="GL117" s="155"/>
      <c r="GM117" s="148"/>
      <c r="GN117" s="33"/>
      <c r="GO117" s="33"/>
      <c r="GP117" s="143"/>
      <c r="GQ117" s="38"/>
      <c r="GR117" s="144"/>
      <c r="GS117" s="150"/>
      <c r="GT117" s="174"/>
      <c r="GU117" s="175"/>
      <c r="GV117" s="176"/>
      <c r="GW117" s="155"/>
      <c r="GX117" s="148"/>
      <c r="GY117" s="33"/>
      <c r="GZ117" s="155"/>
      <c r="HA117" s="148"/>
      <c r="HB117" s="33"/>
      <c r="HC117" s="33"/>
      <c r="HD117" s="143"/>
      <c r="HE117" s="38"/>
      <c r="HF117" s="144"/>
      <c r="HG117" s="150"/>
      <c r="HH117" s="174"/>
      <c r="HI117" s="175"/>
      <c r="HJ117" s="176"/>
      <c r="HK117" s="155"/>
      <c r="HL117" s="148"/>
      <c r="HM117" s="33"/>
      <c r="HN117" s="155"/>
      <c r="HO117" s="148"/>
      <c r="HP117" s="33"/>
      <c r="HQ117" s="33"/>
      <c r="HR117" s="143"/>
      <c r="HS117" s="38"/>
      <c r="HT117" s="144"/>
      <c r="HU117" s="150"/>
      <c r="HV117" s="174"/>
      <c r="HW117" s="175"/>
      <c r="HX117" s="176"/>
      <c r="HY117" s="155"/>
      <c r="HZ117" s="148"/>
      <c r="IA117" s="33"/>
      <c r="IB117" s="155"/>
      <c r="IC117" s="148"/>
      <c r="ID117" s="33"/>
      <c r="IE117" s="33"/>
      <c r="IF117" s="143"/>
      <c r="IG117" s="38"/>
      <c r="IH117" s="144"/>
      <c r="II117" s="150"/>
      <c r="IJ117" s="174"/>
      <c r="IK117" s="175"/>
      <c r="IL117" s="176"/>
      <c r="IM117" s="155"/>
      <c r="IN117" s="148"/>
      <c r="IO117" s="33"/>
      <c r="IP117" s="155"/>
      <c r="IQ117" s="148"/>
      <c r="IR117" s="33"/>
      <c r="IS117" s="33"/>
      <c r="IT117" s="143"/>
      <c r="IU117" s="38"/>
      <c r="IV117" s="144"/>
      <c r="IW117" s="143"/>
      <c r="IX117" s="38"/>
      <c r="IY117" s="144" t="e">
        <v>#REF!</v>
      </c>
    </row>
    <row r="118">
      <c r="A118" s="33"/>
      <c r="B118" s="181"/>
      <c r="C118" s="38" t="str">
        <f>IFERROR(__xludf.DUMMYFUNCTION("""COMPUTED_VALUE"""),"")</f>
        <v/>
      </c>
      <c r="D118" s="144">
        <v>46111.0</v>
      </c>
      <c r="E118" s="182"/>
      <c r="F118" s="168"/>
      <c r="G118" s="169"/>
      <c r="H118" s="170"/>
      <c r="I118" s="171" t="str">
        <f t="array" ref="I118">IFERROR(IF(C118="ac"+ISNUMBER(SEARCH("'",H118))+G118="","", MROUND(SWITCH(C118,"sq",'Personal Info'!$O$15,"bn",'Personal Info'!$S$15,"dl",'Personal Info'!$W$15,"")*IF(H118&gt;10, H118/100, VLOOKUP(H118, _rpe,SUBSTITUTE(G118,"+","")+1,0)), IF( SWITCH(C118:C210,"sq",'Personal Info'!$O$15,"bn",'Personal Info'!$S$15,"dl", 'Personal Info'!$W$15,"")&lt; IF(_uom="lbs", 175, 80), 1.25, IF(_uom="lbs",5,2.5)))),"")</f>
        <v/>
      </c>
      <c r="J118" s="148"/>
      <c r="K118" s="33"/>
      <c r="L118" s="171"/>
      <c r="M118" s="124" t="str">
        <f>IFERROR(__xludf.DUMMYFUNCTION("IF(I118=MAX(FILTER(I$10:I$199,LOOKUP(ROW(C$10:C$199),FILTER(ROW(C$10:C$199),C$10:C$199&lt;&gt;C$9:C$198))=LOOKUP(ROW(C118),FILTER(ROW(C$10:C$199),C$10:C$199&lt;&gt;C$9:C$198)))),J118,)"),"")</f>
        <v/>
      </c>
      <c r="N118" s="122"/>
      <c r="O118" s="33"/>
      <c r="P118" s="143" t="str">
        <f t="shared" si="12"/>
        <v/>
      </c>
      <c r="Q118" s="38" t="str">
        <f>IFERROR(__xludf.DUMMYFUNCTION("""COMPUTED_VALUE"""),"")</f>
        <v/>
      </c>
      <c r="R118" s="144">
        <v>46118.0</v>
      </c>
      <c r="S118" s="167" t="str">
        <f t="shared" si="13"/>
        <v/>
      </c>
      <c r="T118" s="168" t="str">
        <f t="shared" si="319"/>
        <v/>
      </c>
      <c r="U118" s="169" t="str">
        <f t="shared" si="320"/>
        <v/>
      </c>
      <c r="V118" s="172" t="str">
        <f t="shared" si="321"/>
        <v/>
      </c>
      <c r="W118" s="171" t="str">
        <f t="array" ref="W118">IFERROR(IF(Q118="ac"+ISNUMBER(SEARCH("'",V118))+U118="","", IF(ISNUMBER(SEARCH("lw",V118)), I118 + SUBSTITUTE(V118,"lw+",""), MROUND(SWITCH(Q118,"sq",U$7,"bn",V$7,"dl",W$7,"")*IF(V118&gt;10, V118/100, VLOOKUP(V118, _rpe,SUBSTITUTE(U118,"+","")+1,0)), IF( SWITCH(Q118,"sq",U$7,"bn",V$7,"dl", W$7,"")&lt; IF(_uom="lbs", 175, 80), 1.25, IF(_uom="lbs",5,2.5))))), "")</f>
        <v/>
      </c>
      <c r="X118" s="148"/>
      <c r="Y118" s="33"/>
      <c r="Z118" s="171"/>
      <c r="AA118" s="124" t="str">
        <f>IFERROR(__xludf.DUMMYFUNCTION("IF(W118=MAX(FILTER(W$10:W$199,LOOKUP(ROW(Q$10:Q$199),FILTER(ROW(Q$10:Q$199),Q$10:Q$199&lt;&gt;Q$9:Q$198))=LOOKUP(ROW(Q118),FILTER(ROW(Q$10:Q$199),Q$10:Q$199&lt;&gt;Q$9:Q$198)))),X118,)"),"")</f>
        <v/>
      </c>
      <c r="AB118" s="122"/>
      <c r="AC118" s="33"/>
      <c r="AD118" s="143" t="str">
        <f t="shared" si="14"/>
        <v/>
      </c>
      <c r="AE118" s="38" t="str">
        <f>IFERROR(__xludf.DUMMYFUNCTION("""COMPUTED_VALUE"""),"")</f>
        <v/>
      </c>
      <c r="AF118" s="144">
        <v>46125.0</v>
      </c>
      <c r="AG118" s="167" t="str">
        <f t="shared" si="54"/>
        <v/>
      </c>
      <c r="AH118" s="168" t="str">
        <f t="shared" si="322"/>
        <v/>
      </c>
      <c r="AI118" s="169" t="str">
        <f t="shared" si="323"/>
        <v/>
      </c>
      <c r="AJ118" s="172" t="str">
        <f t="shared" si="324"/>
        <v/>
      </c>
      <c r="AK118" s="171" t="str">
        <f t="array" ref="AK118">IFERROR(IF(AE118="ac"+ISNUMBER(SEARCH("'",AJ118))+AI118="","", IF(ISNUMBER(SEARCH("lw",AJ118)), W118 + SUBSTITUTE(AJ118,"lw+",""), MROUND(SWITCH(AE118,"sq",AI$7,"bn",AJ$7,"dl",AK$7,"")*IF(AJ118&gt;10, AJ118/100, VLOOKUP(AJ118, _rpe,SUBSTITUTE(AI118,"+","")+1,0)), IF( SWITCH(AE118,"sq",AI$7,"bn",AJ$7,"dl", AK$7,"")&lt; IF(_uom="lbs", 175, 80), 1.25, IF(_uom="lbs",5,2.5))))), "")</f>
        <v/>
      </c>
      <c r="AL118" s="148"/>
      <c r="AM118" s="33"/>
      <c r="AN118" s="171"/>
      <c r="AO118" s="124" t="str">
        <f>IFERROR(__xludf.DUMMYFUNCTION("IF(AK118=MAX(FILTER(AK$10:AK$199,LOOKUP(ROW(AE$10:AE$199),FILTER(ROW(AE$10:AE$199),AE$10:AE$199&lt;&gt;AE$9:AE$198))=LOOKUP(ROW(AE118),FILTER(ROW(AE$10:AE$199),AE$10:AE$199&lt;&gt;AE$9:AE$198)))),AL118,)"),"")</f>
        <v/>
      </c>
      <c r="AP118" s="122"/>
      <c r="AQ118" s="33"/>
      <c r="AR118" s="143" t="str">
        <f t="shared" si="16"/>
        <v/>
      </c>
      <c r="AS118" s="38" t="str">
        <f>IFERROR(__xludf.DUMMYFUNCTION("""COMPUTED_VALUE"""),"")</f>
        <v/>
      </c>
      <c r="AT118" s="144">
        <v>46132.0</v>
      </c>
      <c r="AU118" s="167" t="str">
        <f t="shared" si="26"/>
        <v/>
      </c>
      <c r="AV118" s="168" t="str">
        <f t="shared" si="325"/>
        <v/>
      </c>
      <c r="AW118" s="169" t="str">
        <f t="shared" si="326"/>
        <v/>
      </c>
      <c r="AX118" s="172" t="str">
        <f t="shared" si="327"/>
        <v/>
      </c>
      <c r="AY118" s="171" t="str">
        <f t="array" ref="AY118">IFERROR(IF(AS118="ac"+ISNUMBER(SEARCH("'",AX118))+AW118="","", IF(ISNUMBER(SEARCH("lw",AX118)), AK118 + SUBSTITUTE(AX118,"lw+",""), MROUND(SWITCH(AS118,"sq",AW$7,"bn",AX$7,"dl",AY$7,"")*IF(AX118&gt;10, AX118/100, VLOOKUP(AX118, _rpe,SUBSTITUTE(AW118,"+","")+1,0)), IF( SWITCH(AS118,"sq",AW$7,"bn",AX$7,"dl", AY$7,"")&lt; IF(_uom="lbs", 175, 80), 1.25, IF(_uom="lbs",5,2.5))))), "")</f>
        <v/>
      </c>
      <c r="AZ118" s="148"/>
      <c r="BA118" s="33"/>
      <c r="BB118" s="171"/>
      <c r="BC118" s="124" t="str">
        <f>IFERROR(__xludf.DUMMYFUNCTION("IF(AY118=MAX(FILTER(AY$10:AY$199,LOOKUP(ROW(AS$10:AS$199),FILTER(ROW(AS$10:AS$199),AS$10:AS$199&lt;&gt;AS$9:AS$198))=LOOKUP(ROW(AS118),FILTER(ROW(AS$10:AS$199),AS$10:AS$199&lt;&gt;AS$9:AS$198)))),AZ118,)"),"")</f>
        <v/>
      </c>
      <c r="BD118" s="122"/>
      <c r="BE118" s="33"/>
      <c r="BF118" s="143" t="str">
        <f t="shared" si="17"/>
        <v/>
      </c>
      <c r="BG118" s="38" t="str">
        <f>IFERROR(__xludf.DUMMYFUNCTION("""COMPUTED_VALUE"""),"")</f>
        <v/>
      </c>
      <c r="BH118" s="144">
        <v>46139.0</v>
      </c>
      <c r="BI118" s="167" t="str">
        <f t="shared" si="18"/>
        <v/>
      </c>
      <c r="BJ118" s="168" t="str">
        <f t="shared" si="328"/>
        <v/>
      </c>
      <c r="BK118" s="169" t="str">
        <f t="shared" si="329"/>
        <v/>
      </c>
      <c r="BL118" s="172" t="str">
        <f t="shared" si="330"/>
        <v/>
      </c>
      <c r="BM118" s="171" t="str">
        <f t="array" ref="BM118">IFERROR(IF(BG118="ac"+ISNUMBER(SEARCH("'",BL118))+BK118="","", IF(ISNUMBER(SEARCH("lw",BL118)), AY118 + SUBSTITUTE(BL118,"lw+",""), MROUND(SWITCH(BG118,"sq",BK$7,"bn",BL$7,"dl",BM$7,"")*IF(BL118&gt;10, BL118/100, VLOOKUP(BL118, _rpe,SUBSTITUTE(BK118,"+","")+1,0)), IF( SWITCH(BG118,"sq",BK$7,"bn",BL$7,"dl", BM$7,"")&lt; IF(_uom="lbs", 175, 80), 1.25, IF(_uom="lbs",5,2.5))))), "")</f>
        <v/>
      </c>
      <c r="BN118" s="148"/>
      <c r="BO118" s="33"/>
      <c r="BP118" s="171"/>
      <c r="BQ118" s="124" t="str">
        <f>IFERROR(__xludf.DUMMYFUNCTION("IF(BM118=MAX(FILTER(BM$10:BM$199,LOOKUP(ROW(BG$10:BG$199),FILTER(ROW(BG$10:BG$199),BG$10:BG$199&lt;&gt;BG$9:BG$198))=LOOKUP(ROW(BG118),FILTER(ROW(BG$10:BG$199),BG$10:BG$199&lt;&gt;BG$9:BG$198)))),BN118,)"),"")</f>
        <v/>
      </c>
      <c r="BR118" s="122"/>
      <c r="BS118" s="33"/>
      <c r="BT118" s="143" t="str">
        <f t="shared" si="19"/>
        <v/>
      </c>
      <c r="BU118" s="38" t="str">
        <f>IFERROR(__xludf.DUMMYFUNCTION("""COMPUTED_VALUE"""),"")</f>
        <v/>
      </c>
      <c r="BV118" s="144">
        <v>46146.0</v>
      </c>
      <c r="BW118" s="167" t="str">
        <f t="shared" si="20"/>
        <v/>
      </c>
      <c r="BX118" s="168" t="str">
        <f t="shared" si="331"/>
        <v/>
      </c>
      <c r="BY118" s="169" t="str">
        <f t="shared" si="332"/>
        <v/>
      </c>
      <c r="BZ118" s="172" t="str">
        <f t="shared" si="333"/>
        <v/>
      </c>
      <c r="CA118" s="171" t="str">
        <f t="array" ref="CA118">IFERROR(IF(BU118="ac"+ISNUMBER(SEARCH("'",BZ118))+BY118="","", IF(ISNUMBER(SEARCH("lw",BZ118)), BM118 + SUBSTITUTE(BZ118,"lw+",""), MROUND(SWITCH(BU118,"sq",BY$7,"bn",BZ$7,"dl",CA$7,"")*IF(BZ118&gt;10, BZ118/100, VLOOKUP(BZ118, _rpe,SUBSTITUTE(BY118,"+","")+1,0)), IF( SWITCH(BU118,"sq",BY$7,"bn",BZ$7,"dl", CA$7,"")&lt; IF(_uom="lbs", 175, 80), 1.25, IF(_uom="lbs",5,2.5))))), "")</f>
        <v/>
      </c>
      <c r="CB118" s="148"/>
      <c r="CC118" s="33"/>
      <c r="CD118" s="171"/>
      <c r="CE118" s="124" t="str">
        <f>IFERROR(__xludf.DUMMYFUNCTION("IF(CA118=MAX(FILTER(CA$10:CA$199,LOOKUP(ROW(BU$10:BU$199),FILTER(ROW(BU$10:BU$199),BU$10:BU$199&lt;&gt;BU$9:BU$198))=LOOKUP(ROW(BU118),FILTER(ROW(BU$10:BU$199),BU$10:BU$199&lt;&gt;BU$9:BU$198)))),CB118,)"),"")</f>
        <v/>
      </c>
      <c r="CF118" s="122"/>
      <c r="CG118" s="33"/>
      <c r="CH118" s="143" t="str">
        <f t="shared" si="21"/>
        <v/>
      </c>
      <c r="CI118" s="38" t="str">
        <f>IFERROR(__xludf.DUMMYFUNCTION("""COMPUTED_VALUE"""),"")</f>
        <v/>
      </c>
      <c r="CJ118" s="144">
        <v>46153.0</v>
      </c>
      <c r="CK118" s="167" t="str">
        <f t="shared" si="27"/>
        <v/>
      </c>
      <c r="CL118" s="168" t="str">
        <f t="shared" si="334"/>
        <v/>
      </c>
      <c r="CM118" s="169" t="str">
        <f t="shared" si="335"/>
        <v/>
      </c>
      <c r="CN118" s="172" t="str">
        <f t="shared" si="336"/>
        <v/>
      </c>
      <c r="CO118" s="171" t="str">
        <f t="array" ref="CO118">IFERROR(IF(CI118="ac"+ISNUMBER(SEARCH("'",CN118))+CM118="","", IF(ISNUMBER(SEARCH("lw",CN118)), CA118 + SUBSTITUTE(CN118,"lw+",""), MROUND(SWITCH(CI118,"sq",CM$7,"bn",CN$7,"dl",CO$7,"")*IF(CN118&gt;10, CN118/100, VLOOKUP(CN118, _rpe,SUBSTITUTE(CM118,"+","")+1,0)), IF( SWITCH(CI118,"sq",CM$7,"bn",CN$7,"dl", CO$7,"")&lt; IF(_uom="lbs", 175, 80), 1.25, IF(_uom="lbs",5,2.5))))), "")</f>
        <v/>
      </c>
      <c r="CP118" s="148"/>
      <c r="CQ118" s="33"/>
      <c r="CR118" s="171"/>
      <c r="CS118" s="124" t="str">
        <f>IFERROR(__xludf.DUMMYFUNCTION("IF(CO118=MAX(FILTER(CO$10:CO$199,LOOKUP(ROW(CI$10:CI$199),FILTER(ROW(CI$10:CI$199),CI$10:CI$199&lt;&gt;CI$9:CI$198))=LOOKUP(ROW(CI118),FILTER(ROW(CI$10:CI$199),CI$10:CI$199&lt;&gt;CI$9:CI$198)))),CP118,)"),"")</f>
        <v/>
      </c>
      <c r="CT118" s="122"/>
      <c r="CU118" s="33"/>
      <c r="CV118" s="143" t="str">
        <f t="shared" si="22"/>
        <v/>
      </c>
      <c r="CW118" s="38" t="str">
        <f>IFERROR(__xludf.DUMMYFUNCTION("""COMPUTED_VALUE"""),"")</f>
        <v/>
      </c>
      <c r="CX118" s="144">
        <v>46160.0</v>
      </c>
      <c r="CY118" s="167" t="str">
        <f t="shared" si="28"/>
        <v/>
      </c>
      <c r="CZ118" s="168" t="str">
        <f t="shared" si="337"/>
        <v/>
      </c>
      <c r="DA118" s="169" t="str">
        <f t="shared" si="338"/>
        <v/>
      </c>
      <c r="DB118" s="172" t="str">
        <f t="shared" si="339"/>
        <v/>
      </c>
      <c r="DC118" s="171" t="str">
        <f t="array" ref="DC118">IFERROR(IF(CW118="ac"+ISNUMBER(SEARCH("'",DB118))+DA118="","", IF(ISNUMBER(SEARCH("lw",DB118)), CO118 + SUBSTITUTE(DB118,"lw+",""), MROUND(SWITCH(CW118,"sq",DA$7,"bn",DB$7,"dl",DC$7,"")*IF(DB118&gt;10, DB118/100, VLOOKUP(DB118, _rpe,SUBSTITUTE(DA118,"+","")+1,0)), IF( SWITCH(CW118,"sq",DA$7,"bn",DB$7,"dl", DC$7,"")&lt; IF(_uom="lbs", 175, 80), 1.25, IF(_uom="lbs",5,2.5))))), "")</f>
        <v/>
      </c>
      <c r="DD118" s="148"/>
      <c r="DE118" s="33"/>
      <c r="DF118" s="171"/>
      <c r="DG118" s="124" t="str">
        <f>IFERROR(__xludf.DUMMYFUNCTION("IF(DC118=MAX(FILTER(DC$10:DC$199,LOOKUP(ROW(CW$10:CW$199),FILTER(ROW(CW$10:CW$199),CW$10:CW$199&lt;&gt;CW$9:CW$198))=LOOKUP(ROW(CW118),FILTER(ROW(CW$10:CW$199),CW$10:CW$199&lt;&gt;CW$9:CW$198)))),DD118,)"),"")</f>
        <v/>
      </c>
      <c r="DH118" s="122"/>
      <c r="DI118" s="33"/>
      <c r="DJ118" s="143" t="str">
        <f t="shared" si="23"/>
        <v/>
      </c>
      <c r="DK118" s="38" t="str">
        <f>IFERROR(__xludf.DUMMYFUNCTION("""COMPUTED_VALUE"""),"")</f>
        <v/>
      </c>
      <c r="DL118" s="144">
        <v>46167.0</v>
      </c>
      <c r="DM118" s="167" t="str">
        <f t="shared" ref="DM118:DN118" si="370">IF(ISBLANK(CY118),"",CY118)</f>
        <v/>
      </c>
      <c r="DN118" s="168" t="str">
        <f t="shared" si="370"/>
        <v/>
      </c>
      <c r="DO118" s="169" t="str">
        <f t="shared" si="341"/>
        <v/>
      </c>
      <c r="DP118" s="172" t="str">
        <f t="shared" si="342"/>
        <v/>
      </c>
      <c r="DQ118" s="171" t="str">
        <f t="array" ref="DQ118">IFERROR(IF(DK118="ac"+ISNUMBER(SEARCH("'",DP118))+DO118="","", IF(ISNUMBER(SEARCH("lw",DP118)), DC118 + SUBSTITUTE(DP118,"lw+",""), MROUND(SWITCH(DK118,"sq",DO$7,"bn",DP$7,"dl",DQ$7,"")*IF(DP118&gt;10, DP118/100, VLOOKUP(DP118, _rpe,SUBSTITUTE(DO118,"+","")+1,0)), IF( SWITCH(DK118,"sq",DO$7,"bn",DP$7,"dl", DQ$7,"")&lt; IF(_uom="lbs", 175, 80), 1.25, IF(_uom="lbs",5,2.5))))), "")</f>
        <v/>
      </c>
      <c r="DR118" s="148"/>
      <c r="DS118" s="33"/>
      <c r="DT118" s="171"/>
      <c r="DU118" s="124" t="str">
        <f>IFERROR(__xludf.DUMMYFUNCTION("IF(DQ118=MAX(FILTER(DQ$10:DQ$199,LOOKUP(ROW(DK$10:DK$199),FILTER(ROW(DK$10:DK$199),DK$10:DK$199&lt;&gt;DK$9:DK$198))=LOOKUP(ROW(DK118),FILTER(ROW(DK$10:DK$199),DK$10:DK$199&lt;&gt;DK$9:DK$198)))),DR118,)"),"")</f>
        <v/>
      </c>
      <c r="DV118" s="122"/>
      <c r="DW118" s="33"/>
      <c r="DX118" s="143"/>
      <c r="DY118" s="38"/>
      <c r="DZ118" s="144"/>
      <c r="EA118" s="150"/>
      <c r="EB118" s="174"/>
      <c r="EC118" s="175"/>
      <c r="ED118" s="176"/>
      <c r="EE118" s="155"/>
      <c r="EF118" s="148"/>
      <c r="EG118" s="33"/>
      <c r="EH118" s="155"/>
      <c r="EI118" s="148"/>
      <c r="EJ118" s="33"/>
      <c r="EK118" s="33"/>
      <c r="EL118" s="143"/>
      <c r="EM118" s="38"/>
      <c r="EN118" s="144"/>
      <c r="EO118" s="150"/>
      <c r="EP118" s="174"/>
      <c r="EQ118" s="175"/>
      <c r="ER118" s="176"/>
      <c r="ES118" s="155"/>
      <c r="ET118" s="148"/>
      <c r="EU118" s="33"/>
      <c r="EV118" s="155"/>
      <c r="EW118" s="148"/>
      <c r="EX118" s="33"/>
      <c r="EY118" s="33"/>
      <c r="EZ118" s="143"/>
      <c r="FA118" s="38"/>
      <c r="FB118" s="144"/>
      <c r="FC118" s="150"/>
      <c r="FD118" s="174"/>
      <c r="FE118" s="175"/>
      <c r="FF118" s="176"/>
      <c r="FG118" s="155"/>
      <c r="FH118" s="148"/>
      <c r="FI118" s="33"/>
      <c r="FJ118" s="155"/>
      <c r="FK118" s="148"/>
      <c r="FL118" s="33"/>
      <c r="FM118" s="33"/>
      <c r="FN118" s="143"/>
      <c r="FO118" s="38"/>
      <c r="FP118" s="144"/>
      <c r="FQ118" s="150"/>
      <c r="FR118" s="174"/>
      <c r="FS118" s="175"/>
      <c r="FT118" s="176"/>
      <c r="FU118" s="155"/>
      <c r="FV118" s="148"/>
      <c r="FW118" s="33"/>
      <c r="FX118" s="155"/>
      <c r="FY118" s="148"/>
      <c r="FZ118" s="33"/>
      <c r="GA118" s="33"/>
      <c r="GB118" s="143"/>
      <c r="GC118" s="38"/>
      <c r="GD118" s="144"/>
      <c r="GE118" s="150"/>
      <c r="GF118" s="174"/>
      <c r="GG118" s="175"/>
      <c r="GH118" s="176"/>
      <c r="GI118" s="155"/>
      <c r="GJ118" s="148"/>
      <c r="GK118" s="33"/>
      <c r="GL118" s="155"/>
      <c r="GM118" s="148"/>
      <c r="GN118" s="33"/>
      <c r="GO118" s="33"/>
      <c r="GP118" s="143"/>
      <c r="GQ118" s="38"/>
      <c r="GR118" s="144"/>
      <c r="GS118" s="150"/>
      <c r="GT118" s="174"/>
      <c r="GU118" s="175"/>
      <c r="GV118" s="176"/>
      <c r="GW118" s="155"/>
      <c r="GX118" s="148"/>
      <c r="GY118" s="33"/>
      <c r="GZ118" s="155"/>
      <c r="HA118" s="148"/>
      <c r="HB118" s="33"/>
      <c r="HC118" s="33"/>
      <c r="HD118" s="143"/>
      <c r="HE118" s="38"/>
      <c r="HF118" s="144"/>
      <c r="HG118" s="150"/>
      <c r="HH118" s="174"/>
      <c r="HI118" s="175"/>
      <c r="HJ118" s="176"/>
      <c r="HK118" s="155"/>
      <c r="HL118" s="148"/>
      <c r="HM118" s="33"/>
      <c r="HN118" s="155"/>
      <c r="HO118" s="148"/>
      <c r="HP118" s="33"/>
      <c r="HQ118" s="33"/>
      <c r="HR118" s="143"/>
      <c r="HS118" s="38"/>
      <c r="HT118" s="144"/>
      <c r="HU118" s="150"/>
      <c r="HV118" s="174"/>
      <c r="HW118" s="175"/>
      <c r="HX118" s="176"/>
      <c r="HY118" s="155"/>
      <c r="HZ118" s="148"/>
      <c r="IA118" s="33"/>
      <c r="IB118" s="155"/>
      <c r="IC118" s="148"/>
      <c r="ID118" s="33"/>
      <c r="IE118" s="33"/>
      <c r="IF118" s="143"/>
      <c r="IG118" s="38"/>
      <c r="IH118" s="144"/>
      <c r="II118" s="150"/>
      <c r="IJ118" s="174"/>
      <c r="IK118" s="175"/>
      <c r="IL118" s="176"/>
      <c r="IM118" s="155"/>
      <c r="IN118" s="148"/>
      <c r="IO118" s="33"/>
      <c r="IP118" s="155"/>
      <c r="IQ118" s="148"/>
      <c r="IR118" s="33"/>
      <c r="IS118" s="33"/>
      <c r="IT118" s="143"/>
      <c r="IU118" s="38"/>
      <c r="IV118" s="144"/>
      <c r="IW118" s="143"/>
      <c r="IX118" s="38"/>
      <c r="IY118" s="144" t="e">
        <v>#REF!</v>
      </c>
    </row>
    <row r="119">
      <c r="A119" s="33"/>
      <c r="B119" s="181"/>
      <c r="C119" s="38" t="str">
        <f>IFERROR(__xludf.DUMMYFUNCTION("""COMPUTED_VALUE"""),"")</f>
        <v/>
      </c>
      <c r="D119" s="144">
        <v>46111.0</v>
      </c>
      <c r="E119" s="167"/>
      <c r="F119" s="168"/>
      <c r="G119" s="169"/>
      <c r="H119" s="170"/>
      <c r="I119" s="171" t="str">
        <f t="array" ref="I119">IFERROR(IF(C119="ac"+ISNUMBER(SEARCH("'",H119))+G119="","", MROUND(SWITCH(C119,"sq",'Personal Info'!$O$15,"bn",'Personal Info'!$S$15,"dl",'Personal Info'!$W$15,"")*IF(H119&gt;10, H119/100, VLOOKUP(H119, _rpe,SUBSTITUTE(G119,"+","")+1,0)), IF( SWITCH(C119:C210,"sq",'Personal Info'!$O$15,"bn",'Personal Info'!$S$15,"dl", 'Personal Info'!$W$15,"")&lt; IF(_uom="lbs", 175, 80), 1.25, IF(_uom="lbs",5,2.5)))),"")</f>
        <v/>
      </c>
      <c r="J119" s="148"/>
      <c r="K119" s="33"/>
      <c r="L119" s="171"/>
      <c r="M119" s="124" t="str">
        <f>IFERROR(__xludf.DUMMYFUNCTION("IF(I119=MAX(FILTER(I$10:I$199,LOOKUP(ROW(C$10:C$199),FILTER(ROW(C$10:C$199),C$10:C$199&lt;&gt;C$9:C$198))=LOOKUP(ROW(C119),FILTER(ROW(C$10:C$199),C$10:C$199&lt;&gt;C$9:C$198)))),J119,)"),"")</f>
        <v/>
      </c>
      <c r="N119" s="122"/>
      <c r="O119" s="33"/>
      <c r="P119" s="143" t="str">
        <f t="shared" si="12"/>
        <v/>
      </c>
      <c r="Q119" s="38" t="str">
        <f>IFERROR(__xludf.DUMMYFUNCTION("""COMPUTED_VALUE"""),"")</f>
        <v/>
      </c>
      <c r="R119" s="144">
        <v>46118.0</v>
      </c>
      <c r="S119" s="167" t="str">
        <f t="shared" si="13"/>
        <v/>
      </c>
      <c r="T119" s="168" t="str">
        <f t="shared" si="319"/>
        <v/>
      </c>
      <c r="U119" s="169" t="str">
        <f t="shared" si="320"/>
        <v/>
      </c>
      <c r="V119" s="172" t="str">
        <f t="shared" si="321"/>
        <v/>
      </c>
      <c r="W119" s="171" t="str">
        <f t="array" ref="W119">IFERROR(IF(Q119="ac"+ISNUMBER(SEARCH("'",V119))+U119="","", IF(ISNUMBER(SEARCH("lw",V119)), I119 + SUBSTITUTE(V119,"lw+",""), MROUND(SWITCH(Q119,"sq",U$7,"bn",V$7,"dl",W$7,"")*IF(V119&gt;10, V119/100, VLOOKUP(V119, _rpe,SUBSTITUTE(U119,"+","")+1,0)), IF( SWITCH(Q119,"sq",U$7,"bn",V$7,"dl", W$7,"")&lt; IF(_uom="lbs", 175, 80), 1.25, IF(_uom="lbs",5,2.5))))), "")</f>
        <v/>
      </c>
      <c r="X119" s="148"/>
      <c r="Y119" s="33"/>
      <c r="Z119" s="171"/>
      <c r="AA119" s="124" t="str">
        <f>IFERROR(__xludf.DUMMYFUNCTION("IF(W119=MAX(FILTER(W$10:W$199,LOOKUP(ROW(Q$10:Q$199),FILTER(ROW(Q$10:Q$199),Q$10:Q$199&lt;&gt;Q$9:Q$198))=LOOKUP(ROW(Q119),FILTER(ROW(Q$10:Q$199),Q$10:Q$199&lt;&gt;Q$9:Q$198)))),X119,)"),"")</f>
        <v/>
      </c>
      <c r="AB119" s="122"/>
      <c r="AC119" s="33"/>
      <c r="AD119" s="143" t="str">
        <f t="shared" si="14"/>
        <v/>
      </c>
      <c r="AE119" s="38" t="str">
        <f>IFERROR(__xludf.DUMMYFUNCTION("""COMPUTED_VALUE"""),"")</f>
        <v/>
      </c>
      <c r="AF119" s="144">
        <v>46125.0</v>
      </c>
      <c r="AG119" s="167" t="str">
        <f t="shared" si="54"/>
        <v/>
      </c>
      <c r="AH119" s="168" t="str">
        <f t="shared" si="322"/>
        <v/>
      </c>
      <c r="AI119" s="169" t="str">
        <f t="shared" si="323"/>
        <v/>
      </c>
      <c r="AJ119" s="172" t="str">
        <f t="shared" si="324"/>
        <v/>
      </c>
      <c r="AK119" s="171" t="str">
        <f t="array" ref="AK119">IFERROR(IF(AE119="ac"+ISNUMBER(SEARCH("'",AJ119))+AI119="","", IF(ISNUMBER(SEARCH("lw",AJ119)), W119 + SUBSTITUTE(AJ119,"lw+",""), MROUND(SWITCH(AE119,"sq",AI$7,"bn",AJ$7,"dl",AK$7,"")*IF(AJ119&gt;10, AJ119/100, VLOOKUP(AJ119, _rpe,SUBSTITUTE(AI119,"+","")+1,0)), IF( SWITCH(AE119,"sq",AI$7,"bn",AJ$7,"dl", AK$7,"")&lt; IF(_uom="lbs", 175, 80), 1.25, IF(_uom="lbs",5,2.5))))), "")</f>
        <v/>
      </c>
      <c r="AL119" s="148"/>
      <c r="AM119" s="33"/>
      <c r="AN119" s="171"/>
      <c r="AO119" s="124" t="str">
        <f>IFERROR(__xludf.DUMMYFUNCTION("IF(AK119=MAX(FILTER(AK$10:AK$199,LOOKUP(ROW(AE$10:AE$199),FILTER(ROW(AE$10:AE$199),AE$10:AE$199&lt;&gt;AE$9:AE$198))=LOOKUP(ROW(AE119),FILTER(ROW(AE$10:AE$199),AE$10:AE$199&lt;&gt;AE$9:AE$198)))),AL119,)"),"")</f>
        <v/>
      </c>
      <c r="AP119" s="122"/>
      <c r="AQ119" s="33"/>
      <c r="AR119" s="143" t="str">
        <f t="shared" si="16"/>
        <v/>
      </c>
      <c r="AS119" s="38" t="str">
        <f>IFERROR(__xludf.DUMMYFUNCTION("""COMPUTED_VALUE"""),"")</f>
        <v/>
      </c>
      <c r="AT119" s="144">
        <v>46132.0</v>
      </c>
      <c r="AU119" s="167" t="str">
        <f t="shared" si="26"/>
        <v/>
      </c>
      <c r="AV119" s="168" t="str">
        <f t="shared" si="325"/>
        <v/>
      </c>
      <c r="AW119" s="169" t="str">
        <f t="shared" si="326"/>
        <v/>
      </c>
      <c r="AX119" s="172" t="str">
        <f t="shared" si="327"/>
        <v/>
      </c>
      <c r="AY119" s="171" t="str">
        <f t="array" ref="AY119">IFERROR(IF(AS119="ac"+ISNUMBER(SEARCH("'",AX119))+AW119="","", IF(ISNUMBER(SEARCH("lw",AX119)), AK119 + SUBSTITUTE(AX119,"lw+",""), MROUND(SWITCH(AS119,"sq",AW$7,"bn",AX$7,"dl",AY$7,"")*IF(AX119&gt;10, AX119/100, VLOOKUP(AX119, _rpe,SUBSTITUTE(AW119,"+","")+1,0)), IF( SWITCH(AS119,"sq",AW$7,"bn",AX$7,"dl", AY$7,"")&lt; IF(_uom="lbs", 175, 80), 1.25, IF(_uom="lbs",5,2.5))))), "")</f>
        <v/>
      </c>
      <c r="AZ119" s="148"/>
      <c r="BA119" s="33"/>
      <c r="BB119" s="171"/>
      <c r="BC119" s="124" t="str">
        <f>IFERROR(__xludf.DUMMYFUNCTION("IF(AY119=MAX(FILTER(AY$10:AY$199,LOOKUP(ROW(AS$10:AS$199),FILTER(ROW(AS$10:AS$199),AS$10:AS$199&lt;&gt;AS$9:AS$198))=LOOKUP(ROW(AS119),FILTER(ROW(AS$10:AS$199),AS$10:AS$199&lt;&gt;AS$9:AS$198)))),AZ119,)"),"")</f>
        <v/>
      </c>
      <c r="BD119" s="122"/>
      <c r="BE119" s="33"/>
      <c r="BF119" s="143" t="str">
        <f t="shared" si="17"/>
        <v/>
      </c>
      <c r="BG119" s="38" t="str">
        <f>IFERROR(__xludf.DUMMYFUNCTION("""COMPUTED_VALUE"""),"")</f>
        <v/>
      </c>
      <c r="BH119" s="144">
        <v>46139.0</v>
      </c>
      <c r="BI119" s="167" t="str">
        <f t="shared" si="18"/>
        <v/>
      </c>
      <c r="BJ119" s="168" t="str">
        <f t="shared" si="328"/>
        <v/>
      </c>
      <c r="BK119" s="169" t="str">
        <f t="shared" si="329"/>
        <v/>
      </c>
      <c r="BL119" s="172" t="str">
        <f t="shared" si="330"/>
        <v/>
      </c>
      <c r="BM119" s="171" t="str">
        <f t="array" ref="BM119">IFERROR(IF(BG119="ac"+ISNUMBER(SEARCH("'",BL119))+BK119="","", IF(ISNUMBER(SEARCH("lw",BL119)), AY119 + SUBSTITUTE(BL119,"lw+",""), MROUND(SWITCH(BG119,"sq",BK$7,"bn",BL$7,"dl",BM$7,"")*IF(BL119&gt;10, BL119/100, VLOOKUP(BL119, _rpe,SUBSTITUTE(BK119,"+","")+1,0)), IF( SWITCH(BG119,"sq",BK$7,"bn",BL$7,"dl", BM$7,"")&lt; IF(_uom="lbs", 175, 80), 1.25, IF(_uom="lbs",5,2.5))))), "")</f>
        <v/>
      </c>
      <c r="BN119" s="148"/>
      <c r="BO119" s="33"/>
      <c r="BP119" s="171"/>
      <c r="BQ119" s="124" t="str">
        <f>IFERROR(__xludf.DUMMYFUNCTION("IF(BM119=MAX(FILTER(BM$10:BM$199,LOOKUP(ROW(BG$10:BG$199),FILTER(ROW(BG$10:BG$199),BG$10:BG$199&lt;&gt;BG$9:BG$198))=LOOKUP(ROW(BG119),FILTER(ROW(BG$10:BG$199),BG$10:BG$199&lt;&gt;BG$9:BG$198)))),BN119,)"),"")</f>
        <v/>
      </c>
      <c r="BR119" s="122"/>
      <c r="BS119" s="33"/>
      <c r="BT119" s="143" t="str">
        <f t="shared" si="19"/>
        <v/>
      </c>
      <c r="BU119" s="38" t="str">
        <f>IFERROR(__xludf.DUMMYFUNCTION("""COMPUTED_VALUE"""),"")</f>
        <v/>
      </c>
      <c r="BV119" s="144">
        <v>46146.0</v>
      </c>
      <c r="BW119" s="167" t="str">
        <f t="shared" si="20"/>
        <v/>
      </c>
      <c r="BX119" s="168" t="str">
        <f t="shared" si="331"/>
        <v/>
      </c>
      <c r="BY119" s="169" t="str">
        <f t="shared" si="332"/>
        <v/>
      </c>
      <c r="BZ119" s="172" t="str">
        <f t="shared" si="333"/>
        <v/>
      </c>
      <c r="CA119" s="171" t="str">
        <f t="array" ref="CA119">IFERROR(IF(BU119="ac"+ISNUMBER(SEARCH("'",BZ119))+BY119="","", IF(ISNUMBER(SEARCH("lw",BZ119)), BM119 + SUBSTITUTE(BZ119,"lw+",""), MROUND(SWITCH(BU119,"sq",BY$7,"bn",BZ$7,"dl",CA$7,"")*IF(BZ119&gt;10, BZ119/100, VLOOKUP(BZ119, _rpe,SUBSTITUTE(BY119,"+","")+1,0)), IF( SWITCH(BU119,"sq",BY$7,"bn",BZ$7,"dl", CA$7,"")&lt; IF(_uom="lbs", 175, 80), 1.25, IF(_uom="lbs",5,2.5))))), "")</f>
        <v/>
      </c>
      <c r="CB119" s="148"/>
      <c r="CC119" s="33"/>
      <c r="CD119" s="171"/>
      <c r="CE119" s="124" t="str">
        <f>IFERROR(__xludf.DUMMYFUNCTION("IF(CA119=MAX(FILTER(CA$10:CA$199,LOOKUP(ROW(BU$10:BU$199),FILTER(ROW(BU$10:BU$199),BU$10:BU$199&lt;&gt;BU$9:BU$198))=LOOKUP(ROW(BU119),FILTER(ROW(BU$10:BU$199),BU$10:BU$199&lt;&gt;BU$9:BU$198)))),CB119,)"),"")</f>
        <v/>
      </c>
      <c r="CF119" s="122"/>
      <c r="CG119" s="33"/>
      <c r="CH119" s="143" t="str">
        <f t="shared" si="21"/>
        <v/>
      </c>
      <c r="CI119" s="38" t="str">
        <f>IFERROR(__xludf.DUMMYFUNCTION("""COMPUTED_VALUE"""),"")</f>
        <v/>
      </c>
      <c r="CJ119" s="144">
        <v>46153.0</v>
      </c>
      <c r="CK119" s="167" t="str">
        <f t="shared" si="27"/>
        <v/>
      </c>
      <c r="CL119" s="168" t="str">
        <f t="shared" si="334"/>
        <v/>
      </c>
      <c r="CM119" s="169" t="str">
        <f t="shared" si="335"/>
        <v/>
      </c>
      <c r="CN119" s="172" t="str">
        <f t="shared" si="336"/>
        <v/>
      </c>
      <c r="CO119" s="171" t="str">
        <f t="array" ref="CO119">IFERROR(IF(CI119="ac"+ISNUMBER(SEARCH("'",CN119))+CM119="","", IF(ISNUMBER(SEARCH("lw",CN119)), CA119 + SUBSTITUTE(CN119,"lw+",""), MROUND(SWITCH(CI119,"sq",CM$7,"bn",CN$7,"dl",CO$7,"")*IF(CN119&gt;10, CN119/100, VLOOKUP(CN119, _rpe,SUBSTITUTE(CM119,"+","")+1,0)), IF( SWITCH(CI119,"sq",CM$7,"bn",CN$7,"dl", CO$7,"")&lt; IF(_uom="lbs", 175, 80), 1.25, IF(_uom="lbs",5,2.5))))), "")</f>
        <v/>
      </c>
      <c r="CP119" s="148"/>
      <c r="CQ119" s="33"/>
      <c r="CR119" s="171"/>
      <c r="CS119" s="124" t="str">
        <f>IFERROR(__xludf.DUMMYFUNCTION("IF(CO119=MAX(FILTER(CO$10:CO$199,LOOKUP(ROW(CI$10:CI$199),FILTER(ROW(CI$10:CI$199),CI$10:CI$199&lt;&gt;CI$9:CI$198))=LOOKUP(ROW(CI119),FILTER(ROW(CI$10:CI$199),CI$10:CI$199&lt;&gt;CI$9:CI$198)))),CP119,)"),"")</f>
        <v/>
      </c>
      <c r="CT119" s="122"/>
      <c r="CU119" s="33"/>
      <c r="CV119" s="143" t="str">
        <f t="shared" si="22"/>
        <v/>
      </c>
      <c r="CW119" s="38" t="str">
        <f>IFERROR(__xludf.DUMMYFUNCTION("""COMPUTED_VALUE"""),"")</f>
        <v/>
      </c>
      <c r="CX119" s="144">
        <v>46160.0</v>
      </c>
      <c r="CY119" s="167" t="str">
        <f t="shared" si="28"/>
        <v/>
      </c>
      <c r="CZ119" s="168" t="str">
        <f t="shared" si="337"/>
        <v/>
      </c>
      <c r="DA119" s="169" t="str">
        <f t="shared" si="338"/>
        <v/>
      </c>
      <c r="DB119" s="172" t="str">
        <f t="shared" si="339"/>
        <v/>
      </c>
      <c r="DC119" s="171" t="str">
        <f t="array" ref="DC119">IFERROR(IF(CW119="ac"+ISNUMBER(SEARCH("'",DB119))+DA119="","", IF(ISNUMBER(SEARCH("lw",DB119)), CO119 + SUBSTITUTE(DB119,"lw+",""), MROUND(SWITCH(CW119,"sq",DA$7,"bn",DB$7,"dl",DC$7,"")*IF(DB119&gt;10, DB119/100, VLOOKUP(DB119, _rpe,SUBSTITUTE(DA119,"+","")+1,0)), IF( SWITCH(CW119,"sq",DA$7,"bn",DB$7,"dl", DC$7,"")&lt; IF(_uom="lbs", 175, 80), 1.25, IF(_uom="lbs",5,2.5))))), "")</f>
        <v/>
      </c>
      <c r="DD119" s="148"/>
      <c r="DE119" s="33"/>
      <c r="DF119" s="171"/>
      <c r="DG119" s="124" t="str">
        <f>IFERROR(__xludf.DUMMYFUNCTION("IF(DC119=MAX(FILTER(DC$10:DC$199,LOOKUP(ROW(CW$10:CW$199),FILTER(ROW(CW$10:CW$199),CW$10:CW$199&lt;&gt;CW$9:CW$198))=LOOKUP(ROW(CW119),FILTER(ROW(CW$10:CW$199),CW$10:CW$199&lt;&gt;CW$9:CW$198)))),DD119,)"),"")</f>
        <v/>
      </c>
      <c r="DH119" s="122"/>
      <c r="DI119" s="33"/>
      <c r="DJ119" s="143" t="str">
        <f t="shared" si="23"/>
        <v/>
      </c>
      <c r="DK119" s="38" t="str">
        <f>IFERROR(__xludf.DUMMYFUNCTION("""COMPUTED_VALUE"""),"")</f>
        <v/>
      </c>
      <c r="DL119" s="144">
        <v>46167.0</v>
      </c>
      <c r="DM119" s="167" t="str">
        <f t="shared" ref="DM119:DN119" si="371">IF(ISBLANK(CY119),"",CY119)</f>
        <v/>
      </c>
      <c r="DN119" s="168" t="str">
        <f t="shared" si="371"/>
        <v/>
      </c>
      <c r="DO119" s="169" t="str">
        <f t="shared" si="341"/>
        <v/>
      </c>
      <c r="DP119" s="172" t="str">
        <f t="shared" si="342"/>
        <v/>
      </c>
      <c r="DQ119" s="171" t="str">
        <f t="array" ref="DQ119">IFERROR(IF(DK119="ac"+ISNUMBER(SEARCH("'",DP119))+DO119="","", IF(ISNUMBER(SEARCH("lw",DP119)), DC119 + SUBSTITUTE(DP119,"lw+",""), MROUND(SWITCH(DK119,"sq",DO$7,"bn",DP$7,"dl",DQ$7,"")*IF(DP119&gt;10, DP119/100, VLOOKUP(DP119, _rpe,SUBSTITUTE(DO119,"+","")+1,0)), IF( SWITCH(DK119,"sq",DO$7,"bn",DP$7,"dl", DQ$7,"")&lt; IF(_uom="lbs", 175, 80), 1.25, IF(_uom="lbs",5,2.5))))), "")</f>
        <v/>
      </c>
      <c r="DR119" s="148"/>
      <c r="DS119" s="33"/>
      <c r="DT119" s="171"/>
      <c r="DU119" s="124" t="str">
        <f>IFERROR(__xludf.DUMMYFUNCTION("IF(DQ119=MAX(FILTER(DQ$10:DQ$199,LOOKUP(ROW(DK$10:DK$199),FILTER(ROW(DK$10:DK$199),DK$10:DK$199&lt;&gt;DK$9:DK$198))=LOOKUP(ROW(DK119),FILTER(ROW(DK$10:DK$199),DK$10:DK$199&lt;&gt;DK$9:DK$198)))),DR119,)"),"")</f>
        <v/>
      </c>
      <c r="DV119" s="122"/>
      <c r="DW119" s="33"/>
      <c r="DX119" s="143"/>
      <c r="DY119" s="38"/>
      <c r="DZ119" s="144"/>
      <c r="EA119" s="150"/>
      <c r="EB119" s="174"/>
      <c r="EC119" s="175"/>
      <c r="ED119" s="176"/>
      <c r="EE119" s="155"/>
      <c r="EF119" s="148"/>
      <c r="EG119" s="33"/>
      <c r="EH119" s="155"/>
      <c r="EI119" s="148"/>
      <c r="EJ119" s="33"/>
      <c r="EK119" s="33"/>
      <c r="EL119" s="143"/>
      <c r="EM119" s="38"/>
      <c r="EN119" s="144"/>
      <c r="EO119" s="150"/>
      <c r="EP119" s="174"/>
      <c r="EQ119" s="175"/>
      <c r="ER119" s="176"/>
      <c r="ES119" s="155"/>
      <c r="ET119" s="148"/>
      <c r="EU119" s="33"/>
      <c r="EV119" s="155"/>
      <c r="EW119" s="148"/>
      <c r="EX119" s="33"/>
      <c r="EY119" s="33"/>
      <c r="EZ119" s="143"/>
      <c r="FA119" s="38"/>
      <c r="FB119" s="144"/>
      <c r="FC119" s="150"/>
      <c r="FD119" s="174"/>
      <c r="FE119" s="175"/>
      <c r="FF119" s="176"/>
      <c r="FG119" s="155"/>
      <c r="FH119" s="148"/>
      <c r="FI119" s="33"/>
      <c r="FJ119" s="155"/>
      <c r="FK119" s="148"/>
      <c r="FL119" s="33"/>
      <c r="FM119" s="33"/>
      <c r="FN119" s="143"/>
      <c r="FO119" s="38"/>
      <c r="FP119" s="144"/>
      <c r="FQ119" s="150"/>
      <c r="FR119" s="174"/>
      <c r="FS119" s="175"/>
      <c r="FT119" s="176"/>
      <c r="FU119" s="155"/>
      <c r="FV119" s="148"/>
      <c r="FW119" s="33"/>
      <c r="FX119" s="155"/>
      <c r="FY119" s="148"/>
      <c r="FZ119" s="33"/>
      <c r="GA119" s="33"/>
      <c r="GB119" s="143"/>
      <c r="GC119" s="38"/>
      <c r="GD119" s="144"/>
      <c r="GE119" s="150"/>
      <c r="GF119" s="174"/>
      <c r="GG119" s="175"/>
      <c r="GH119" s="176"/>
      <c r="GI119" s="155"/>
      <c r="GJ119" s="148"/>
      <c r="GK119" s="33"/>
      <c r="GL119" s="155"/>
      <c r="GM119" s="148"/>
      <c r="GN119" s="33"/>
      <c r="GO119" s="33"/>
      <c r="GP119" s="143"/>
      <c r="GQ119" s="38"/>
      <c r="GR119" s="144"/>
      <c r="GS119" s="150"/>
      <c r="GT119" s="174"/>
      <c r="GU119" s="175"/>
      <c r="GV119" s="176"/>
      <c r="GW119" s="155"/>
      <c r="GX119" s="148"/>
      <c r="GY119" s="33"/>
      <c r="GZ119" s="155"/>
      <c r="HA119" s="148"/>
      <c r="HB119" s="33"/>
      <c r="HC119" s="33"/>
      <c r="HD119" s="143"/>
      <c r="HE119" s="38"/>
      <c r="HF119" s="144"/>
      <c r="HG119" s="150"/>
      <c r="HH119" s="174"/>
      <c r="HI119" s="175"/>
      <c r="HJ119" s="176"/>
      <c r="HK119" s="155"/>
      <c r="HL119" s="148"/>
      <c r="HM119" s="33"/>
      <c r="HN119" s="155"/>
      <c r="HO119" s="148"/>
      <c r="HP119" s="33"/>
      <c r="HQ119" s="33"/>
      <c r="HR119" s="143"/>
      <c r="HS119" s="38"/>
      <c r="HT119" s="144"/>
      <c r="HU119" s="150"/>
      <c r="HV119" s="174"/>
      <c r="HW119" s="175"/>
      <c r="HX119" s="176"/>
      <c r="HY119" s="155"/>
      <c r="HZ119" s="148"/>
      <c r="IA119" s="33"/>
      <c r="IB119" s="155"/>
      <c r="IC119" s="148"/>
      <c r="ID119" s="33"/>
      <c r="IE119" s="33"/>
      <c r="IF119" s="143"/>
      <c r="IG119" s="38"/>
      <c r="IH119" s="144"/>
      <c r="II119" s="150"/>
      <c r="IJ119" s="174"/>
      <c r="IK119" s="175"/>
      <c r="IL119" s="176"/>
      <c r="IM119" s="155"/>
      <c r="IN119" s="148"/>
      <c r="IO119" s="33"/>
      <c r="IP119" s="155"/>
      <c r="IQ119" s="148"/>
      <c r="IR119" s="33"/>
      <c r="IS119" s="33"/>
      <c r="IT119" s="143"/>
      <c r="IU119" s="38"/>
      <c r="IV119" s="144"/>
      <c r="IW119" s="143"/>
      <c r="IX119" s="38"/>
      <c r="IY119" s="144" t="e">
        <v>#REF!</v>
      </c>
    </row>
    <row r="120">
      <c r="A120" s="33"/>
      <c r="B120" s="181"/>
      <c r="C120" s="38" t="str">
        <f>IFERROR(__xludf.DUMMYFUNCTION("""COMPUTED_VALUE"""),"")</f>
        <v/>
      </c>
      <c r="D120" s="144">
        <v>46111.0</v>
      </c>
      <c r="E120" s="182"/>
      <c r="F120" s="168"/>
      <c r="G120" s="169"/>
      <c r="H120" s="170"/>
      <c r="I120" s="171" t="str">
        <f t="array" ref="I120">IFERROR(IF(C120="ac"+ISNUMBER(SEARCH("'",H120))+G120="","", MROUND(SWITCH(C120,"sq",'Personal Info'!$O$15,"bn",'Personal Info'!$S$15,"dl",'Personal Info'!$W$15,"")*IF(H120&gt;10, H120/100, VLOOKUP(H120, _rpe,SUBSTITUTE(G120,"+","")+1,0)), IF( SWITCH(C120:C210,"sq",'Personal Info'!$O$15,"bn",'Personal Info'!$S$15,"dl", 'Personal Info'!$W$15,"")&lt; IF(_uom="lbs", 175, 80), 1.25, IF(_uom="lbs",5,2.5)))),"")</f>
        <v/>
      </c>
      <c r="J120" s="148"/>
      <c r="K120" s="33"/>
      <c r="L120" s="171"/>
      <c r="M120" s="124" t="str">
        <f>IFERROR(__xludf.DUMMYFUNCTION("IF(I120=MAX(FILTER(I$10:I$199,LOOKUP(ROW(C$10:C$199),FILTER(ROW(C$10:C$199),C$10:C$199&lt;&gt;C$9:C$198))=LOOKUP(ROW(C120),FILTER(ROW(C$10:C$199),C$10:C$199&lt;&gt;C$9:C$198)))),J120,)"),"")</f>
        <v/>
      </c>
      <c r="N120" s="122"/>
      <c r="O120" s="33"/>
      <c r="P120" s="143" t="str">
        <f t="shared" si="12"/>
        <v/>
      </c>
      <c r="Q120" s="38" t="str">
        <f>IFERROR(__xludf.DUMMYFUNCTION("""COMPUTED_VALUE"""),"")</f>
        <v/>
      </c>
      <c r="R120" s="144">
        <v>46118.0</v>
      </c>
      <c r="S120" s="167" t="str">
        <f t="shared" si="13"/>
        <v/>
      </c>
      <c r="T120" s="168" t="str">
        <f t="shared" si="319"/>
        <v/>
      </c>
      <c r="U120" s="169" t="str">
        <f t="shared" si="320"/>
        <v/>
      </c>
      <c r="V120" s="172" t="str">
        <f t="shared" si="321"/>
        <v/>
      </c>
      <c r="W120" s="171" t="str">
        <f t="array" ref="W120">IFERROR(IF(Q120="ac"+ISNUMBER(SEARCH("'",V120))+U120="","", IF(ISNUMBER(SEARCH("lw",V120)), I120 + SUBSTITUTE(V120,"lw+",""), MROUND(SWITCH(Q120,"sq",U$7,"bn",V$7,"dl",W$7,"")*IF(V120&gt;10, V120/100, VLOOKUP(V120, _rpe,SUBSTITUTE(U120,"+","")+1,0)), IF( SWITCH(Q120,"sq",U$7,"bn",V$7,"dl", W$7,"")&lt; IF(_uom="lbs", 175, 80), 1.25, IF(_uom="lbs",5,2.5))))), "")</f>
        <v/>
      </c>
      <c r="X120" s="148"/>
      <c r="Y120" s="33"/>
      <c r="Z120" s="171"/>
      <c r="AA120" s="124" t="str">
        <f>IFERROR(__xludf.DUMMYFUNCTION("IF(W120=MAX(FILTER(W$10:W$199,LOOKUP(ROW(Q$10:Q$199),FILTER(ROW(Q$10:Q$199),Q$10:Q$199&lt;&gt;Q$9:Q$198))=LOOKUP(ROW(Q120),FILTER(ROW(Q$10:Q$199),Q$10:Q$199&lt;&gt;Q$9:Q$198)))),X120,)"),"")</f>
        <v/>
      </c>
      <c r="AB120" s="122"/>
      <c r="AC120" s="33"/>
      <c r="AD120" s="143" t="str">
        <f t="shared" si="14"/>
        <v/>
      </c>
      <c r="AE120" s="38" t="str">
        <f>IFERROR(__xludf.DUMMYFUNCTION("""COMPUTED_VALUE"""),"")</f>
        <v/>
      </c>
      <c r="AF120" s="144">
        <v>46125.0</v>
      </c>
      <c r="AG120" s="167" t="str">
        <f t="shared" si="54"/>
        <v/>
      </c>
      <c r="AH120" s="168" t="str">
        <f t="shared" si="322"/>
        <v/>
      </c>
      <c r="AI120" s="169" t="str">
        <f t="shared" si="323"/>
        <v/>
      </c>
      <c r="AJ120" s="172" t="str">
        <f t="shared" si="324"/>
        <v/>
      </c>
      <c r="AK120" s="171" t="str">
        <f t="array" ref="AK120">IFERROR(IF(AE120="ac"+ISNUMBER(SEARCH("'",AJ120))+AI120="","", IF(ISNUMBER(SEARCH("lw",AJ120)), W120 + SUBSTITUTE(AJ120,"lw+",""), MROUND(SWITCH(AE120,"sq",AI$7,"bn",AJ$7,"dl",AK$7,"")*IF(AJ120&gt;10, AJ120/100, VLOOKUP(AJ120, _rpe,SUBSTITUTE(AI120,"+","")+1,0)), IF( SWITCH(AE120,"sq",AI$7,"bn",AJ$7,"dl", AK$7,"")&lt; IF(_uom="lbs", 175, 80), 1.25, IF(_uom="lbs",5,2.5))))), "")</f>
        <v/>
      </c>
      <c r="AL120" s="148"/>
      <c r="AM120" s="33"/>
      <c r="AN120" s="171"/>
      <c r="AO120" s="124" t="str">
        <f>IFERROR(__xludf.DUMMYFUNCTION("IF(AK120=MAX(FILTER(AK$10:AK$199,LOOKUP(ROW(AE$10:AE$199),FILTER(ROW(AE$10:AE$199),AE$10:AE$199&lt;&gt;AE$9:AE$198))=LOOKUP(ROW(AE120),FILTER(ROW(AE$10:AE$199),AE$10:AE$199&lt;&gt;AE$9:AE$198)))),AL120,)"),"")</f>
        <v/>
      </c>
      <c r="AP120" s="122"/>
      <c r="AQ120" s="33"/>
      <c r="AR120" s="143" t="str">
        <f t="shared" si="16"/>
        <v/>
      </c>
      <c r="AS120" s="38" t="str">
        <f>IFERROR(__xludf.DUMMYFUNCTION("""COMPUTED_VALUE"""),"")</f>
        <v/>
      </c>
      <c r="AT120" s="144">
        <v>46132.0</v>
      </c>
      <c r="AU120" s="167" t="str">
        <f t="shared" si="26"/>
        <v/>
      </c>
      <c r="AV120" s="168" t="str">
        <f t="shared" si="325"/>
        <v/>
      </c>
      <c r="AW120" s="169" t="str">
        <f t="shared" si="326"/>
        <v/>
      </c>
      <c r="AX120" s="172" t="str">
        <f t="shared" si="327"/>
        <v/>
      </c>
      <c r="AY120" s="171" t="str">
        <f t="array" ref="AY120">IFERROR(IF(AS120="ac"+ISNUMBER(SEARCH("'",AX120))+AW120="","", IF(ISNUMBER(SEARCH("lw",AX120)), AK120 + SUBSTITUTE(AX120,"lw+",""), MROUND(SWITCH(AS120,"sq",AW$7,"bn",AX$7,"dl",AY$7,"")*IF(AX120&gt;10, AX120/100, VLOOKUP(AX120, _rpe,SUBSTITUTE(AW120,"+","")+1,0)), IF( SWITCH(AS120,"sq",AW$7,"bn",AX$7,"dl", AY$7,"")&lt; IF(_uom="lbs", 175, 80), 1.25, IF(_uom="lbs",5,2.5))))), "")</f>
        <v/>
      </c>
      <c r="AZ120" s="148"/>
      <c r="BA120" s="33"/>
      <c r="BB120" s="171"/>
      <c r="BC120" s="124" t="str">
        <f>IFERROR(__xludf.DUMMYFUNCTION("IF(AY120=MAX(FILTER(AY$10:AY$199,LOOKUP(ROW(AS$10:AS$199),FILTER(ROW(AS$10:AS$199),AS$10:AS$199&lt;&gt;AS$9:AS$198))=LOOKUP(ROW(AS120),FILTER(ROW(AS$10:AS$199),AS$10:AS$199&lt;&gt;AS$9:AS$198)))),AZ120,)"),"")</f>
        <v/>
      </c>
      <c r="BD120" s="122"/>
      <c r="BE120" s="33"/>
      <c r="BF120" s="143" t="str">
        <f t="shared" si="17"/>
        <v/>
      </c>
      <c r="BG120" s="38" t="str">
        <f>IFERROR(__xludf.DUMMYFUNCTION("""COMPUTED_VALUE"""),"")</f>
        <v/>
      </c>
      <c r="BH120" s="144">
        <v>46139.0</v>
      </c>
      <c r="BI120" s="167" t="str">
        <f t="shared" si="18"/>
        <v/>
      </c>
      <c r="BJ120" s="168" t="str">
        <f t="shared" si="328"/>
        <v/>
      </c>
      <c r="BK120" s="169" t="str">
        <f t="shared" si="329"/>
        <v/>
      </c>
      <c r="BL120" s="172" t="str">
        <f t="shared" si="330"/>
        <v/>
      </c>
      <c r="BM120" s="171" t="str">
        <f t="array" ref="BM120">IFERROR(IF(BG120="ac"+ISNUMBER(SEARCH("'",BL120))+BK120="","", IF(ISNUMBER(SEARCH("lw",BL120)), AY120 + SUBSTITUTE(BL120,"lw+",""), MROUND(SWITCH(BG120,"sq",BK$7,"bn",BL$7,"dl",BM$7,"")*IF(BL120&gt;10, BL120/100, VLOOKUP(BL120, _rpe,SUBSTITUTE(BK120,"+","")+1,0)), IF( SWITCH(BG120,"sq",BK$7,"bn",BL$7,"dl", BM$7,"")&lt; IF(_uom="lbs", 175, 80), 1.25, IF(_uom="lbs",5,2.5))))), "")</f>
        <v/>
      </c>
      <c r="BN120" s="148"/>
      <c r="BO120" s="33"/>
      <c r="BP120" s="171"/>
      <c r="BQ120" s="124" t="str">
        <f>IFERROR(__xludf.DUMMYFUNCTION("IF(BM120=MAX(FILTER(BM$10:BM$199,LOOKUP(ROW(BG$10:BG$199),FILTER(ROW(BG$10:BG$199),BG$10:BG$199&lt;&gt;BG$9:BG$198))=LOOKUP(ROW(BG120),FILTER(ROW(BG$10:BG$199),BG$10:BG$199&lt;&gt;BG$9:BG$198)))),BN120,)"),"")</f>
        <v/>
      </c>
      <c r="BR120" s="122"/>
      <c r="BS120" s="33"/>
      <c r="BT120" s="143" t="str">
        <f t="shared" si="19"/>
        <v/>
      </c>
      <c r="BU120" s="38" t="str">
        <f>IFERROR(__xludf.DUMMYFUNCTION("""COMPUTED_VALUE"""),"")</f>
        <v/>
      </c>
      <c r="BV120" s="144">
        <v>46146.0</v>
      </c>
      <c r="BW120" s="167" t="str">
        <f t="shared" si="20"/>
        <v/>
      </c>
      <c r="BX120" s="168" t="str">
        <f t="shared" si="331"/>
        <v/>
      </c>
      <c r="BY120" s="169" t="str">
        <f t="shared" si="332"/>
        <v/>
      </c>
      <c r="BZ120" s="172" t="str">
        <f t="shared" si="333"/>
        <v/>
      </c>
      <c r="CA120" s="171" t="str">
        <f t="array" ref="CA120">IFERROR(IF(BU120="ac"+ISNUMBER(SEARCH("'",BZ120))+BY120="","", IF(ISNUMBER(SEARCH("lw",BZ120)), BM120 + SUBSTITUTE(BZ120,"lw+",""), MROUND(SWITCH(BU120,"sq",BY$7,"bn",BZ$7,"dl",CA$7,"")*IF(BZ120&gt;10, BZ120/100, VLOOKUP(BZ120, _rpe,SUBSTITUTE(BY120,"+","")+1,0)), IF( SWITCH(BU120,"sq",BY$7,"bn",BZ$7,"dl", CA$7,"")&lt; IF(_uom="lbs", 175, 80), 1.25, IF(_uom="lbs",5,2.5))))), "")</f>
        <v/>
      </c>
      <c r="CB120" s="148"/>
      <c r="CC120" s="33"/>
      <c r="CD120" s="171"/>
      <c r="CE120" s="124" t="str">
        <f>IFERROR(__xludf.DUMMYFUNCTION("IF(CA120=MAX(FILTER(CA$10:CA$199,LOOKUP(ROW(BU$10:BU$199),FILTER(ROW(BU$10:BU$199),BU$10:BU$199&lt;&gt;BU$9:BU$198))=LOOKUP(ROW(BU120),FILTER(ROW(BU$10:BU$199),BU$10:BU$199&lt;&gt;BU$9:BU$198)))),CB120,)"),"")</f>
        <v/>
      </c>
      <c r="CF120" s="122"/>
      <c r="CG120" s="33"/>
      <c r="CH120" s="143" t="str">
        <f t="shared" si="21"/>
        <v/>
      </c>
      <c r="CI120" s="38" t="str">
        <f>IFERROR(__xludf.DUMMYFUNCTION("""COMPUTED_VALUE"""),"")</f>
        <v/>
      </c>
      <c r="CJ120" s="144">
        <v>46153.0</v>
      </c>
      <c r="CK120" s="167" t="str">
        <f t="shared" si="27"/>
        <v/>
      </c>
      <c r="CL120" s="168" t="str">
        <f t="shared" si="334"/>
        <v/>
      </c>
      <c r="CM120" s="169" t="str">
        <f t="shared" si="335"/>
        <v/>
      </c>
      <c r="CN120" s="172" t="str">
        <f t="shared" si="336"/>
        <v/>
      </c>
      <c r="CO120" s="171" t="str">
        <f t="array" ref="CO120">IFERROR(IF(CI120="ac"+ISNUMBER(SEARCH("'",CN120))+CM120="","", IF(ISNUMBER(SEARCH("lw",CN120)), CA120 + SUBSTITUTE(CN120,"lw+",""), MROUND(SWITCH(CI120,"sq",CM$7,"bn",CN$7,"dl",CO$7,"")*IF(CN120&gt;10, CN120/100, VLOOKUP(CN120, _rpe,SUBSTITUTE(CM120,"+","")+1,0)), IF( SWITCH(CI120,"sq",CM$7,"bn",CN$7,"dl", CO$7,"")&lt; IF(_uom="lbs", 175, 80), 1.25, IF(_uom="lbs",5,2.5))))), "")</f>
        <v/>
      </c>
      <c r="CP120" s="148"/>
      <c r="CQ120" s="33"/>
      <c r="CR120" s="171"/>
      <c r="CS120" s="124" t="str">
        <f>IFERROR(__xludf.DUMMYFUNCTION("IF(CO120=MAX(FILTER(CO$10:CO$199,LOOKUP(ROW(CI$10:CI$199),FILTER(ROW(CI$10:CI$199),CI$10:CI$199&lt;&gt;CI$9:CI$198))=LOOKUP(ROW(CI120),FILTER(ROW(CI$10:CI$199),CI$10:CI$199&lt;&gt;CI$9:CI$198)))),CP120,)"),"")</f>
        <v/>
      </c>
      <c r="CT120" s="122"/>
      <c r="CU120" s="33"/>
      <c r="CV120" s="143" t="str">
        <f t="shared" si="22"/>
        <v/>
      </c>
      <c r="CW120" s="38" t="str">
        <f>IFERROR(__xludf.DUMMYFUNCTION("""COMPUTED_VALUE"""),"")</f>
        <v/>
      </c>
      <c r="CX120" s="144">
        <v>46160.0</v>
      </c>
      <c r="CY120" s="167" t="str">
        <f t="shared" si="28"/>
        <v/>
      </c>
      <c r="CZ120" s="168" t="str">
        <f t="shared" si="337"/>
        <v/>
      </c>
      <c r="DA120" s="169" t="str">
        <f t="shared" si="338"/>
        <v/>
      </c>
      <c r="DB120" s="172" t="str">
        <f t="shared" si="339"/>
        <v/>
      </c>
      <c r="DC120" s="171" t="str">
        <f t="array" ref="DC120">IFERROR(IF(CW120="ac"+ISNUMBER(SEARCH("'",DB120))+DA120="","", IF(ISNUMBER(SEARCH("lw",DB120)), CO120 + SUBSTITUTE(DB120,"lw+",""), MROUND(SWITCH(CW120,"sq",DA$7,"bn",DB$7,"dl",DC$7,"")*IF(DB120&gt;10, DB120/100, VLOOKUP(DB120, _rpe,SUBSTITUTE(DA120,"+","")+1,0)), IF( SWITCH(CW120,"sq",DA$7,"bn",DB$7,"dl", DC$7,"")&lt; IF(_uom="lbs", 175, 80), 1.25, IF(_uom="lbs",5,2.5))))), "")</f>
        <v/>
      </c>
      <c r="DD120" s="148"/>
      <c r="DE120" s="33"/>
      <c r="DF120" s="171"/>
      <c r="DG120" s="124" t="str">
        <f>IFERROR(__xludf.DUMMYFUNCTION("IF(DC120=MAX(FILTER(DC$10:DC$199,LOOKUP(ROW(CW$10:CW$199),FILTER(ROW(CW$10:CW$199),CW$10:CW$199&lt;&gt;CW$9:CW$198))=LOOKUP(ROW(CW120),FILTER(ROW(CW$10:CW$199),CW$10:CW$199&lt;&gt;CW$9:CW$198)))),DD120,)"),"")</f>
        <v/>
      </c>
      <c r="DH120" s="122"/>
      <c r="DI120" s="33"/>
      <c r="DJ120" s="143" t="str">
        <f t="shared" si="23"/>
        <v/>
      </c>
      <c r="DK120" s="38" t="str">
        <f>IFERROR(__xludf.DUMMYFUNCTION("""COMPUTED_VALUE"""),"")</f>
        <v/>
      </c>
      <c r="DL120" s="144">
        <v>46167.0</v>
      </c>
      <c r="DM120" s="167" t="str">
        <f t="shared" ref="DM120:DN120" si="372">IF(ISBLANK(CY120),"",CY120)</f>
        <v/>
      </c>
      <c r="DN120" s="168" t="str">
        <f t="shared" si="372"/>
        <v/>
      </c>
      <c r="DO120" s="169" t="str">
        <f t="shared" si="341"/>
        <v/>
      </c>
      <c r="DP120" s="172" t="str">
        <f t="shared" si="342"/>
        <v/>
      </c>
      <c r="DQ120" s="171" t="str">
        <f t="array" ref="DQ120">IFERROR(IF(DK120="ac"+ISNUMBER(SEARCH("'",DP120))+DO120="","", IF(ISNUMBER(SEARCH("lw",DP120)), DC120 + SUBSTITUTE(DP120,"lw+",""), MROUND(SWITCH(DK120,"sq",DO$7,"bn",DP$7,"dl",DQ$7,"")*IF(DP120&gt;10, DP120/100, VLOOKUP(DP120, _rpe,SUBSTITUTE(DO120,"+","")+1,0)), IF( SWITCH(DK120,"sq",DO$7,"bn",DP$7,"dl", DQ$7,"")&lt; IF(_uom="lbs", 175, 80), 1.25, IF(_uom="lbs",5,2.5))))), "")</f>
        <v/>
      </c>
      <c r="DR120" s="148"/>
      <c r="DS120" s="33"/>
      <c r="DT120" s="171"/>
      <c r="DU120" s="124" t="str">
        <f>IFERROR(__xludf.DUMMYFUNCTION("IF(DQ120=MAX(FILTER(DQ$10:DQ$199,LOOKUP(ROW(DK$10:DK$199),FILTER(ROW(DK$10:DK$199),DK$10:DK$199&lt;&gt;DK$9:DK$198))=LOOKUP(ROW(DK120),FILTER(ROW(DK$10:DK$199),DK$10:DK$199&lt;&gt;DK$9:DK$198)))),DR120,)"),"")</f>
        <v/>
      </c>
      <c r="DV120" s="122"/>
      <c r="DW120" s="33"/>
      <c r="DX120" s="143"/>
      <c r="DY120" s="38"/>
      <c r="DZ120" s="144"/>
      <c r="EA120" s="150"/>
      <c r="EB120" s="174"/>
      <c r="EC120" s="175"/>
      <c r="ED120" s="176"/>
      <c r="EE120" s="155"/>
      <c r="EF120" s="148"/>
      <c r="EG120" s="33"/>
      <c r="EH120" s="155"/>
      <c r="EI120" s="148"/>
      <c r="EJ120" s="33"/>
      <c r="EK120" s="33"/>
      <c r="EL120" s="143"/>
      <c r="EM120" s="38"/>
      <c r="EN120" s="144"/>
      <c r="EO120" s="150"/>
      <c r="EP120" s="174"/>
      <c r="EQ120" s="175"/>
      <c r="ER120" s="176"/>
      <c r="ES120" s="155"/>
      <c r="ET120" s="148"/>
      <c r="EU120" s="33"/>
      <c r="EV120" s="155"/>
      <c r="EW120" s="148"/>
      <c r="EX120" s="33"/>
      <c r="EY120" s="33"/>
      <c r="EZ120" s="143"/>
      <c r="FA120" s="38"/>
      <c r="FB120" s="144"/>
      <c r="FC120" s="150"/>
      <c r="FD120" s="174"/>
      <c r="FE120" s="175"/>
      <c r="FF120" s="176"/>
      <c r="FG120" s="155"/>
      <c r="FH120" s="148"/>
      <c r="FI120" s="33"/>
      <c r="FJ120" s="155"/>
      <c r="FK120" s="148"/>
      <c r="FL120" s="33"/>
      <c r="FM120" s="33"/>
      <c r="FN120" s="143"/>
      <c r="FO120" s="38"/>
      <c r="FP120" s="144"/>
      <c r="FQ120" s="150"/>
      <c r="FR120" s="174"/>
      <c r="FS120" s="175"/>
      <c r="FT120" s="176"/>
      <c r="FU120" s="155"/>
      <c r="FV120" s="148"/>
      <c r="FW120" s="33"/>
      <c r="FX120" s="155"/>
      <c r="FY120" s="148"/>
      <c r="FZ120" s="33"/>
      <c r="GA120" s="33"/>
      <c r="GB120" s="143"/>
      <c r="GC120" s="38"/>
      <c r="GD120" s="144"/>
      <c r="GE120" s="150"/>
      <c r="GF120" s="174"/>
      <c r="GG120" s="175"/>
      <c r="GH120" s="176"/>
      <c r="GI120" s="155"/>
      <c r="GJ120" s="148"/>
      <c r="GK120" s="33"/>
      <c r="GL120" s="155"/>
      <c r="GM120" s="148"/>
      <c r="GN120" s="33"/>
      <c r="GO120" s="33"/>
      <c r="GP120" s="143"/>
      <c r="GQ120" s="38"/>
      <c r="GR120" s="144"/>
      <c r="GS120" s="150"/>
      <c r="GT120" s="174"/>
      <c r="GU120" s="175"/>
      <c r="GV120" s="176"/>
      <c r="GW120" s="155"/>
      <c r="GX120" s="148"/>
      <c r="GY120" s="33"/>
      <c r="GZ120" s="155"/>
      <c r="HA120" s="148"/>
      <c r="HB120" s="33"/>
      <c r="HC120" s="33"/>
      <c r="HD120" s="143"/>
      <c r="HE120" s="38"/>
      <c r="HF120" s="144"/>
      <c r="HG120" s="150"/>
      <c r="HH120" s="174"/>
      <c r="HI120" s="175"/>
      <c r="HJ120" s="176"/>
      <c r="HK120" s="155"/>
      <c r="HL120" s="148"/>
      <c r="HM120" s="33"/>
      <c r="HN120" s="155"/>
      <c r="HO120" s="148"/>
      <c r="HP120" s="33"/>
      <c r="HQ120" s="33"/>
      <c r="HR120" s="143"/>
      <c r="HS120" s="38"/>
      <c r="HT120" s="144"/>
      <c r="HU120" s="150"/>
      <c r="HV120" s="174"/>
      <c r="HW120" s="175"/>
      <c r="HX120" s="176"/>
      <c r="HY120" s="155"/>
      <c r="HZ120" s="148"/>
      <c r="IA120" s="33"/>
      <c r="IB120" s="155"/>
      <c r="IC120" s="148"/>
      <c r="ID120" s="33"/>
      <c r="IE120" s="33"/>
      <c r="IF120" s="143"/>
      <c r="IG120" s="38"/>
      <c r="IH120" s="144"/>
      <c r="II120" s="150"/>
      <c r="IJ120" s="174"/>
      <c r="IK120" s="175"/>
      <c r="IL120" s="176"/>
      <c r="IM120" s="155"/>
      <c r="IN120" s="148"/>
      <c r="IO120" s="33"/>
      <c r="IP120" s="155"/>
      <c r="IQ120" s="148"/>
      <c r="IR120" s="33"/>
      <c r="IS120" s="33"/>
      <c r="IT120" s="143"/>
      <c r="IU120" s="38"/>
      <c r="IV120" s="144"/>
      <c r="IW120" s="143"/>
      <c r="IX120" s="38"/>
      <c r="IY120" s="144" t="e">
        <v>#REF!</v>
      </c>
    </row>
    <row r="121">
      <c r="A121" s="33"/>
      <c r="B121" s="181"/>
      <c r="C121" s="38" t="str">
        <f>IFERROR(__xludf.DUMMYFUNCTION("""COMPUTED_VALUE"""),"")</f>
        <v/>
      </c>
      <c r="D121" s="144">
        <v>46111.0</v>
      </c>
      <c r="E121" s="182"/>
      <c r="F121" s="168"/>
      <c r="G121" s="169"/>
      <c r="H121" s="170"/>
      <c r="I121" s="171" t="str">
        <f t="array" ref="I121">IFERROR(IF(C121="ac"+ISNUMBER(SEARCH("'",H121))+G121="","", MROUND(SWITCH(C121,"sq",'Personal Info'!$O$15,"bn",'Personal Info'!$S$15,"dl",'Personal Info'!$W$15,"")*IF(H121&gt;10, H121/100, VLOOKUP(H121, _rpe,SUBSTITUTE(G121,"+","")+1,0)), IF( SWITCH(C121:C210,"sq",'Personal Info'!$O$15,"bn",'Personal Info'!$S$15,"dl", 'Personal Info'!$W$15,"")&lt; IF(_uom="lbs", 175, 80), 1.25, IF(_uom="lbs",5,2.5)))),"")</f>
        <v/>
      </c>
      <c r="J121" s="148"/>
      <c r="K121" s="33"/>
      <c r="L121" s="171"/>
      <c r="M121" s="124" t="str">
        <f>IFERROR(__xludf.DUMMYFUNCTION("IF(I121=MAX(FILTER(I$10:I$199,LOOKUP(ROW(C$10:C$199),FILTER(ROW(C$10:C$199),C$10:C$199&lt;&gt;C$9:C$198))=LOOKUP(ROW(C121),FILTER(ROW(C$10:C$199),C$10:C$199&lt;&gt;C$9:C$198)))),J121,)"),"")</f>
        <v/>
      </c>
      <c r="N121" s="122"/>
      <c r="O121" s="33"/>
      <c r="P121" s="143" t="str">
        <f t="shared" si="12"/>
        <v/>
      </c>
      <c r="Q121" s="38" t="str">
        <f>IFERROR(__xludf.DUMMYFUNCTION("""COMPUTED_VALUE"""),"")</f>
        <v/>
      </c>
      <c r="R121" s="144">
        <v>46118.0</v>
      </c>
      <c r="S121" s="167" t="str">
        <f t="shared" si="13"/>
        <v/>
      </c>
      <c r="T121" s="168" t="str">
        <f t="shared" si="319"/>
        <v/>
      </c>
      <c r="U121" s="169" t="str">
        <f t="shared" si="320"/>
        <v/>
      </c>
      <c r="V121" s="172" t="str">
        <f t="shared" si="321"/>
        <v/>
      </c>
      <c r="W121" s="171" t="str">
        <f t="array" ref="W121">IFERROR(IF(Q121="ac"+ISNUMBER(SEARCH("'",V121))+U121="","", IF(ISNUMBER(SEARCH("lw",V121)), I121 + SUBSTITUTE(V121,"lw+",""), MROUND(SWITCH(Q121,"sq",U$7,"bn",V$7,"dl",W$7,"")*IF(V121&gt;10, V121/100, VLOOKUP(V121, _rpe,SUBSTITUTE(U121,"+","")+1,0)), IF( SWITCH(Q121,"sq",U$7,"bn",V$7,"dl", W$7,"")&lt; IF(_uom="lbs", 175, 80), 1.25, IF(_uom="lbs",5,2.5))))), "")</f>
        <v/>
      </c>
      <c r="X121" s="148"/>
      <c r="Y121" s="33"/>
      <c r="Z121" s="171"/>
      <c r="AA121" s="124" t="str">
        <f>IFERROR(__xludf.DUMMYFUNCTION("IF(W121=MAX(FILTER(W$10:W$199,LOOKUP(ROW(Q$10:Q$199),FILTER(ROW(Q$10:Q$199),Q$10:Q$199&lt;&gt;Q$9:Q$198))=LOOKUP(ROW(Q121),FILTER(ROW(Q$10:Q$199),Q$10:Q$199&lt;&gt;Q$9:Q$198)))),X121,)"),"")</f>
        <v/>
      </c>
      <c r="AB121" s="122"/>
      <c r="AC121" s="33"/>
      <c r="AD121" s="143" t="str">
        <f t="shared" si="14"/>
        <v/>
      </c>
      <c r="AE121" s="38" t="str">
        <f>IFERROR(__xludf.DUMMYFUNCTION("""COMPUTED_VALUE"""),"")</f>
        <v/>
      </c>
      <c r="AF121" s="144">
        <v>46125.0</v>
      </c>
      <c r="AG121" s="167" t="str">
        <f t="shared" si="54"/>
        <v/>
      </c>
      <c r="AH121" s="168" t="str">
        <f t="shared" si="322"/>
        <v/>
      </c>
      <c r="AI121" s="169" t="str">
        <f t="shared" si="323"/>
        <v/>
      </c>
      <c r="AJ121" s="172" t="str">
        <f t="shared" si="324"/>
        <v/>
      </c>
      <c r="AK121" s="171" t="str">
        <f t="array" ref="AK121">IFERROR(IF(AE121="ac"+ISNUMBER(SEARCH("'",AJ121))+AI121="","", IF(ISNUMBER(SEARCH("lw",AJ121)), W121 + SUBSTITUTE(AJ121,"lw+",""), MROUND(SWITCH(AE121,"sq",AI$7,"bn",AJ$7,"dl",AK$7,"")*IF(AJ121&gt;10, AJ121/100, VLOOKUP(AJ121, _rpe,SUBSTITUTE(AI121,"+","")+1,0)), IF( SWITCH(AE121,"sq",AI$7,"bn",AJ$7,"dl", AK$7,"")&lt; IF(_uom="lbs", 175, 80), 1.25, IF(_uom="lbs",5,2.5))))), "")</f>
        <v/>
      </c>
      <c r="AL121" s="148"/>
      <c r="AM121" s="33"/>
      <c r="AN121" s="171"/>
      <c r="AO121" s="124" t="str">
        <f>IFERROR(__xludf.DUMMYFUNCTION("IF(AK121=MAX(FILTER(AK$10:AK$199,LOOKUP(ROW(AE$10:AE$199),FILTER(ROW(AE$10:AE$199),AE$10:AE$199&lt;&gt;AE$9:AE$198))=LOOKUP(ROW(AE121),FILTER(ROW(AE$10:AE$199),AE$10:AE$199&lt;&gt;AE$9:AE$198)))),AL121,)"),"")</f>
        <v/>
      </c>
      <c r="AP121" s="122"/>
      <c r="AQ121" s="33"/>
      <c r="AR121" s="143" t="str">
        <f t="shared" si="16"/>
        <v/>
      </c>
      <c r="AS121" s="38" t="str">
        <f>IFERROR(__xludf.DUMMYFUNCTION("""COMPUTED_VALUE"""),"")</f>
        <v/>
      </c>
      <c r="AT121" s="144">
        <v>46132.0</v>
      </c>
      <c r="AU121" s="167" t="str">
        <f t="shared" si="26"/>
        <v/>
      </c>
      <c r="AV121" s="168" t="str">
        <f t="shared" si="325"/>
        <v/>
      </c>
      <c r="AW121" s="169" t="str">
        <f t="shared" si="326"/>
        <v/>
      </c>
      <c r="AX121" s="172" t="str">
        <f t="shared" si="327"/>
        <v/>
      </c>
      <c r="AY121" s="171" t="str">
        <f t="array" ref="AY121">IFERROR(IF(AS121="ac"+ISNUMBER(SEARCH("'",AX121))+AW121="","", IF(ISNUMBER(SEARCH("lw",AX121)), AK121 + SUBSTITUTE(AX121,"lw+",""), MROUND(SWITCH(AS121,"sq",AW$7,"bn",AX$7,"dl",AY$7,"")*IF(AX121&gt;10, AX121/100, VLOOKUP(AX121, _rpe,SUBSTITUTE(AW121,"+","")+1,0)), IF( SWITCH(AS121,"sq",AW$7,"bn",AX$7,"dl", AY$7,"")&lt; IF(_uom="lbs", 175, 80), 1.25, IF(_uom="lbs",5,2.5))))), "")</f>
        <v/>
      </c>
      <c r="AZ121" s="148"/>
      <c r="BA121" s="33"/>
      <c r="BB121" s="171"/>
      <c r="BC121" s="124" t="str">
        <f>IFERROR(__xludf.DUMMYFUNCTION("IF(AY121=MAX(FILTER(AY$10:AY$199,LOOKUP(ROW(AS$10:AS$199),FILTER(ROW(AS$10:AS$199),AS$10:AS$199&lt;&gt;AS$9:AS$198))=LOOKUP(ROW(AS121),FILTER(ROW(AS$10:AS$199),AS$10:AS$199&lt;&gt;AS$9:AS$198)))),AZ121,)"),"")</f>
        <v/>
      </c>
      <c r="BD121" s="122"/>
      <c r="BE121" s="33"/>
      <c r="BF121" s="143" t="str">
        <f t="shared" si="17"/>
        <v/>
      </c>
      <c r="BG121" s="38" t="str">
        <f>IFERROR(__xludf.DUMMYFUNCTION("""COMPUTED_VALUE"""),"")</f>
        <v/>
      </c>
      <c r="BH121" s="144">
        <v>46139.0</v>
      </c>
      <c r="BI121" s="167" t="str">
        <f t="shared" si="18"/>
        <v/>
      </c>
      <c r="BJ121" s="168" t="str">
        <f t="shared" si="328"/>
        <v/>
      </c>
      <c r="BK121" s="169" t="str">
        <f t="shared" si="329"/>
        <v/>
      </c>
      <c r="BL121" s="172" t="str">
        <f t="shared" si="330"/>
        <v/>
      </c>
      <c r="BM121" s="171" t="str">
        <f t="array" ref="BM121">IFERROR(IF(BG121="ac"+ISNUMBER(SEARCH("'",BL121))+BK121="","", IF(ISNUMBER(SEARCH("lw",BL121)), AY121 + SUBSTITUTE(BL121,"lw+",""), MROUND(SWITCH(BG121,"sq",BK$7,"bn",BL$7,"dl",BM$7,"")*IF(BL121&gt;10, BL121/100, VLOOKUP(BL121, _rpe,SUBSTITUTE(BK121,"+","")+1,0)), IF( SWITCH(BG121,"sq",BK$7,"bn",BL$7,"dl", BM$7,"")&lt; IF(_uom="lbs", 175, 80), 1.25, IF(_uom="lbs",5,2.5))))), "")</f>
        <v/>
      </c>
      <c r="BN121" s="148"/>
      <c r="BO121" s="33"/>
      <c r="BP121" s="171"/>
      <c r="BQ121" s="124" t="str">
        <f>IFERROR(__xludf.DUMMYFUNCTION("IF(BM121=MAX(FILTER(BM$10:BM$199,LOOKUP(ROW(BG$10:BG$199),FILTER(ROW(BG$10:BG$199),BG$10:BG$199&lt;&gt;BG$9:BG$198))=LOOKUP(ROW(BG121),FILTER(ROW(BG$10:BG$199),BG$10:BG$199&lt;&gt;BG$9:BG$198)))),BN121,)"),"")</f>
        <v/>
      </c>
      <c r="BR121" s="122"/>
      <c r="BS121" s="33"/>
      <c r="BT121" s="143" t="str">
        <f t="shared" si="19"/>
        <v/>
      </c>
      <c r="BU121" s="38" t="str">
        <f>IFERROR(__xludf.DUMMYFUNCTION("""COMPUTED_VALUE"""),"")</f>
        <v/>
      </c>
      <c r="BV121" s="144">
        <v>46146.0</v>
      </c>
      <c r="BW121" s="167" t="str">
        <f t="shared" si="20"/>
        <v/>
      </c>
      <c r="BX121" s="168" t="str">
        <f t="shared" si="331"/>
        <v/>
      </c>
      <c r="BY121" s="169" t="str">
        <f t="shared" si="332"/>
        <v/>
      </c>
      <c r="BZ121" s="172" t="str">
        <f t="shared" si="333"/>
        <v/>
      </c>
      <c r="CA121" s="171" t="str">
        <f t="array" ref="CA121">IFERROR(IF(BU121="ac"+ISNUMBER(SEARCH("'",BZ121))+BY121="","", IF(ISNUMBER(SEARCH("lw",BZ121)), BM121 + SUBSTITUTE(BZ121,"lw+",""), MROUND(SWITCH(BU121,"sq",BY$7,"bn",BZ$7,"dl",CA$7,"")*IF(BZ121&gt;10, BZ121/100, VLOOKUP(BZ121, _rpe,SUBSTITUTE(BY121,"+","")+1,0)), IF( SWITCH(BU121,"sq",BY$7,"bn",BZ$7,"dl", CA$7,"")&lt; IF(_uom="lbs", 175, 80), 1.25, IF(_uom="lbs",5,2.5))))), "")</f>
        <v/>
      </c>
      <c r="CB121" s="148"/>
      <c r="CC121" s="33"/>
      <c r="CD121" s="171"/>
      <c r="CE121" s="124" t="str">
        <f>IFERROR(__xludf.DUMMYFUNCTION("IF(CA121=MAX(FILTER(CA$10:CA$199,LOOKUP(ROW(BU$10:BU$199),FILTER(ROW(BU$10:BU$199),BU$10:BU$199&lt;&gt;BU$9:BU$198))=LOOKUP(ROW(BU121),FILTER(ROW(BU$10:BU$199),BU$10:BU$199&lt;&gt;BU$9:BU$198)))),CB121,)"),"")</f>
        <v/>
      </c>
      <c r="CF121" s="122"/>
      <c r="CG121" s="33"/>
      <c r="CH121" s="143" t="str">
        <f t="shared" si="21"/>
        <v/>
      </c>
      <c r="CI121" s="38" t="str">
        <f>IFERROR(__xludf.DUMMYFUNCTION("""COMPUTED_VALUE"""),"")</f>
        <v/>
      </c>
      <c r="CJ121" s="144">
        <v>46153.0</v>
      </c>
      <c r="CK121" s="167" t="str">
        <f t="shared" si="27"/>
        <v/>
      </c>
      <c r="CL121" s="168" t="str">
        <f t="shared" si="334"/>
        <v/>
      </c>
      <c r="CM121" s="169" t="str">
        <f t="shared" si="335"/>
        <v/>
      </c>
      <c r="CN121" s="172" t="str">
        <f t="shared" si="336"/>
        <v/>
      </c>
      <c r="CO121" s="171" t="str">
        <f t="array" ref="CO121">IFERROR(IF(CI121="ac"+ISNUMBER(SEARCH("'",CN121))+CM121="","", IF(ISNUMBER(SEARCH("lw",CN121)), CA121 + SUBSTITUTE(CN121,"lw+",""), MROUND(SWITCH(CI121,"sq",CM$7,"bn",CN$7,"dl",CO$7,"")*IF(CN121&gt;10, CN121/100, VLOOKUP(CN121, _rpe,SUBSTITUTE(CM121,"+","")+1,0)), IF( SWITCH(CI121,"sq",CM$7,"bn",CN$7,"dl", CO$7,"")&lt; IF(_uom="lbs", 175, 80), 1.25, IF(_uom="lbs",5,2.5))))), "")</f>
        <v/>
      </c>
      <c r="CP121" s="148"/>
      <c r="CQ121" s="33"/>
      <c r="CR121" s="171"/>
      <c r="CS121" s="124" t="str">
        <f>IFERROR(__xludf.DUMMYFUNCTION("IF(CO121=MAX(FILTER(CO$10:CO$199,LOOKUP(ROW(CI$10:CI$199),FILTER(ROW(CI$10:CI$199),CI$10:CI$199&lt;&gt;CI$9:CI$198))=LOOKUP(ROW(CI121),FILTER(ROW(CI$10:CI$199),CI$10:CI$199&lt;&gt;CI$9:CI$198)))),CP121,)"),"")</f>
        <v/>
      </c>
      <c r="CT121" s="122"/>
      <c r="CU121" s="33"/>
      <c r="CV121" s="143" t="str">
        <f t="shared" si="22"/>
        <v/>
      </c>
      <c r="CW121" s="38" t="str">
        <f>IFERROR(__xludf.DUMMYFUNCTION("""COMPUTED_VALUE"""),"")</f>
        <v/>
      </c>
      <c r="CX121" s="144">
        <v>46160.0</v>
      </c>
      <c r="CY121" s="167" t="str">
        <f t="shared" si="28"/>
        <v/>
      </c>
      <c r="CZ121" s="168" t="str">
        <f t="shared" si="337"/>
        <v/>
      </c>
      <c r="DA121" s="169" t="str">
        <f t="shared" si="338"/>
        <v/>
      </c>
      <c r="DB121" s="172" t="str">
        <f t="shared" si="339"/>
        <v/>
      </c>
      <c r="DC121" s="171" t="str">
        <f t="array" ref="DC121">IFERROR(IF(CW121="ac"+ISNUMBER(SEARCH("'",DB121))+DA121="","", IF(ISNUMBER(SEARCH("lw",DB121)), CO121 + SUBSTITUTE(DB121,"lw+",""), MROUND(SWITCH(CW121,"sq",DA$7,"bn",DB$7,"dl",DC$7,"")*IF(DB121&gt;10, DB121/100, VLOOKUP(DB121, _rpe,SUBSTITUTE(DA121,"+","")+1,0)), IF( SWITCH(CW121,"sq",DA$7,"bn",DB$7,"dl", DC$7,"")&lt; IF(_uom="lbs", 175, 80), 1.25, IF(_uom="lbs",5,2.5))))), "")</f>
        <v/>
      </c>
      <c r="DD121" s="148"/>
      <c r="DE121" s="33"/>
      <c r="DF121" s="171"/>
      <c r="DG121" s="124" t="str">
        <f>IFERROR(__xludf.DUMMYFUNCTION("IF(DC121=MAX(FILTER(DC$10:DC$199,LOOKUP(ROW(CW$10:CW$199),FILTER(ROW(CW$10:CW$199),CW$10:CW$199&lt;&gt;CW$9:CW$198))=LOOKUP(ROW(CW121),FILTER(ROW(CW$10:CW$199),CW$10:CW$199&lt;&gt;CW$9:CW$198)))),DD121,)"),"")</f>
        <v/>
      </c>
      <c r="DH121" s="122"/>
      <c r="DI121" s="33"/>
      <c r="DJ121" s="143" t="str">
        <f t="shared" si="23"/>
        <v/>
      </c>
      <c r="DK121" s="38" t="str">
        <f>IFERROR(__xludf.DUMMYFUNCTION("""COMPUTED_VALUE"""),"")</f>
        <v/>
      </c>
      <c r="DL121" s="144">
        <v>46167.0</v>
      </c>
      <c r="DM121" s="167" t="str">
        <f t="shared" ref="DM121:DN121" si="373">IF(ISBLANK(CY121),"",CY121)</f>
        <v/>
      </c>
      <c r="DN121" s="168" t="str">
        <f t="shared" si="373"/>
        <v/>
      </c>
      <c r="DO121" s="169" t="str">
        <f t="shared" si="341"/>
        <v/>
      </c>
      <c r="DP121" s="172" t="str">
        <f t="shared" si="342"/>
        <v/>
      </c>
      <c r="DQ121" s="171" t="str">
        <f t="array" ref="DQ121">IFERROR(IF(DK121="ac"+ISNUMBER(SEARCH("'",DP121))+DO121="","", IF(ISNUMBER(SEARCH("lw",DP121)), DC121 + SUBSTITUTE(DP121,"lw+",""), MROUND(SWITCH(DK121,"sq",DO$7,"bn",DP$7,"dl",DQ$7,"")*IF(DP121&gt;10, DP121/100, VLOOKUP(DP121, _rpe,SUBSTITUTE(DO121,"+","")+1,0)), IF( SWITCH(DK121,"sq",DO$7,"bn",DP$7,"dl", DQ$7,"")&lt; IF(_uom="lbs", 175, 80), 1.25, IF(_uom="lbs",5,2.5))))), "")</f>
        <v/>
      </c>
      <c r="DR121" s="148"/>
      <c r="DS121" s="33"/>
      <c r="DT121" s="171"/>
      <c r="DU121" s="124" t="str">
        <f>IFERROR(__xludf.DUMMYFUNCTION("IF(DQ121=MAX(FILTER(DQ$10:DQ$199,LOOKUP(ROW(DK$10:DK$199),FILTER(ROW(DK$10:DK$199),DK$10:DK$199&lt;&gt;DK$9:DK$198))=LOOKUP(ROW(DK121),FILTER(ROW(DK$10:DK$199),DK$10:DK$199&lt;&gt;DK$9:DK$198)))),DR121,)"),"")</f>
        <v/>
      </c>
      <c r="DV121" s="122"/>
      <c r="DW121" s="33"/>
      <c r="DX121" s="143"/>
      <c r="DY121" s="38"/>
      <c r="DZ121" s="144"/>
      <c r="EA121" s="150"/>
      <c r="EB121" s="174"/>
      <c r="EC121" s="175"/>
      <c r="ED121" s="176"/>
      <c r="EE121" s="155"/>
      <c r="EF121" s="148"/>
      <c r="EG121" s="33"/>
      <c r="EH121" s="155"/>
      <c r="EI121" s="148"/>
      <c r="EJ121" s="33"/>
      <c r="EK121" s="33"/>
      <c r="EL121" s="143"/>
      <c r="EM121" s="38"/>
      <c r="EN121" s="144"/>
      <c r="EO121" s="150"/>
      <c r="EP121" s="174"/>
      <c r="EQ121" s="175"/>
      <c r="ER121" s="176"/>
      <c r="ES121" s="155"/>
      <c r="ET121" s="148"/>
      <c r="EU121" s="33"/>
      <c r="EV121" s="155"/>
      <c r="EW121" s="148"/>
      <c r="EX121" s="33"/>
      <c r="EY121" s="33"/>
      <c r="EZ121" s="143"/>
      <c r="FA121" s="38"/>
      <c r="FB121" s="144"/>
      <c r="FC121" s="150"/>
      <c r="FD121" s="174"/>
      <c r="FE121" s="175"/>
      <c r="FF121" s="176"/>
      <c r="FG121" s="155"/>
      <c r="FH121" s="148"/>
      <c r="FI121" s="33"/>
      <c r="FJ121" s="155"/>
      <c r="FK121" s="148"/>
      <c r="FL121" s="33"/>
      <c r="FM121" s="33"/>
      <c r="FN121" s="143"/>
      <c r="FO121" s="38"/>
      <c r="FP121" s="144"/>
      <c r="FQ121" s="150"/>
      <c r="FR121" s="174"/>
      <c r="FS121" s="175"/>
      <c r="FT121" s="176"/>
      <c r="FU121" s="155"/>
      <c r="FV121" s="148"/>
      <c r="FW121" s="33"/>
      <c r="FX121" s="155"/>
      <c r="FY121" s="148"/>
      <c r="FZ121" s="33"/>
      <c r="GA121" s="33"/>
      <c r="GB121" s="143"/>
      <c r="GC121" s="38"/>
      <c r="GD121" s="144"/>
      <c r="GE121" s="150"/>
      <c r="GF121" s="174"/>
      <c r="GG121" s="175"/>
      <c r="GH121" s="176"/>
      <c r="GI121" s="155"/>
      <c r="GJ121" s="148"/>
      <c r="GK121" s="33"/>
      <c r="GL121" s="155"/>
      <c r="GM121" s="148"/>
      <c r="GN121" s="33"/>
      <c r="GO121" s="33"/>
      <c r="GP121" s="143"/>
      <c r="GQ121" s="38"/>
      <c r="GR121" s="144"/>
      <c r="GS121" s="150"/>
      <c r="GT121" s="174"/>
      <c r="GU121" s="175"/>
      <c r="GV121" s="176"/>
      <c r="GW121" s="155"/>
      <c r="GX121" s="148"/>
      <c r="GY121" s="33"/>
      <c r="GZ121" s="155"/>
      <c r="HA121" s="148"/>
      <c r="HB121" s="33"/>
      <c r="HC121" s="33"/>
      <c r="HD121" s="143"/>
      <c r="HE121" s="38"/>
      <c r="HF121" s="144"/>
      <c r="HG121" s="150"/>
      <c r="HH121" s="174"/>
      <c r="HI121" s="175"/>
      <c r="HJ121" s="176"/>
      <c r="HK121" s="155"/>
      <c r="HL121" s="148"/>
      <c r="HM121" s="33"/>
      <c r="HN121" s="155"/>
      <c r="HO121" s="148"/>
      <c r="HP121" s="33"/>
      <c r="HQ121" s="33"/>
      <c r="HR121" s="143"/>
      <c r="HS121" s="38"/>
      <c r="HT121" s="144"/>
      <c r="HU121" s="150"/>
      <c r="HV121" s="174"/>
      <c r="HW121" s="175"/>
      <c r="HX121" s="176"/>
      <c r="HY121" s="155"/>
      <c r="HZ121" s="148"/>
      <c r="IA121" s="33"/>
      <c r="IB121" s="155"/>
      <c r="IC121" s="148"/>
      <c r="ID121" s="33"/>
      <c r="IE121" s="33"/>
      <c r="IF121" s="143"/>
      <c r="IG121" s="38"/>
      <c r="IH121" s="144"/>
      <c r="II121" s="150"/>
      <c r="IJ121" s="174"/>
      <c r="IK121" s="175"/>
      <c r="IL121" s="176"/>
      <c r="IM121" s="155"/>
      <c r="IN121" s="148"/>
      <c r="IO121" s="33"/>
      <c r="IP121" s="155"/>
      <c r="IQ121" s="148"/>
      <c r="IR121" s="33"/>
      <c r="IS121" s="33"/>
      <c r="IT121" s="143"/>
      <c r="IU121" s="38"/>
      <c r="IV121" s="144"/>
      <c r="IW121" s="143"/>
      <c r="IX121" s="38"/>
      <c r="IY121" s="144" t="e">
        <v>#REF!</v>
      </c>
    </row>
    <row r="122">
      <c r="A122" s="33"/>
      <c r="B122" s="181"/>
      <c r="C122" s="38" t="str">
        <f>IFERROR(__xludf.DUMMYFUNCTION("""COMPUTED_VALUE"""),"")</f>
        <v/>
      </c>
      <c r="D122" s="144">
        <v>46111.0</v>
      </c>
      <c r="E122" s="182"/>
      <c r="F122" s="168"/>
      <c r="G122" s="169"/>
      <c r="H122" s="170"/>
      <c r="I122" s="171" t="str">
        <f t="array" ref="I122">IFERROR(IF(C122="ac"+ISNUMBER(SEARCH("'",H122))+G122="","", MROUND(SWITCH(C122,"sq",'Personal Info'!$O$15,"bn",'Personal Info'!$S$15,"dl",'Personal Info'!$W$15,"")*IF(H122&gt;10, H122/100, VLOOKUP(H122, _rpe,SUBSTITUTE(G122,"+","")+1,0)), IF( SWITCH(C122:C210,"sq",'Personal Info'!$O$15,"bn",'Personal Info'!$S$15,"dl", 'Personal Info'!$W$15,"")&lt; IF(_uom="lbs", 175, 80), 1.25, IF(_uom="lbs",5,2.5)))),"")</f>
        <v/>
      </c>
      <c r="J122" s="148"/>
      <c r="K122" s="33"/>
      <c r="L122" s="171"/>
      <c r="M122" s="124" t="str">
        <f>IFERROR(__xludf.DUMMYFUNCTION("IF(I122=MAX(FILTER(I$10:I$199,LOOKUP(ROW(C$10:C$199),FILTER(ROW(C$10:C$199),C$10:C$199&lt;&gt;C$9:C$198))=LOOKUP(ROW(C122),FILTER(ROW(C$10:C$199),C$10:C$199&lt;&gt;C$9:C$198)))),J122,)"),"")</f>
        <v/>
      </c>
      <c r="N122" s="122"/>
      <c r="O122" s="33"/>
      <c r="P122" s="143" t="str">
        <f t="shared" si="12"/>
        <v/>
      </c>
      <c r="Q122" s="38" t="str">
        <f>IFERROR(__xludf.DUMMYFUNCTION("""COMPUTED_VALUE"""),"")</f>
        <v/>
      </c>
      <c r="R122" s="144">
        <v>46118.0</v>
      </c>
      <c r="S122" s="167" t="str">
        <f t="shared" si="13"/>
        <v/>
      </c>
      <c r="T122" s="168" t="str">
        <f t="shared" si="319"/>
        <v/>
      </c>
      <c r="U122" s="169" t="str">
        <f t="shared" si="320"/>
        <v/>
      </c>
      <c r="V122" s="172" t="str">
        <f t="shared" si="321"/>
        <v/>
      </c>
      <c r="W122" s="171" t="str">
        <f t="array" ref="W122">IFERROR(IF(Q122="ac"+ISNUMBER(SEARCH("'",V122))+U122="","", IF(ISNUMBER(SEARCH("lw",V122)), I122 + SUBSTITUTE(V122,"lw+",""), MROUND(SWITCH(Q122,"sq",U$7,"bn",V$7,"dl",W$7,"")*IF(V122&gt;10, V122/100, VLOOKUP(V122, _rpe,SUBSTITUTE(U122,"+","")+1,0)), IF( SWITCH(Q122,"sq",U$7,"bn",V$7,"dl", W$7,"")&lt; IF(_uom="lbs", 175, 80), 1.25, IF(_uom="lbs",5,2.5))))), "")</f>
        <v/>
      </c>
      <c r="X122" s="148"/>
      <c r="Y122" s="33"/>
      <c r="Z122" s="171"/>
      <c r="AA122" s="124" t="str">
        <f>IFERROR(__xludf.DUMMYFUNCTION("IF(W122=MAX(FILTER(W$10:W$199,LOOKUP(ROW(Q$10:Q$199),FILTER(ROW(Q$10:Q$199),Q$10:Q$199&lt;&gt;Q$9:Q$198))=LOOKUP(ROW(Q122),FILTER(ROW(Q$10:Q$199),Q$10:Q$199&lt;&gt;Q$9:Q$198)))),X122,)"),"")</f>
        <v/>
      </c>
      <c r="AB122" s="122"/>
      <c r="AC122" s="33"/>
      <c r="AD122" s="143" t="str">
        <f t="shared" si="14"/>
        <v/>
      </c>
      <c r="AE122" s="38" t="str">
        <f>IFERROR(__xludf.DUMMYFUNCTION("""COMPUTED_VALUE"""),"")</f>
        <v/>
      </c>
      <c r="AF122" s="144">
        <v>46125.0</v>
      </c>
      <c r="AG122" s="167" t="str">
        <f t="shared" si="54"/>
        <v/>
      </c>
      <c r="AH122" s="168" t="str">
        <f t="shared" si="322"/>
        <v/>
      </c>
      <c r="AI122" s="169" t="str">
        <f t="shared" si="323"/>
        <v/>
      </c>
      <c r="AJ122" s="172" t="str">
        <f t="shared" si="324"/>
        <v/>
      </c>
      <c r="AK122" s="171" t="str">
        <f t="array" ref="AK122">IFERROR(IF(AE122="ac"+ISNUMBER(SEARCH("'",AJ122))+AI122="","", IF(ISNUMBER(SEARCH("lw",AJ122)), W122 + SUBSTITUTE(AJ122,"lw+",""), MROUND(SWITCH(AE122,"sq",AI$7,"bn",AJ$7,"dl",AK$7,"")*IF(AJ122&gt;10, AJ122/100, VLOOKUP(AJ122, _rpe,SUBSTITUTE(AI122,"+","")+1,0)), IF( SWITCH(AE122,"sq",AI$7,"bn",AJ$7,"dl", AK$7,"")&lt; IF(_uom="lbs", 175, 80), 1.25, IF(_uom="lbs",5,2.5))))), "")</f>
        <v/>
      </c>
      <c r="AL122" s="148"/>
      <c r="AM122" s="33"/>
      <c r="AN122" s="171"/>
      <c r="AO122" s="124" t="str">
        <f>IFERROR(__xludf.DUMMYFUNCTION("IF(AK122=MAX(FILTER(AK$10:AK$199,LOOKUP(ROW(AE$10:AE$199),FILTER(ROW(AE$10:AE$199),AE$10:AE$199&lt;&gt;AE$9:AE$198))=LOOKUP(ROW(AE122),FILTER(ROW(AE$10:AE$199),AE$10:AE$199&lt;&gt;AE$9:AE$198)))),AL122,)"),"")</f>
        <v/>
      </c>
      <c r="AP122" s="122"/>
      <c r="AQ122" s="33"/>
      <c r="AR122" s="143" t="str">
        <f t="shared" si="16"/>
        <v/>
      </c>
      <c r="AS122" s="38" t="str">
        <f>IFERROR(__xludf.DUMMYFUNCTION("""COMPUTED_VALUE"""),"")</f>
        <v/>
      </c>
      <c r="AT122" s="144">
        <v>46132.0</v>
      </c>
      <c r="AU122" s="167" t="str">
        <f t="shared" si="26"/>
        <v/>
      </c>
      <c r="AV122" s="168" t="str">
        <f t="shared" si="325"/>
        <v/>
      </c>
      <c r="AW122" s="169" t="str">
        <f t="shared" si="326"/>
        <v/>
      </c>
      <c r="AX122" s="172" t="str">
        <f t="shared" si="327"/>
        <v/>
      </c>
      <c r="AY122" s="171" t="str">
        <f t="array" ref="AY122">IFERROR(IF(AS122="ac"+ISNUMBER(SEARCH("'",AX122))+AW122="","", IF(ISNUMBER(SEARCH("lw",AX122)), AK122 + SUBSTITUTE(AX122,"lw+",""), MROUND(SWITCH(AS122,"sq",AW$7,"bn",AX$7,"dl",AY$7,"")*IF(AX122&gt;10, AX122/100, VLOOKUP(AX122, _rpe,SUBSTITUTE(AW122,"+","")+1,0)), IF( SWITCH(AS122,"sq",AW$7,"bn",AX$7,"dl", AY$7,"")&lt; IF(_uom="lbs", 175, 80), 1.25, IF(_uom="lbs",5,2.5))))), "")</f>
        <v/>
      </c>
      <c r="AZ122" s="148"/>
      <c r="BA122" s="33"/>
      <c r="BB122" s="171"/>
      <c r="BC122" s="124" t="str">
        <f>IFERROR(__xludf.DUMMYFUNCTION("IF(AY122=MAX(FILTER(AY$10:AY$199,LOOKUP(ROW(AS$10:AS$199),FILTER(ROW(AS$10:AS$199),AS$10:AS$199&lt;&gt;AS$9:AS$198))=LOOKUP(ROW(AS122),FILTER(ROW(AS$10:AS$199),AS$10:AS$199&lt;&gt;AS$9:AS$198)))),AZ122,)"),"")</f>
        <v/>
      </c>
      <c r="BD122" s="122"/>
      <c r="BE122" s="33"/>
      <c r="BF122" s="143" t="str">
        <f t="shared" si="17"/>
        <v/>
      </c>
      <c r="BG122" s="38" t="str">
        <f>IFERROR(__xludf.DUMMYFUNCTION("""COMPUTED_VALUE"""),"")</f>
        <v/>
      </c>
      <c r="BH122" s="144">
        <v>46139.0</v>
      </c>
      <c r="BI122" s="167" t="str">
        <f t="shared" si="18"/>
        <v/>
      </c>
      <c r="BJ122" s="168" t="str">
        <f t="shared" si="328"/>
        <v/>
      </c>
      <c r="BK122" s="169" t="str">
        <f t="shared" si="329"/>
        <v/>
      </c>
      <c r="BL122" s="172" t="str">
        <f t="shared" si="330"/>
        <v/>
      </c>
      <c r="BM122" s="171" t="str">
        <f t="array" ref="BM122">IFERROR(IF(BG122="ac"+ISNUMBER(SEARCH("'",BL122))+BK122="","", IF(ISNUMBER(SEARCH("lw",BL122)), AY122 + SUBSTITUTE(BL122,"lw+",""), MROUND(SWITCH(BG122,"sq",BK$7,"bn",BL$7,"dl",BM$7,"")*IF(BL122&gt;10, BL122/100, VLOOKUP(BL122, _rpe,SUBSTITUTE(BK122,"+","")+1,0)), IF( SWITCH(BG122,"sq",BK$7,"bn",BL$7,"dl", BM$7,"")&lt; IF(_uom="lbs", 175, 80), 1.25, IF(_uom="lbs",5,2.5))))), "")</f>
        <v/>
      </c>
      <c r="BN122" s="148"/>
      <c r="BO122" s="33"/>
      <c r="BP122" s="171"/>
      <c r="BQ122" s="124" t="str">
        <f>IFERROR(__xludf.DUMMYFUNCTION("IF(BM122=MAX(FILTER(BM$10:BM$199,LOOKUP(ROW(BG$10:BG$199),FILTER(ROW(BG$10:BG$199),BG$10:BG$199&lt;&gt;BG$9:BG$198))=LOOKUP(ROW(BG122),FILTER(ROW(BG$10:BG$199),BG$10:BG$199&lt;&gt;BG$9:BG$198)))),BN122,)"),"")</f>
        <v/>
      </c>
      <c r="BR122" s="122"/>
      <c r="BS122" s="33"/>
      <c r="BT122" s="143" t="str">
        <f t="shared" si="19"/>
        <v/>
      </c>
      <c r="BU122" s="38" t="str">
        <f>IFERROR(__xludf.DUMMYFUNCTION("""COMPUTED_VALUE"""),"")</f>
        <v/>
      </c>
      <c r="BV122" s="144">
        <v>46146.0</v>
      </c>
      <c r="BW122" s="167" t="str">
        <f t="shared" si="20"/>
        <v/>
      </c>
      <c r="BX122" s="168" t="str">
        <f t="shared" si="331"/>
        <v/>
      </c>
      <c r="BY122" s="169" t="str">
        <f t="shared" si="332"/>
        <v/>
      </c>
      <c r="BZ122" s="172" t="str">
        <f t="shared" si="333"/>
        <v/>
      </c>
      <c r="CA122" s="171" t="str">
        <f t="array" ref="CA122">IFERROR(IF(BU122="ac"+ISNUMBER(SEARCH("'",BZ122))+BY122="","", IF(ISNUMBER(SEARCH("lw",BZ122)), BM122 + SUBSTITUTE(BZ122,"lw+",""), MROUND(SWITCH(BU122,"sq",BY$7,"bn",BZ$7,"dl",CA$7,"")*IF(BZ122&gt;10, BZ122/100, VLOOKUP(BZ122, _rpe,SUBSTITUTE(BY122,"+","")+1,0)), IF( SWITCH(BU122,"sq",BY$7,"bn",BZ$7,"dl", CA$7,"")&lt; IF(_uom="lbs", 175, 80), 1.25, IF(_uom="lbs",5,2.5))))), "")</f>
        <v/>
      </c>
      <c r="CB122" s="148"/>
      <c r="CC122" s="33"/>
      <c r="CD122" s="171"/>
      <c r="CE122" s="124" t="str">
        <f>IFERROR(__xludf.DUMMYFUNCTION("IF(CA122=MAX(FILTER(CA$10:CA$199,LOOKUP(ROW(BU$10:BU$199),FILTER(ROW(BU$10:BU$199),BU$10:BU$199&lt;&gt;BU$9:BU$198))=LOOKUP(ROW(BU122),FILTER(ROW(BU$10:BU$199),BU$10:BU$199&lt;&gt;BU$9:BU$198)))),CB122,)"),"")</f>
        <v/>
      </c>
      <c r="CF122" s="122"/>
      <c r="CG122" s="33"/>
      <c r="CH122" s="143" t="str">
        <f t="shared" si="21"/>
        <v/>
      </c>
      <c r="CI122" s="38" t="str">
        <f>IFERROR(__xludf.DUMMYFUNCTION("""COMPUTED_VALUE"""),"")</f>
        <v/>
      </c>
      <c r="CJ122" s="144">
        <v>46153.0</v>
      </c>
      <c r="CK122" s="167" t="str">
        <f t="shared" si="27"/>
        <v/>
      </c>
      <c r="CL122" s="168" t="str">
        <f t="shared" si="334"/>
        <v/>
      </c>
      <c r="CM122" s="169" t="str">
        <f t="shared" si="335"/>
        <v/>
      </c>
      <c r="CN122" s="172" t="str">
        <f t="shared" si="336"/>
        <v/>
      </c>
      <c r="CO122" s="171" t="str">
        <f t="array" ref="CO122">IFERROR(IF(CI122="ac"+ISNUMBER(SEARCH("'",CN122))+CM122="","", IF(ISNUMBER(SEARCH("lw",CN122)), CA122 + SUBSTITUTE(CN122,"lw+",""), MROUND(SWITCH(CI122,"sq",CM$7,"bn",CN$7,"dl",CO$7,"")*IF(CN122&gt;10, CN122/100, VLOOKUP(CN122, _rpe,SUBSTITUTE(CM122,"+","")+1,0)), IF( SWITCH(CI122,"sq",CM$7,"bn",CN$7,"dl", CO$7,"")&lt; IF(_uom="lbs", 175, 80), 1.25, IF(_uom="lbs",5,2.5))))), "")</f>
        <v/>
      </c>
      <c r="CP122" s="148"/>
      <c r="CQ122" s="33"/>
      <c r="CR122" s="171"/>
      <c r="CS122" s="124" t="str">
        <f>IFERROR(__xludf.DUMMYFUNCTION("IF(CO122=MAX(FILTER(CO$10:CO$199,LOOKUP(ROW(CI$10:CI$199),FILTER(ROW(CI$10:CI$199),CI$10:CI$199&lt;&gt;CI$9:CI$198))=LOOKUP(ROW(CI122),FILTER(ROW(CI$10:CI$199),CI$10:CI$199&lt;&gt;CI$9:CI$198)))),CP122,)"),"")</f>
        <v/>
      </c>
      <c r="CT122" s="122"/>
      <c r="CU122" s="33"/>
      <c r="CV122" s="143" t="str">
        <f t="shared" si="22"/>
        <v/>
      </c>
      <c r="CW122" s="38" t="str">
        <f>IFERROR(__xludf.DUMMYFUNCTION("""COMPUTED_VALUE"""),"")</f>
        <v/>
      </c>
      <c r="CX122" s="144">
        <v>46160.0</v>
      </c>
      <c r="CY122" s="167" t="str">
        <f t="shared" si="28"/>
        <v/>
      </c>
      <c r="CZ122" s="168" t="str">
        <f t="shared" si="337"/>
        <v/>
      </c>
      <c r="DA122" s="169" t="str">
        <f t="shared" si="338"/>
        <v/>
      </c>
      <c r="DB122" s="172" t="str">
        <f t="shared" si="339"/>
        <v/>
      </c>
      <c r="DC122" s="171" t="str">
        <f t="array" ref="DC122">IFERROR(IF(CW122="ac"+ISNUMBER(SEARCH("'",DB122))+DA122="","", IF(ISNUMBER(SEARCH("lw",DB122)), CO122 + SUBSTITUTE(DB122,"lw+",""), MROUND(SWITCH(CW122,"sq",DA$7,"bn",DB$7,"dl",DC$7,"")*IF(DB122&gt;10, DB122/100, VLOOKUP(DB122, _rpe,SUBSTITUTE(DA122,"+","")+1,0)), IF( SWITCH(CW122,"sq",DA$7,"bn",DB$7,"dl", DC$7,"")&lt; IF(_uom="lbs", 175, 80), 1.25, IF(_uom="lbs",5,2.5))))), "")</f>
        <v/>
      </c>
      <c r="DD122" s="148"/>
      <c r="DE122" s="33"/>
      <c r="DF122" s="171"/>
      <c r="DG122" s="124" t="str">
        <f>IFERROR(__xludf.DUMMYFUNCTION("IF(DC122=MAX(FILTER(DC$10:DC$199,LOOKUP(ROW(CW$10:CW$199),FILTER(ROW(CW$10:CW$199),CW$10:CW$199&lt;&gt;CW$9:CW$198))=LOOKUP(ROW(CW122),FILTER(ROW(CW$10:CW$199),CW$10:CW$199&lt;&gt;CW$9:CW$198)))),DD122,)"),"")</f>
        <v/>
      </c>
      <c r="DH122" s="122"/>
      <c r="DI122" s="33"/>
      <c r="DJ122" s="143" t="str">
        <f t="shared" si="23"/>
        <v/>
      </c>
      <c r="DK122" s="38" t="str">
        <f>IFERROR(__xludf.DUMMYFUNCTION("""COMPUTED_VALUE"""),"")</f>
        <v/>
      </c>
      <c r="DL122" s="144">
        <v>46167.0</v>
      </c>
      <c r="DM122" s="167" t="str">
        <f t="shared" ref="DM122:DN122" si="374">IF(ISBLANK(CY122),"",CY122)</f>
        <v/>
      </c>
      <c r="DN122" s="168" t="str">
        <f t="shared" si="374"/>
        <v/>
      </c>
      <c r="DO122" s="169" t="str">
        <f t="shared" si="341"/>
        <v/>
      </c>
      <c r="DP122" s="172" t="str">
        <f t="shared" si="342"/>
        <v/>
      </c>
      <c r="DQ122" s="171" t="str">
        <f t="array" ref="DQ122">IFERROR(IF(DK122="ac"+ISNUMBER(SEARCH("'",DP122))+DO122="","", IF(ISNUMBER(SEARCH("lw",DP122)), DC122 + SUBSTITUTE(DP122,"lw+",""), MROUND(SWITCH(DK122,"sq",DO$7,"bn",DP$7,"dl",DQ$7,"")*IF(DP122&gt;10, DP122/100, VLOOKUP(DP122, _rpe,SUBSTITUTE(DO122,"+","")+1,0)), IF( SWITCH(DK122,"sq",DO$7,"bn",DP$7,"dl", DQ$7,"")&lt; IF(_uom="lbs", 175, 80), 1.25, IF(_uom="lbs",5,2.5))))), "")</f>
        <v/>
      </c>
      <c r="DR122" s="148"/>
      <c r="DS122" s="33"/>
      <c r="DT122" s="171"/>
      <c r="DU122" s="124" t="str">
        <f>IFERROR(__xludf.DUMMYFUNCTION("IF(DQ122=MAX(FILTER(DQ$10:DQ$199,LOOKUP(ROW(DK$10:DK$199),FILTER(ROW(DK$10:DK$199),DK$10:DK$199&lt;&gt;DK$9:DK$198))=LOOKUP(ROW(DK122),FILTER(ROW(DK$10:DK$199),DK$10:DK$199&lt;&gt;DK$9:DK$198)))),DR122,)"),"")</f>
        <v/>
      </c>
      <c r="DV122" s="122"/>
      <c r="DW122" s="33"/>
      <c r="DX122" s="143"/>
      <c r="DY122" s="38"/>
      <c r="DZ122" s="144"/>
      <c r="EA122" s="150"/>
      <c r="EB122" s="174"/>
      <c r="EC122" s="175"/>
      <c r="ED122" s="176"/>
      <c r="EE122" s="155"/>
      <c r="EF122" s="148"/>
      <c r="EG122" s="33"/>
      <c r="EH122" s="155"/>
      <c r="EI122" s="148"/>
      <c r="EJ122" s="33"/>
      <c r="EK122" s="33"/>
      <c r="EL122" s="143"/>
      <c r="EM122" s="38"/>
      <c r="EN122" s="144"/>
      <c r="EO122" s="150"/>
      <c r="EP122" s="174"/>
      <c r="EQ122" s="175"/>
      <c r="ER122" s="176"/>
      <c r="ES122" s="155"/>
      <c r="ET122" s="148"/>
      <c r="EU122" s="33"/>
      <c r="EV122" s="155"/>
      <c r="EW122" s="148"/>
      <c r="EX122" s="33"/>
      <c r="EY122" s="33"/>
      <c r="EZ122" s="143"/>
      <c r="FA122" s="38"/>
      <c r="FB122" s="144"/>
      <c r="FC122" s="150"/>
      <c r="FD122" s="174"/>
      <c r="FE122" s="175"/>
      <c r="FF122" s="176"/>
      <c r="FG122" s="155"/>
      <c r="FH122" s="148"/>
      <c r="FI122" s="33"/>
      <c r="FJ122" s="155"/>
      <c r="FK122" s="148"/>
      <c r="FL122" s="33"/>
      <c r="FM122" s="33"/>
      <c r="FN122" s="143"/>
      <c r="FO122" s="38"/>
      <c r="FP122" s="144"/>
      <c r="FQ122" s="150"/>
      <c r="FR122" s="174"/>
      <c r="FS122" s="175"/>
      <c r="FT122" s="176"/>
      <c r="FU122" s="155"/>
      <c r="FV122" s="148"/>
      <c r="FW122" s="33"/>
      <c r="FX122" s="155"/>
      <c r="FY122" s="148"/>
      <c r="FZ122" s="33"/>
      <c r="GA122" s="33"/>
      <c r="GB122" s="143"/>
      <c r="GC122" s="38"/>
      <c r="GD122" s="144"/>
      <c r="GE122" s="150"/>
      <c r="GF122" s="174"/>
      <c r="GG122" s="175"/>
      <c r="GH122" s="176"/>
      <c r="GI122" s="155"/>
      <c r="GJ122" s="148"/>
      <c r="GK122" s="33"/>
      <c r="GL122" s="155"/>
      <c r="GM122" s="148"/>
      <c r="GN122" s="33"/>
      <c r="GO122" s="33"/>
      <c r="GP122" s="143"/>
      <c r="GQ122" s="38"/>
      <c r="GR122" s="144"/>
      <c r="GS122" s="150"/>
      <c r="GT122" s="174"/>
      <c r="GU122" s="175"/>
      <c r="GV122" s="176"/>
      <c r="GW122" s="155"/>
      <c r="GX122" s="148"/>
      <c r="GY122" s="33"/>
      <c r="GZ122" s="155"/>
      <c r="HA122" s="148"/>
      <c r="HB122" s="33"/>
      <c r="HC122" s="33"/>
      <c r="HD122" s="143"/>
      <c r="HE122" s="38"/>
      <c r="HF122" s="144"/>
      <c r="HG122" s="150"/>
      <c r="HH122" s="174"/>
      <c r="HI122" s="175"/>
      <c r="HJ122" s="176"/>
      <c r="HK122" s="155"/>
      <c r="HL122" s="148"/>
      <c r="HM122" s="33"/>
      <c r="HN122" s="155"/>
      <c r="HO122" s="148"/>
      <c r="HP122" s="33"/>
      <c r="HQ122" s="33"/>
      <c r="HR122" s="143"/>
      <c r="HS122" s="38"/>
      <c r="HT122" s="144"/>
      <c r="HU122" s="150"/>
      <c r="HV122" s="174"/>
      <c r="HW122" s="175"/>
      <c r="HX122" s="176"/>
      <c r="HY122" s="155"/>
      <c r="HZ122" s="148"/>
      <c r="IA122" s="33"/>
      <c r="IB122" s="155"/>
      <c r="IC122" s="148"/>
      <c r="ID122" s="33"/>
      <c r="IE122" s="33"/>
      <c r="IF122" s="143"/>
      <c r="IG122" s="38"/>
      <c r="IH122" s="144"/>
      <c r="II122" s="150"/>
      <c r="IJ122" s="174"/>
      <c r="IK122" s="175"/>
      <c r="IL122" s="176"/>
      <c r="IM122" s="155"/>
      <c r="IN122" s="148"/>
      <c r="IO122" s="33"/>
      <c r="IP122" s="155"/>
      <c r="IQ122" s="148"/>
      <c r="IR122" s="33"/>
      <c r="IS122" s="33"/>
      <c r="IT122" s="143"/>
      <c r="IU122" s="38"/>
      <c r="IV122" s="144"/>
      <c r="IW122" s="143"/>
      <c r="IX122" s="38"/>
      <c r="IY122" s="144" t="e">
        <v>#REF!</v>
      </c>
    </row>
    <row r="123">
      <c r="A123" s="33"/>
      <c r="B123" s="181"/>
      <c r="C123" s="38" t="str">
        <f>IFERROR(__xludf.DUMMYFUNCTION("""COMPUTED_VALUE"""),"")</f>
        <v/>
      </c>
      <c r="D123" s="144">
        <v>46111.0</v>
      </c>
      <c r="E123" s="182"/>
      <c r="F123" s="168"/>
      <c r="G123" s="169"/>
      <c r="H123" s="170"/>
      <c r="I123" s="171" t="str">
        <f t="array" ref="I123">IFERROR(IF(C123="ac"+ISNUMBER(SEARCH("'",H123))+G123="","", MROUND(SWITCH(C123,"sq",'Personal Info'!$O$15,"bn",'Personal Info'!$S$15,"dl",'Personal Info'!$W$15,"")*IF(H123&gt;10, H123/100, VLOOKUP(H123, _rpe,SUBSTITUTE(G123,"+","")+1,0)), IF( SWITCH(C123:C210,"sq",'Personal Info'!$O$15,"bn",'Personal Info'!$S$15,"dl", 'Personal Info'!$W$15,"")&lt; IF(_uom="lbs", 175, 80), 1.25, IF(_uom="lbs",5,2.5)))),"")</f>
        <v/>
      </c>
      <c r="J123" s="148"/>
      <c r="K123" s="33"/>
      <c r="L123" s="171"/>
      <c r="M123" s="124" t="str">
        <f>IFERROR(__xludf.DUMMYFUNCTION("IF(I123=MAX(FILTER(I$10:I$199,LOOKUP(ROW(C$10:C$199),FILTER(ROW(C$10:C$199),C$10:C$199&lt;&gt;C$9:C$198))=LOOKUP(ROW(C123),FILTER(ROW(C$10:C$199),C$10:C$199&lt;&gt;C$9:C$198)))),J123,)"),"")</f>
        <v/>
      </c>
      <c r="N123" s="122"/>
      <c r="O123" s="33"/>
      <c r="P123" s="143" t="str">
        <f t="shared" si="12"/>
        <v/>
      </c>
      <c r="Q123" s="38" t="str">
        <f>IFERROR(__xludf.DUMMYFUNCTION("""COMPUTED_VALUE"""),"")</f>
        <v/>
      </c>
      <c r="R123" s="144">
        <v>46118.0</v>
      </c>
      <c r="S123" s="167" t="str">
        <f t="shared" si="13"/>
        <v/>
      </c>
      <c r="T123" s="168" t="str">
        <f t="shared" si="319"/>
        <v/>
      </c>
      <c r="U123" s="169" t="str">
        <f t="shared" si="320"/>
        <v/>
      </c>
      <c r="V123" s="172" t="str">
        <f t="shared" si="321"/>
        <v/>
      </c>
      <c r="W123" s="171" t="str">
        <f t="array" ref="W123">IFERROR(IF(Q123="ac"+ISNUMBER(SEARCH("'",V123))+U123="","", IF(ISNUMBER(SEARCH("lw",V123)), I123 + SUBSTITUTE(V123,"lw+",""), MROUND(SWITCH(Q123,"sq",U$7,"bn",V$7,"dl",W$7,"")*IF(V123&gt;10, V123/100, VLOOKUP(V123, _rpe,SUBSTITUTE(U123,"+","")+1,0)), IF( SWITCH(Q123,"sq",U$7,"bn",V$7,"dl", W$7,"")&lt; IF(_uom="lbs", 175, 80), 1.25, IF(_uom="lbs",5,2.5))))), "")</f>
        <v/>
      </c>
      <c r="X123" s="148"/>
      <c r="Y123" s="33"/>
      <c r="Z123" s="171"/>
      <c r="AA123" s="124" t="str">
        <f>IFERROR(__xludf.DUMMYFUNCTION("IF(W123=MAX(FILTER(W$10:W$199,LOOKUP(ROW(Q$10:Q$199),FILTER(ROW(Q$10:Q$199),Q$10:Q$199&lt;&gt;Q$9:Q$198))=LOOKUP(ROW(Q123),FILTER(ROW(Q$10:Q$199),Q$10:Q$199&lt;&gt;Q$9:Q$198)))),X123,)"),"")</f>
        <v/>
      </c>
      <c r="AB123" s="122"/>
      <c r="AC123" s="33"/>
      <c r="AD123" s="143" t="str">
        <f t="shared" si="14"/>
        <v/>
      </c>
      <c r="AE123" s="38" t="str">
        <f>IFERROR(__xludf.DUMMYFUNCTION("""COMPUTED_VALUE"""),"")</f>
        <v/>
      </c>
      <c r="AF123" s="144">
        <v>46125.0</v>
      </c>
      <c r="AG123" s="167" t="str">
        <f t="shared" si="54"/>
        <v/>
      </c>
      <c r="AH123" s="168" t="str">
        <f t="shared" si="322"/>
        <v/>
      </c>
      <c r="AI123" s="169" t="str">
        <f t="shared" si="323"/>
        <v/>
      </c>
      <c r="AJ123" s="172" t="str">
        <f t="shared" si="324"/>
        <v/>
      </c>
      <c r="AK123" s="171" t="str">
        <f t="array" ref="AK123">IFERROR(IF(AE123="ac"+ISNUMBER(SEARCH("'",AJ123))+AI123="","", IF(ISNUMBER(SEARCH("lw",AJ123)), W123 + SUBSTITUTE(AJ123,"lw+",""), MROUND(SWITCH(AE123,"sq",AI$7,"bn",AJ$7,"dl",AK$7,"")*IF(AJ123&gt;10, AJ123/100, VLOOKUP(AJ123, _rpe,SUBSTITUTE(AI123,"+","")+1,0)), IF( SWITCH(AE123,"sq",AI$7,"bn",AJ$7,"dl", AK$7,"")&lt; IF(_uom="lbs", 175, 80), 1.25, IF(_uom="lbs",5,2.5))))), "")</f>
        <v/>
      </c>
      <c r="AL123" s="148"/>
      <c r="AM123" s="33"/>
      <c r="AN123" s="171"/>
      <c r="AO123" s="124" t="str">
        <f>IFERROR(__xludf.DUMMYFUNCTION("IF(AK123=MAX(FILTER(AK$10:AK$199,LOOKUP(ROW(AE$10:AE$199),FILTER(ROW(AE$10:AE$199),AE$10:AE$199&lt;&gt;AE$9:AE$198))=LOOKUP(ROW(AE123),FILTER(ROW(AE$10:AE$199),AE$10:AE$199&lt;&gt;AE$9:AE$198)))),AL123,)"),"")</f>
        <v/>
      </c>
      <c r="AP123" s="122"/>
      <c r="AQ123" s="33"/>
      <c r="AR123" s="143" t="str">
        <f t="shared" si="16"/>
        <v/>
      </c>
      <c r="AS123" s="38" t="str">
        <f>IFERROR(__xludf.DUMMYFUNCTION("""COMPUTED_VALUE"""),"")</f>
        <v/>
      </c>
      <c r="AT123" s="144">
        <v>46132.0</v>
      </c>
      <c r="AU123" s="167" t="str">
        <f t="shared" si="26"/>
        <v/>
      </c>
      <c r="AV123" s="168" t="str">
        <f t="shared" si="325"/>
        <v/>
      </c>
      <c r="AW123" s="169" t="str">
        <f t="shared" si="326"/>
        <v/>
      </c>
      <c r="AX123" s="172" t="str">
        <f t="shared" si="327"/>
        <v/>
      </c>
      <c r="AY123" s="171" t="str">
        <f t="array" ref="AY123">IFERROR(IF(AS123="ac"+ISNUMBER(SEARCH("'",AX123))+AW123="","", IF(ISNUMBER(SEARCH("lw",AX123)), AK123 + SUBSTITUTE(AX123,"lw+",""), MROUND(SWITCH(AS123,"sq",AW$7,"bn",AX$7,"dl",AY$7,"")*IF(AX123&gt;10, AX123/100, VLOOKUP(AX123, _rpe,SUBSTITUTE(AW123,"+","")+1,0)), IF( SWITCH(AS123,"sq",AW$7,"bn",AX$7,"dl", AY$7,"")&lt; IF(_uom="lbs", 175, 80), 1.25, IF(_uom="lbs",5,2.5))))), "")</f>
        <v/>
      </c>
      <c r="AZ123" s="148"/>
      <c r="BA123" s="33"/>
      <c r="BB123" s="171"/>
      <c r="BC123" s="124" t="str">
        <f>IFERROR(__xludf.DUMMYFUNCTION("IF(AY123=MAX(FILTER(AY$10:AY$199,LOOKUP(ROW(AS$10:AS$199),FILTER(ROW(AS$10:AS$199),AS$10:AS$199&lt;&gt;AS$9:AS$198))=LOOKUP(ROW(AS123),FILTER(ROW(AS$10:AS$199),AS$10:AS$199&lt;&gt;AS$9:AS$198)))),AZ123,)"),"")</f>
        <v/>
      </c>
      <c r="BD123" s="122"/>
      <c r="BE123" s="33"/>
      <c r="BF123" s="143" t="str">
        <f t="shared" si="17"/>
        <v/>
      </c>
      <c r="BG123" s="38" t="str">
        <f>IFERROR(__xludf.DUMMYFUNCTION("""COMPUTED_VALUE"""),"")</f>
        <v/>
      </c>
      <c r="BH123" s="144">
        <v>46139.0</v>
      </c>
      <c r="BI123" s="167" t="str">
        <f t="shared" si="18"/>
        <v/>
      </c>
      <c r="BJ123" s="168" t="str">
        <f t="shared" si="328"/>
        <v/>
      </c>
      <c r="BK123" s="169" t="str">
        <f t="shared" si="329"/>
        <v/>
      </c>
      <c r="BL123" s="172" t="str">
        <f t="shared" si="330"/>
        <v/>
      </c>
      <c r="BM123" s="171" t="str">
        <f t="array" ref="BM123">IFERROR(IF(BG123="ac"+ISNUMBER(SEARCH("'",BL123))+BK123="","", IF(ISNUMBER(SEARCH("lw",BL123)), AY123 + SUBSTITUTE(BL123,"lw+",""), MROUND(SWITCH(BG123,"sq",BK$7,"bn",BL$7,"dl",BM$7,"")*IF(BL123&gt;10, BL123/100, VLOOKUP(BL123, _rpe,SUBSTITUTE(BK123,"+","")+1,0)), IF( SWITCH(BG123,"sq",BK$7,"bn",BL$7,"dl", BM$7,"")&lt; IF(_uom="lbs", 175, 80), 1.25, IF(_uom="lbs",5,2.5))))), "")</f>
        <v/>
      </c>
      <c r="BN123" s="148"/>
      <c r="BO123" s="33"/>
      <c r="BP123" s="171"/>
      <c r="BQ123" s="124" t="str">
        <f>IFERROR(__xludf.DUMMYFUNCTION("IF(BM123=MAX(FILTER(BM$10:BM$199,LOOKUP(ROW(BG$10:BG$199),FILTER(ROW(BG$10:BG$199),BG$10:BG$199&lt;&gt;BG$9:BG$198))=LOOKUP(ROW(BG123),FILTER(ROW(BG$10:BG$199),BG$10:BG$199&lt;&gt;BG$9:BG$198)))),BN123,)"),"")</f>
        <v/>
      </c>
      <c r="BR123" s="122"/>
      <c r="BS123" s="33"/>
      <c r="BT123" s="143" t="str">
        <f t="shared" si="19"/>
        <v/>
      </c>
      <c r="BU123" s="38" t="str">
        <f>IFERROR(__xludf.DUMMYFUNCTION("""COMPUTED_VALUE"""),"")</f>
        <v/>
      </c>
      <c r="BV123" s="144">
        <v>46146.0</v>
      </c>
      <c r="BW123" s="167" t="str">
        <f t="shared" si="20"/>
        <v/>
      </c>
      <c r="BX123" s="168" t="str">
        <f t="shared" si="331"/>
        <v/>
      </c>
      <c r="BY123" s="169" t="str">
        <f t="shared" si="332"/>
        <v/>
      </c>
      <c r="BZ123" s="172" t="str">
        <f t="shared" si="333"/>
        <v/>
      </c>
      <c r="CA123" s="171" t="str">
        <f t="array" ref="CA123">IFERROR(IF(BU123="ac"+ISNUMBER(SEARCH("'",BZ123))+BY123="","", IF(ISNUMBER(SEARCH("lw",BZ123)), BM123 + SUBSTITUTE(BZ123,"lw+",""), MROUND(SWITCH(BU123,"sq",BY$7,"bn",BZ$7,"dl",CA$7,"")*IF(BZ123&gt;10, BZ123/100, VLOOKUP(BZ123, _rpe,SUBSTITUTE(BY123,"+","")+1,0)), IF( SWITCH(BU123,"sq",BY$7,"bn",BZ$7,"dl", CA$7,"")&lt; IF(_uom="lbs", 175, 80), 1.25, IF(_uom="lbs",5,2.5))))), "")</f>
        <v/>
      </c>
      <c r="CB123" s="148"/>
      <c r="CC123" s="33"/>
      <c r="CD123" s="171"/>
      <c r="CE123" s="124" t="str">
        <f>IFERROR(__xludf.DUMMYFUNCTION("IF(CA123=MAX(FILTER(CA$10:CA$199,LOOKUP(ROW(BU$10:BU$199),FILTER(ROW(BU$10:BU$199),BU$10:BU$199&lt;&gt;BU$9:BU$198))=LOOKUP(ROW(BU123),FILTER(ROW(BU$10:BU$199),BU$10:BU$199&lt;&gt;BU$9:BU$198)))),CB123,)"),"")</f>
        <v/>
      </c>
      <c r="CF123" s="122"/>
      <c r="CG123" s="33"/>
      <c r="CH123" s="143" t="str">
        <f t="shared" si="21"/>
        <v/>
      </c>
      <c r="CI123" s="38" t="str">
        <f>IFERROR(__xludf.DUMMYFUNCTION("""COMPUTED_VALUE"""),"")</f>
        <v/>
      </c>
      <c r="CJ123" s="144">
        <v>46153.0</v>
      </c>
      <c r="CK123" s="167" t="str">
        <f t="shared" si="27"/>
        <v/>
      </c>
      <c r="CL123" s="168" t="str">
        <f t="shared" si="334"/>
        <v/>
      </c>
      <c r="CM123" s="169" t="str">
        <f t="shared" si="335"/>
        <v/>
      </c>
      <c r="CN123" s="172" t="str">
        <f t="shared" si="336"/>
        <v/>
      </c>
      <c r="CO123" s="171" t="str">
        <f t="array" ref="CO123">IFERROR(IF(CI123="ac"+ISNUMBER(SEARCH("'",CN123))+CM123="","", IF(ISNUMBER(SEARCH("lw",CN123)), CA123 + SUBSTITUTE(CN123,"lw+",""), MROUND(SWITCH(CI123,"sq",CM$7,"bn",CN$7,"dl",CO$7,"")*IF(CN123&gt;10, CN123/100, VLOOKUP(CN123, _rpe,SUBSTITUTE(CM123,"+","")+1,0)), IF( SWITCH(CI123,"sq",CM$7,"bn",CN$7,"dl", CO$7,"")&lt; IF(_uom="lbs", 175, 80), 1.25, IF(_uom="lbs",5,2.5))))), "")</f>
        <v/>
      </c>
      <c r="CP123" s="148"/>
      <c r="CQ123" s="33"/>
      <c r="CR123" s="171"/>
      <c r="CS123" s="124" t="str">
        <f>IFERROR(__xludf.DUMMYFUNCTION("IF(CO123=MAX(FILTER(CO$10:CO$199,LOOKUP(ROW(CI$10:CI$199),FILTER(ROW(CI$10:CI$199),CI$10:CI$199&lt;&gt;CI$9:CI$198))=LOOKUP(ROW(CI123),FILTER(ROW(CI$10:CI$199),CI$10:CI$199&lt;&gt;CI$9:CI$198)))),CP123,)"),"")</f>
        <v/>
      </c>
      <c r="CT123" s="122"/>
      <c r="CU123" s="33"/>
      <c r="CV123" s="143" t="str">
        <f t="shared" si="22"/>
        <v/>
      </c>
      <c r="CW123" s="38" t="str">
        <f>IFERROR(__xludf.DUMMYFUNCTION("""COMPUTED_VALUE"""),"")</f>
        <v/>
      </c>
      <c r="CX123" s="144">
        <v>46160.0</v>
      </c>
      <c r="CY123" s="167" t="str">
        <f t="shared" si="28"/>
        <v/>
      </c>
      <c r="CZ123" s="168" t="str">
        <f t="shared" si="337"/>
        <v/>
      </c>
      <c r="DA123" s="169" t="str">
        <f t="shared" si="338"/>
        <v/>
      </c>
      <c r="DB123" s="172" t="str">
        <f t="shared" si="339"/>
        <v/>
      </c>
      <c r="DC123" s="171" t="str">
        <f t="array" ref="DC123">IFERROR(IF(CW123="ac"+ISNUMBER(SEARCH("'",DB123))+DA123="","", IF(ISNUMBER(SEARCH("lw",DB123)), CO123 + SUBSTITUTE(DB123,"lw+",""), MROUND(SWITCH(CW123,"sq",DA$7,"bn",DB$7,"dl",DC$7,"")*IF(DB123&gt;10, DB123/100, VLOOKUP(DB123, _rpe,SUBSTITUTE(DA123,"+","")+1,0)), IF( SWITCH(CW123,"sq",DA$7,"bn",DB$7,"dl", DC$7,"")&lt; IF(_uom="lbs", 175, 80), 1.25, IF(_uom="lbs",5,2.5))))), "")</f>
        <v/>
      </c>
      <c r="DD123" s="148"/>
      <c r="DE123" s="33"/>
      <c r="DF123" s="171"/>
      <c r="DG123" s="124" t="str">
        <f>IFERROR(__xludf.DUMMYFUNCTION("IF(DC123=MAX(FILTER(DC$10:DC$199,LOOKUP(ROW(CW$10:CW$199),FILTER(ROW(CW$10:CW$199),CW$10:CW$199&lt;&gt;CW$9:CW$198))=LOOKUP(ROW(CW123),FILTER(ROW(CW$10:CW$199),CW$10:CW$199&lt;&gt;CW$9:CW$198)))),DD123,)"),"")</f>
        <v/>
      </c>
      <c r="DH123" s="122"/>
      <c r="DI123" s="33"/>
      <c r="DJ123" s="143" t="str">
        <f t="shared" si="23"/>
        <v/>
      </c>
      <c r="DK123" s="38" t="str">
        <f>IFERROR(__xludf.DUMMYFUNCTION("""COMPUTED_VALUE"""),"")</f>
        <v/>
      </c>
      <c r="DL123" s="144">
        <v>46167.0</v>
      </c>
      <c r="DM123" s="167" t="str">
        <f t="shared" ref="DM123:DN123" si="375">IF(ISBLANK(CY123),"",CY123)</f>
        <v/>
      </c>
      <c r="DN123" s="168" t="str">
        <f t="shared" si="375"/>
        <v/>
      </c>
      <c r="DO123" s="169" t="str">
        <f t="shared" si="341"/>
        <v/>
      </c>
      <c r="DP123" s="172" t="str">
        <f t="shared" si="342"/>
        <v/>
      </c>
      <c r="DQ123" s="171" t="str">
        <f t="array" ref="DQ123">IFERROR(IF(DK123="ac"+ISNUMBER(SEARCH("'",DP123))+DO123="","", IF(ISNUMBER(SEARCH("lw",DP123)), DC123 + SUBSTITUTE(DP123,"lw+",""), MROUND(SWITCH(DK123,"sq",DO$7,"bn",DP$7,"dl",DQ$7,"")*IF(DP123&gt;10, DP123/100, VLOOKUP(DP123, _rpe,SUBSTITUTE(DO123,"+","")+1,0)), IF( SWITCH(DK123,"sq",DO$7,"bn",DP$7,"dl", DQ$7,"")&lt; IF(_uom="lbs", 175, 80), 1.25, IF(_uom="lbs",5,2.5))))), "")</f>
        <v/>
      </c>
      <c r="DR123" s="148"/>
      <c r="DS123" s="33"/>
      <c r="DT123" s="171"/>
      <c r="DU123" s="124" t="str">
        <f>IFERROR(__xludf.DUMMYFUNCTION("IF(DQ123=MAX(FILTER(DQ$10:DQ$199,LOOKUP(ROW(DK$10:DK$199),FILTER(ROW(DK$10:DK$199),DK$10:DK$199&lt;&gt;DK$9:DK$198))=LOOKUP(ROW(DK123),FILTER(ROW(DK$10:DK$199),DK$10:DK$199&lt;&gt;DK$9:DK$198)))),DR123,)"),"")</f>
        <v/>
      </c>
      <c r="DV123" s="122"/>
      <c r="DW123" s="33"/>
      <c r="DX123" s="143"/>
      <c r="DY123" s="38"/>
      <c r="DZ123" s="144"/>
      <c r="EA123" s="150"/>
      <c r="EB123" s="174"/>
      <c r="EC123" s="175"/>
      <c r="ED123" s="176"/>
      <c r="EE123" s="155"/>
      <c r="EF123" s="148"/>
      <c r="EG123" s="33"/>
      <c r="EH123" s="155"/>
      <c r="EI123" s="148"/>
      <c r="EJ123" s="33"/>
      <c r="EK123" s="33"/>
      <c r="EL123" s="143"/>
      <c r="EM123" s="38"/>
      <c r="EN123" s="144"/>
      <c r="EO123" s="150"/>
      <c r="EP123" s="174"/>
      <c r="EQ123" s="175"/>
      <c r="ER123" s="176"/>
      <c r="ES123" s="155"/>
      <c r="ET123" s="148"/>
      <c r="EU123" s="33"/>
      <c r="EV123" s="155"/>
      <c r="EW123" s="148"/>
      <c r="EX123" s="33"/>
      <c r="EY123" s="33"/>
      <c r="EZ123" s="143"/>
      <c r="FA123" s="38"/>
      <c r="FB123" s="144"/>
      <c r="FC123" s="150"/>
      <c r="FD123" s="174"/>
      <c r="FE123" s="175"/>
      <c r="FF123" s="176"/>
      <c r="FG123" s="155"/>
      <c r="FH123" s="148"/>
      <c r="FI123" s="33"/>
      <c r="FJ123" s="155"/>
      <c r="FK123" s="148"/>
      <c r="FL123" s="33"/>
      <c r="FM123" s="33"/>
      <c r="FN123" s="143"/>
      <c r="FO123" s="38"/>
      <c r="FP123" s="144"/>
      <c r="FQ123" s="150"/>
      <c r="FR123" s="174"/>
      <c r="FS123" s="175"/>
      <c r="FT123" s="176"/>
      <c r="FU123" s="155"/>
      <c r="FV123" s="148"/>
      <c r="FW123" s="33"/>
      <c r="FX123" s="155"/>
      <c r="FY123" s="148"/>
      <c r="FZ123" s="33"/>
      <c r="GA123" s="33"/>
      <c r="GB123" s="143"/>
      <c r="GC123" s="38"/>
      <c r="GD123" s="144"/>
      <c r="GE123" s="150"/>
      <c r="GF123" s="174"/>
      <c r="GG123" s="175"/>
      <c r="GH123" s="176"/>
      <c r="GI123" s="155"/>
      <c r="GJ123" s="148"/>
      <c r="GK123" s="33"/>
      <c r="GL123" s="155"/>
      <c r="GM123" s="148"/>
      <c r="GN123" s="33"/>
      <c r="GO123" s="33"/>
      <c r="GP123" s="143"/>
      <c r="GQ123" s="38"/>
      <c r="GR123" s="144"/>
      <c r="GS123" s="150"/>
      <c r="GT123" s="174"/>
      <c r="GU123" s="175"/>
      <c r="GV123" s="176"/>
      <c r="GW123" s="155"/>
      <c r="GX123" s="148"/>
      <c r="GY123" s="33"/>
      <c r="GZ123" s="155"/>
      <c r="HA123" s="148"/>
      <c r="HB123" s="33"/>
      <c r="HC123" s="33"/>
      <c r="HD123" s="143"/>
      <c r="HE123" s="38"/>
      <c r="HF123" s="144"/>
      <c r="HG123" s="150"/>
      <c r="HH123" s="174"/>
      <c r="HI123" s="175"/>
      <c r="HJ123" s="176"/>
      <c r="HK123" s="155"/>
      <c r="HL123" s="148"/>
      <c r="HM123" s="33"/>
      <c r="HN123" s="155"/>
      <c r="HO123" s="148"/>
      <c r="HP123" s="33"/>
      <c r="HQ123" s="33"/>
      <c r="HR123" s="143"/>
      <c r="HS123" s="38"/>
      <c r="HT123" s="144"/>
      <c r="HU123" s="150"/>
      <c r="HV123" s="174"/>
      <c r="HW123" s="175"/>
      <c r="HX123" s="176"/>
      <c r="HY123" s="155"/>
      <c r="HZ123" s="148"/>
      <c r="IA123" s="33"/>
      <c r="IB123" s="155"/>
      <c r="IC123" s="148"/>
      <c r="ID123" s="33"/>
      <c r="IE123" s="33"/>
      <c r="IF123" s="143"/>
      <c r="IG123" s="38"/>
      <c r="IH123" s="144"/>
      <c r="II123" s="150"/>
      <c r="IJ123" s="174"/>
      <c r="IK123" s="175"/>
      <c r="IL123" s="176"/>
      <c r="IM123" s="155"/>
      <c r="IN123" s="148"/>
      <c r="IO123" s="33"/>
      <c r="IP123" s="155"/>
      <c r="IQ123" s="148"/>
      <c r="IR123" s="33"/>
      <c r="IS123" s="33"/>
      <c r="IT123" s="143"/>
      <c r="IU123" s="38"/>
      <c r="IV123" s="144"/>
      <c r="IW123" s="143"/>
      <c r="IX123" s="38"/>
      <c r="IY123" s="144" t="e">
        <v>#REF!</v>
      </c>
    </row>
    <row r="124">
      <c r="A124" s="33"/>
      <c r="B124" s="181"/>
      <c r="C124" s="38" t="str">
        <f>IFERROR(__xludf.DUMMYFUNCTION("""COMPUTED_VALUE"""),"")</f>
        <v/>
      </c>
      <c r="D124" s="144">
        <v>46111.0</v>
      </c>
      <c r="E124" s="182"/>
      <c r="F124" s="168"/>
      <c r="G124" s="169"/>
      <c r="H124" s="170"/>
      <c r="I124" s="171" t="str">
        <f t="array" ref="I124">IFERROR(IF(C124="ac"+ISNUMBER(SEARCH("'",H124))+G124="","", MROUND(SWITCH(C124,"sq",'Personal Info'!$O$15,"bn",'Personal Info'!$S$15,"dl",'Personal Info'!$W$15,"")*IF(H124&gt;10, H124/100, VLOOKUP(H124, _rpe,SUBSTITUTE(G124,"+","")+1,0)), IF( SWITCH(C124:C210,"sq",'Personal Info'!$O$15,"bn",'Personal Info'!$S$15,"dl", 'Personal Info'!$W$15,"")&lt; IF(_uom="lbs", 175, 80), 1.25, IF(_uom="lbs",5,2.5)))),"")</f>
        <v/>
      </c>
      <c r="J124" s="148"/>
      <c r="K124" s="33"/>
      <c r="L124" s="171"/>
      <c r="M124" s="124" t="str">
        <f>IFERROR(__xludf.DUMMYFUNCTION("IF(I124=MAX(FILTER(I$10:I$199,LOOKUP(ROW(C$10:C$199),FILTER(ROW(C$10:C$199),C$10:C$199&lt;&gt;C$9:C$198))=LOOKUP(ROW(C124),FILTER(ROW(C$10:C$199),C$10:C$199&lt;&gt;C$9:C$198)))),J124,)"),"")</f>
        <v/>
      </c>
      <c r="N124" s="122"/>
      <c r="O124" s="33"/>
      <c r="P124" s="143" t="str">
        <f t="shared" si="12"/>
        <v/>
      </c>
      <c r="Q124" s="38" t="str">
        <f>IFERROR(__xludf.DUMMYFUNCTION("""COMPUTED_VALUE"""),"")</f>
        <v/>
      </c>
      <c r="R124" s="144">
        <v>46118.0</v>
      </c>
      <c r="S124" s="167" t="str">
        <f t="shared" si="13"/>
        <v/>
      </c>
      <c r="T124" s="168" t="str">
        <f t="shared" si="319"/>
        <v/>
      </c>
      <c r="U124" s="169" t="str">
        <f t="shared" si="320"/>
        <v/>
      </c>
      <c r="V124" s="172" t="str">
        <f t="shared" si="321"/>
        <v/>
      </c>
      <c r="W124" s="171" t="str">
        <f t="array" ref="W124">IFERROR(IF(Q124="ac"+ISNUMBER(SEARCH("'",V124))+U124="","", IF(ISNUMBER(SEARCH("lw",V124)), I124 + SUBSTITUTE(V124,"lw+",""), MROUND(SWITCH(Q124,"sq",U$7,"bn",V$7,"dl",W$7,"")*IF(V124&gt;10, V124/100, VLOOKUP(V124, _rpe,SUBSTITUTE(U124,"+","")+1,0)), IF( SWITCH(Q124,"sq",U$7,"bn",V$7,"dl", W$7,"")&lt; IF(_uom="lbs", 175, 80), 1.25, IF(_uom="lbs",5,2.5))))), "")</f>
        <v/>
      </c>
      <c r="X124" s="148"/>
      <c r="Y124" s="33"/>
      <c r="Z124" s="171"/>
      <c r="AA124" s="124" t="str">
        <f>IFERROR(__xludf.DUMMYFUNCTION("IF(W124=MAX(FILTER(W$10:W$199,LOOKUP(ROW(Q$10:Q$199),FILTER(ROW(Q$10:Q$199),Q$10:Q$199&lt;&gt;Q$9:Q$198))=LOOKUP(ROW(Q124),FILTER(ROW(Q$10:Q$199),Q$10:Q$199&lt;&gt;Q$9:Q$198)))),X124,)"),"")</f>
        <v/>
      </c>
      <c r="AB124" s="122"/>
      <c r="AC124" s="33"/>
      <c r="AD124" s="143" t="str">
        <f t="shared" si="14"/>
        <v/>
      </c>
      <c r="AE124" s="38" t="str">
        <f>IFERROR(__xludf.DUMMYFUNCTION("""COMPUTED_VALUE"""),"")</f>
        <v/>
      </c>
      <c r="AF124" s="144">
        <v>46125.0</v>
      </c>
      <c r="AG124" s="167" t="str">
        <f t="shared" si="54"/>
        <v/>
      </c>
      <c r="AH124" s="168" t="str">
        <f t="shared" si="322"/>
        <v/>
      </c>
      <c r="AI124" s="169" t="str">
        <f t="shared" si="323"/>
        <v/>
      </c>
      <c r="AJ124" s="172" t="str">
        <f t="shared" si="324"/>
        <v/>
      </c>
      <c r="AK124" s="171" t="str">
        <f t="array" ref="AK124">IFERROR(IF(AE124="ac"+ISNUMBER(SEARCH("'",AJ124))+AI124="","", IF(ISNUMBER(SEARCH("lw",AJ124)), W124 + SUBSTITUTE(AJ124,"lw+",""), MROUND(SWITCH(AE124,"sq",AI$7,"bn",AJ$7,"dl",AK$7,"")*IF(AJ124&gt;10, AJ124/100, VLOOKUP(AJ124, _rpe,SUBSTITUTE(AI124,"+","")+1,0)), IF( SWITCH(AE124,"sq",AI$7,"bn",AJ$7,"dl", AK$7,"")&lt; IF(_uom="lbs", 175, 80), 1.25, IF(_uom="lbs",5,2.5))))), "")</f>
        <v/>
      </c>
      <c r="AL124" s="148"/>
      <c r="AM124" s="33"/>
      <c r="AN124" s="171"/>
      <c r="AO124" s="124" t="str">
        <f>IFERROR(__xludf.DUMMYFUNCTION("IF(AK124=MAX(FILTER(AK$10:AK$199,LOOKUP(ROW(AE$10:AE$199),FILTER(ROW(AE$10:AE$199),AE$10:AE$199&lt;&gt;AE$9:AE$198))=LOOKUP(ROW(AE124),FILTER(ROW(AE$10:AE$199),AE$10:AE$199&lt;&gt;AE$9:AE$198)))),AL124,)"),"")</f>
        <v/>
      </c>
      <c r="AP124" s="122"/>
      <c r="AQ124" s="33"/>
      <c r="AR124" s="143" t="str">
        <f t="shared" si="16"/>
        <v/>
      </c>
      <c r="AS124" s="38" t="str">
        <f>IFERROR(__xludf.DUMMYFUNCTION("""COMPUTED_VALUE"""),"")</f>
        <v/>
      </c>
      <c r="AT124" s="144">
        <v>46132.0</v>
      </c>
      <c r="AU124" s="167" t="str">
        <f t="shared" si="26"/>
        <v/>
      </c>
      <c r="AV124" s="168" t="str">
        <f t="shared" si="325"/>
        <v/>
      </c>
      <c r="AW124" s="169" t="str">
        <f t="shared" si="326"/>
        <v/>
      </c>
      <c r="AX124" s="172" t="str">
        <f t="shared" si="327"/>
        <v/>
      </c>
      <c r="AY124" s="171" t="str">
        <f t="array" ref="AY124">IFERROR(IF(AS124="ac"+ISNUMBER(SEARCH("'",AX124))+AW124="","", IF(ISNUMBER(SEARCH("lw",AX124)), AK124 + SUBSTITUTE(AX124,"lw+",""), MROUND(SWITCH(AS124,"sq",AW$7,"bn",AX$7,"dl",AY$7,"")*IF(AX124&gt;10, AX124/100, VLOOKUP(AX124, _rpe,SUBSTITUTE(AW124,"+","")+1,0)), IF( SWITCH(AS124,"sq",AW$7,"bn",AX$7,"dl", AY$7,"")&lt; IF(_uom="lbs", 175, 80), 1.25, IF(_uom="lbs",5,2.5))))), "")</f>
        <v/>
      </c>
      <c r="AZ124" s="148"/>
      <c r="BA124" s="33"/>
      <c r="BB124" s="171"/>
      <c r="BC124" s="124" t="str">
        <f>IFERROR(__xludf.DUMMYFUNCTION("IF(AY124=MAX(FILTER(AY$10:AY$199,LOOKUP(ROW(AS$10:AS$199),FILTER(ROW(AS$10:AS$199),AS$10:AS$199&lt;&gt;AS$9:AS$198))=LOOKUP(ROW(AS124),FILTER(ROW(AS$10:AS$199),AS$10:AS$199&lt;&gt;AS$9:AS$198)))),AZ124,)"),"")</f>
        <v/>
      </c>
      <c r="BD124" s="122"/>
      <c r="BE124" s="33"/>
      <c r="BF124" s="143" t="str">
        <f t="shared" si="17"/>
        <v/>
      </c>
      <c r="BG124" s="38" t="str">
        <f>IFERROR(__xludf.DUMMYFUNCTION("""COMPUTED_VALUE"""),"")</f>
        <v/>
      </c>
      <c r="BH124" s="144">
        <v>46139.0</v>
      </c>
      <c r="BI124" s="167" t="str">
        <f t="shared" si="18"/>
        <v/>
      </c>
      <c r="BJ124" s="168" t="str">
        <f t="shared" si="328"/>
        <v/>
      </c>
      <c r="BK124" s="169" t="str">
        <f t="shared" si="329"/>
        <v/>
      </c>
      <c r="BL124" s="172" t="str">
        <f t="shared" si="330"/>
        <v/>
      </c>
      <c r="BM124" s="171" t="str">
        <f t="array" ref="BM124">IFERROR(IF(BG124="ac"+ISNUMBER(SEARCH("'",BL124))+BK124="","", IF(ISNUMBER(SEARCH("lw",BL124)), AY124 + SUBSTITUTE(BL124,"lw+",""), MROUND(SWITCH(BG124,"sq",BK$7,"bn",BL$7,"dl",BM$7,"")*IF(BL124&gt;10, BL124/100, VLOOKUP(BL124, _rpe,SUBSTITUTE(BK124,"+","")+1,0)), IF( SWITCH(BG124,"sq",BK$7,"bn",BL$7,"dl", BM$7,"")&lt; IF(_uom="lbs", 175, 80), 1.25, IF(_uom="lbs",5,2.5))))), "")</f>
        <v/>
      </c>
      <c r="BN124" s="148"/>
      <c r="BO124" s="33"/>
      <c r="BP124" s="171"/>
      <c r="BQ124" s="124" t="str">
        <f>IFERROR(__xludf.DUMMYFUNCTION("IF(BM124=MAX(FILTER(BM$10:BM$199,LOOKUP(ROW(BG$10:BG$199),FILTER(ROW(BG$10:BG$199),BG$10:BG$199&lt;&gt;BG$9:BG$198))=LOOKUP(ROW(BG124),FILTER(ROW(BG$10:BG$199),BG$10:BG$199&lt;&gt;BG$9:BG$198)))),BN124,)"),"")</f>
        <v/>
      </c>
      <c r="BR124" s="122"/>
      <c r="BS124" s="33"/>
      <c r="BT124" s="143" t="str">
        <f t="shared" si="19"/>
        <v/>
      </c>
      <c r="BU124" s="38" t="str">
        <f>IFERROR(__xludf.DUMMYFUNCTION("""COMPUTED_VALUE"""),"")</f>
        <v/>
      </c>
      <c r="BV124" s="144">
        <v>46146.0</v>
      </c>
      <c r="BW124" s="167" t="str">
        <f t="shared" si="20"/>
        <v/>
      </c>
      <c r="BX124" s="168" t="str">
        <f t="shared" si="331"/>
        <v/>
      </c>
      <c r="BY124" s="169" t="str">
        <f t="shared" si="332"/>
        <v/>
      </c>
      <c r="BZ124" s="172" t="str">
        <f t="shared" si="333"/>
        <v/>
      </c>
      <c r="CA124" s="171" t="str">
        <f t="array" ref="CA124">IFERROR(IF(BU124="ac"+ISNUMBER(SEARCH("'",BZ124))+BY124="","", IF(ISNUMBER(SEARCH("lw",BZ124)), BM124 + SUBSTITUTE(BZ124,"lw+",""), MROUND(SWITCH(BU124,"sq",BY$7,"bn",BZ$7,"dl",CA$7,"")*IF(BZ124&gt;10, BZ124/100, VLOOKUP(BZ124, _rpe,SUBSTITUTE(BY124,"+","")+1,0)), IF( SWITCH(BU124,"sq",BY$7,"bn",BZ$7,"dl", CA$7,"")&lt; IF(_uom="lbs", 175, 80), 1.25, IF(_uom="lbs",5,2.5))))), "")</f>
        <v/>
      </c>
      <c r="CB124" s="148"/>
      <c r="CC124" s="33"/>
      <c r="CD124" s="171"/>
      <c r="CE124" s="124" t="str">
        <f>IFERROR(__xludf.DUMMYFUNCTION("IF(CA124=MAX(FILTER(CA$10:CA$199,LOOKUP(ROW(BU$10:BU$199),FILTER(ROW(BU$10:BU$199),BU$10:BU$199&lt;&gt;BU$9:BU$198))=LOOKUP(ROW(BU124),FILTER(ROW(BU$10:BU$199),BU$10:BU$199&lt;&gt;BU$9:BU$198)))),CB124,)"),"")</f>
        <v/>
      </c>
      <c r="CF124" s="122"/>
      <c r="CG124" s="33"/>
      <c r="CH124" s="143" t="str">
        <f t="shared" si="21"/>
        <v/>
      </c>
      <c r="CI124" s="38" t="str">
        <f>IFERROR(__xludf.DUMMYFUNCTION("""COMPUTED_VALUE"""),"")</f>
        <v/>
      </c>
      <c r="CJ124" s="144">
        <v>46153.0</v>
      </c>
      <c r="CK124" s="167" t="str">
        <f t="shared" si="27"/>
        <v/>
      </c>
      <c r="CL124" s="168" t="str">
        <f t="shared" si="334"/>
        <v/>
      </c>
      <c r="CM124" s="169" t="str">
        <f t="shared" si="335"/>
        <v/>
      </c>
      <c r="CN124" s="172" t="str">
        <f t="shared" si="336"/>
        <v/>
      </c>
      <c r="CO124" s="171" t="str">
        <f t="array" ref="CO124">IFERROR(IF(CI124="ac"+ISNUMBER(SEARCH("'",CN124))+CM124="","", IF(ISNUMBER(SEARCH("lw",CN124)), CA124 + SUBSTITUTE(CN124,"lw+",""), MROUND(SWITCH(CI124,"sq",CM$7,"bn",CN$7,"dl",CO$7,"")*IF(CN124&gt;10, CN124/100, VLOOKUP(CN124, _rpe,SUBSTITUTE(CM124,"+","")+1,0)), IF( SWITCH(CI124,"sq",CM$7,"bn",CN$7,"dl", CO$7,"")&lt; IF(_uom="lbs", 175, 80), 1.25, IF(_uom="lbs",5,2.5))))), "")</f>
        <v/>
      </c>
      <c r="CP124" s="148"/>
      <c r="CQ124" s="33"/>
      <c r="CR124" s="171"/>
      <c r="CS124" s="124" t="str">
        <f>IFERROR(__xludf.DUMMYFUNCTION("IF(CO124=MAX(FILTER(CO$10:CO$199,LOOKUP(ROW(CI$10:CI$199),FILTER(ROW(CI$10:CI$199),CI$10:CI$199&lt;&gt;CI$9:CI$198))=LOOKUP(ROW(CI124),FILTER(ROW(CI$10:CI$199),CI$10:CI$199&lt;&gt;CI$9:CI$198)))),CP124,)"),"")</f>
        <v/>
      </c>
      <c r="CT124" s="122"/>
      <c r="CU124" s="33"/>
      <c r="CV124" s="143" t="str">
        <f t="shared" si="22"/>
        <v/>
      </c>
      <c r="CW124" s="38" t="str">
        <f>IFERROR(__xludf.DUMMYFUNCTION("""COMPUTED_VALUE"""),"")</f>
        <v/>
      </c>
      <c r="CX124" s="144">
        <v>46160.0</v>
      </c>
      <c r="CY124" s="167" t="str">
        <f t="shared" si="28"/>
        <v/>
      </c>
      <c r="CZ124" s="168" t="str">
        <f t="shared" si="337"/>
        <v/>
      </c>
      <c r="DA124" s="169" t="str">
        <f t="shared" si="338"/>
        <v/>
      </c>
      <c r="DB124" s="172" t="str">
        <f t="shared" si="339"/>
        <v/>
      </c>
      <c r="DC124" s="171" t="str">
        <f t="array" ref="DC124">IFERROR(IF(CW124="ac"+ISNUMBER(SEARCH("'",DB124))+DA124="","", IF(ISNUMBER(SEARCH("lw",DB124)), CO124 + SUBSTITUTE(DB124,"lw+",""), MROUND(SWITCH(CW124,"sq",DA$7,"bn",DB$7,"dl",DC$7,"")*IF(DB124&gt;10, DB124/100, VLOOKUP(DB124, _rpe,SUBSTITUTE(DA124,"+","")+1,0)), IF( SWITCH(CW124,"sq",DA$7,"bn",DB$7,"dl", DC$7,"")&lt; IF(_uom="lbs", 175, 80), 1.25, IF(_uom="lbs",5,2.5))))), "")</f>
        <v/>
      </c>
      <c r="DD124" s="148"/>
      <c r="DE124" s="33"/>
      <c r="DF124" s="171"/>
      <c r="DG124" s="124" t="str">
        <f>IFERROR(__xludf.DUMMYFUNCTION("IF(DC124=MAX(FILTER(DC$10:DC$199,LOOKUP(ROW(CW$10:CW$199),FILTER(ROW(CW$10:CW$199),CW$10:CW$199&lt;&gt;CW$9:CW$198))=LOOKUP(ROW(CW124),FILTER(ROW(CW$10:CW$199),CW$10:CW$199&lt;&gt;CW$9:CW$198)))),DD124,)"),"")</f>
        <v/>
      </c>
      <c r="DH124" s="122"/>
      <c r="DI124" s="33"/>
      <c r="DJ124" s="143" t="str">
        <f t="shared" si="23"/>
        <v/>
      </c>
      <c r="DK124" s="38" t="str">
        <f>IFERROR(__xludf.DUMMYFUNCTION("""COMPUTED_VALUE"""),"")</f>
        <v/>
      </c>
      <c r="DL124" s="144">
        <v>46167.0</v>
      </c>
      <c r="DM124" s="167" t="str">
        <f t="shared" ref="DM124:DN124" si="376">IF(ISBLANK(CY124),"",CY124)</f>
        <v/>
      </c>
      <c r="DN124" s="168" t="str">
        <f t="shared" si="376"/>
        <v/>
      </c>
      <c r="DO124" s="169" t="str">
        <f t="shared" si="341"/>
        <v/>
      </c>
      <c r="DP124" s="172" t="str">
        <f t="shared" si="342"/>
        <v/>
      </c>
      <c r="DQ124" s="171" t="str">
        <f t="array" ref="DQ124">IFERROR(IF(DK124="ac"+ISNUMBER(SEARCH("'",DP124))+DO124="","", IF(ISNUMBER(SEARCH("lw",DP124)), DC124 + SUBSTITUTE(DP124,"lw+",""), MROUND(SWITCH(DK124,"sq",DO$7,"bn",DP$7,"dl",DQ$7,"")*IF(DP124&gt;10, DP124/100, VLOOKUP(DP124, _rpe,SUBSTITUTE(DO124,"+","")+1,0)), IF( SWITCH(DK124,"sq",DO$7,"bn",DP$7,"dl", DQ$7,"")&lt; IF(_uom="lbs", 175, 80), 1.25, IF(_uom="lbs",5,2.5))))), "")</f>
        <v/>
      </c>
      <c r="DR124" s="148"/>
      <c r="DS124" s="33"/>
      <c r="DT124" s="171"/>
      <c r="DU124" s="124" t="str">
        <f>IFERROR(__xludf.DUMMYFUNCTION("IF(DQ124=MAX(FILTER(DQ$10:DQ$199,LOOKUP(ROW(DK$10:DK$199),FILTER(ROW(DK$10:DK$199),DK$10:DK$199&lt;&gt;DK$9:DK$198))=LOOKUP(ROW(DK124),FILTER(ROW(DK$10:DK$199),DK$10:DK$199&lt;&gt;DK$9:DK$198)))),DR124,)"),"")</f>
        <v/>
      </c>
      <c r="DV124" s="122"/>
      <c r="DW124" s="33"/>
      <c r="DX124" s="143"/>
      <c r="DY124" s="38"/>
      <c r="DZ124" s="144"/>
      <c r="EA124" s="150"/>
      <c r="EB124" s="174"/>
      <c r="EC124" s="175"/>
      <c r="ED124" s="176"/>
      <c r="EE124" s="155"/>
      <c r="EF124" s="148"/>
      <c r="EG124" s="33"/>
      <c r="EH124" s="155"/>
      <c r="EI124" s="148"/>
      <c r="EJ124" s="33"/>
      <c r="EK124" s="33"/>
      <c r="EL124" s="143"/>
      <c r="EM124" s="38"/>
      <c r="EN124" s="144"/>
      <c r="EO124" s="150"/>
      <c r="EP124" s="174"/>
      <c r="EQ124" s="175"/>
      <c r="ER124" s="176"/>
      <c r="ES124" s="155"/>
      <c r="ET124" s="148"/>
      <c r="EU124" s="33"/>
      <c r="EV124" s="155"/>
      <c r="EW124" s="148"/>
      <c r="EX124" s="33"/>
      <c r="EY124" s="33"/>
      <c r="EZ124" s="143"/>
      <c r="FA124" s="38"/>
      <c r="FB124" s="144"/>
      <c r="FC124" s="150"/>
      <c r="FD124" s="174"/>
      <c r="FE124" s="175"/>
      <c r="FF124" s="176"/>
      <c r="FG124" s="155"/>
      <c r="FH124" s="148"/>
      <c r="FI124" s="33"/>
      <c r="FJ124" s="155"/>
      <c r="FK124" s="148"/>
      <c r="FL124" s="33"/>
      <c r="FM124" s="33"/>
      <c r="FN124" s="143"/>
      <c r="FO124" s="38"/>
      <c r="FP124" s="144"/>
      <c r="FQ124" s="150"/>
      <c r="FR124" s="174"/>
      <c r="FS124" s="175"/>
      <c r="FT124" s="176"/>
      <c r="FU124" s="155"/>
      <c r="FV124" s="148"/>
      <c r="FW124" s="33"/>
      <c r="FX124" s="155"/>
      <c r="FY124" s="148"/>
      <c r="FZ124" s="33"/>
      <c r="GA124" s="33"/>
      <c r="GB124" s="143"/>
      <c r="GC124" s="38"/>
      <c r="GD124" s="144"/>
      <c r="GE124" s="150"/>
      <c r="GF124" s="174"/>
      <c r="GG124" s="175"/>
      <c r="GH124" s="176"/>
      <c r="GI124" s="155"/>
      <c r="GJ124" s="148"/>
      <c r="GK124" s="33"/>
      <c r="GL124" s="155"/>
      <c r="GM124" s="148"/>
      <c r="GN124" s="33"/>
      <c r="GO124" s="33"/>
      <c r="GP124" s="143"/>
      <c r="GQ124" s="38"/>
      <c r="GR124" s="144"/>
      <c r="GS124" s="150"/>
      <c r="GT124" s="174"/>
      <c r="GU124" s="175"/>
      <c r="GV124" s="176"/>
      <c r="GW124" s="155"/>
      <c r="GX124" s="148"/>
      <c r="GY124" s="33"/>
      <c r="GZ124" s="155"/>
      <c r="HA124" s="148"/>
      <c r="HB124" s="33"/>
      <c r="HC124" s="33"/>
      <c r="HD124" s="143"/>
      <c r="HE124" s="38"/>
      <c r="HF124" s="144"/>
      <c r="HG124" s="150"/>
      <c r="HH124" s="174"/>
      <c r="HI124" s="175"/>
      <c r="HJ124" s="176"/>
      <c r="HK124" s="155"/>
      <c r="HL124" s="148"/>
      <c r="HM124" s="33"/>
      <c r="HN124" s="155"/>
      <c r="HO124" s="148"/>
      <c r="HP124" s="33"/>
      <c r="HQ124" s="33"/>
      <c r="HR124" s="143"/>
      <c r="HS124" s="38"/>
      <c r="HT124" s="144"/>
      <c r="HU124" s="150"/>
      <c r="HV124" s="174"/>
      <c r="HW124" s="175"/>
      <c r="HX124" s="176"/>
      <c r="HY124" s="155"/>
      <c r="HZ124" s="148"/>
      <c r="IA124" s="33"/>
      <c r="IB124" s="155"/>
      <c r="IC124" s="148"/>
      <c r="ID124" s="33"/>
      <c r="IE124" s="33"/>
      <c r="IF124" s="143"/>
      <c r="IG124" s="38"/>
      <c r="IH124" s="144"/>
      <c r="II124" s="150"/>
      <c r="IJ124" s="174"/>
      <c r="IK124" s="175"/>
      <c r="IL124" s="176"/>
      <c r="IM124" s="155"/>
      <c r="IN124" s="148"/>
      <c r="IO124" s="33"/>
      <c r="IP124" s="155"/>
      <c r="IQ124" s="148"/>
      <c r="IR124" s="33"/>
      <c r="IS124" s="33"/>
      <c r="IT124" s="143"/>
      <c r="IU124" s="38"/>
      <c r="IV124" s="144"/>
      <c r="IW124" s="143"/>
      <c r="IX124" s="38"/>
      <c r="IY124" s="144" t="e">
        <v>#REF!</v>
      </c>
    </row>
    <row r="125">
      <c r="A125" s="33"/>
      <c r="B125" s="181"/>
      <c r="C125" s="38" t="str">
        <f>IFERROR(__xludf.DUMMYFUNCTION("""COMPUTED_VALUE"""),"")</f>
        <v/>
      </c>
      <c r="D125" s="144">
        <v>46111.0</v>
      </c>
      <c r="E125" s="182"/>
      <c r="F125" s="168"/>
      <c r="G125" s="169"/>
      <c r="H125" s="170"/>
      <c r="I125" s="171" t="str">
        <f t="array" ref="I125">IFERROR(IF(C125="ac"+ISNUMBER(SEARCH("'",H125))+G125="","", MROUND(SWITCH(C125,"sq",'Personal Info'!$O$15,"bn",'Personal Info'!$S$15,"dl",'Personal Info'!$W$15,"")*IF(H125&gt;10, H125/100, VLOOKUP(H125, _rpe,SUBSTITUTE(G125,"+","")+1,0)), IF( SWITCH(C125:C210,"sq",'Personal Info'!$O$15,"bn",'Personal Info'!$S$15,"dl", 'Personal Info'!$W$15,"")&lt; IF(_uom="lbs", 175, 80), 1.25, IF(_uom="lbs",5,2.5)))),"")</f>
        <v/>
      </c>
      <c r="J125" s="148"/>
      <c r="K125" s="33"/>
      <c r="L125" s="171"/>
      <c r="M125" s="124" t="str">
        <f>IFERROR(__xludf.DUMMYFUNCTION("IF(I125=MAX(FILTER(I$10:I$199,LOOKUP(ROW(C$10:C$199),FILTER(ROW(C$10:C$199),C$10:C$199&lt;&gt;C$9:C$198))=LOOKUP(ROW(C125),FILTER(ROW(C$10:C$199),C$10:C$199&lt;&gt;C$9:C$198)))),J125,)"),"")</f>
        <v/>
      </c>
      <c r="N125" s="122"/>
      <c r="O125" s="33"/>
      <c r="P125" s="143" t="str">
        <f t="shared" si="12"/>
        <v/>
      </c>
      <c r="Q125" s="38" t="str">
        <f>IFERROR(__xludf.DUMMYFUNCTION("""COMPUTED_VALUE"""),"")</f>
        <v/>
      </c>
      <c r="R125" s="144">
        <v>46118.0</v>
      </c>
      <c r="S125" s="167" t="str">
        <f t="shared" si="13"/>
        <v/>
      </c>
      <c r="T125" s="168" t="str">
        <f t="shared" si="319"/>
        <v/>
      </c>
      <c r="U125" s="169" t="str">
        <f t="shared" si="320"/>
        <v/>
      </c>
      <c r="V125" s="172" t="str">
        <f t="shared" si="321"/>
        <v/>
      </c>
      <c r="W125" s="171" t="str">
        <f t="array" ref="W125">IFERROR(IF(Q125="ac"+ISNUMBER(SEARCH("'",V125))+U125="","", IF(ISNUMBER(SEARCH("lw",V125)), I125 + SUBSTITUTE(V125,"lw+",""), MROUND(SWITCH(Q125,"sq",U$7,"bn",V$7,"dl",W$7,"")*IF(V125&gt;10, V125/100, VLOOKUP(V125, _rpe,SUBSTITUTE(U125,"+","")+1,0)), IF( SWITCH(Q125,"sq",U$7,"bn",V$7,"dl", W$7,"")&lt; IF(_uom="lbs", 175, 80), 1.25, IF(_uom="lbs",5,2.5))))), "")</f>
        <v/>
      </c>
      <c r="X125" s="148"/>
      <c r="Y125" s="33"/>
      <c r="Z125" s="171"/>
      <c r="AA125" s="124" t="str">
        <f>IFERROR(__xludf.DUMMYFUNCTION("IF(W125=MAX(FILTER(W$10:W$199,LOOKUP(ROW(Q$10:Q$199),FILTER(ROW(Q$10:Q$199),Q$10:Q$199&lt;&gt;Q$9:Q$198))=LOOKUP(ROW(Q125),FILTER(ROW(Q$10:Q$199),Q$10:Q$199&lt;&gt;Q$9:Q$198)))),X125,)"),"")</f>
        <v/>
      </c>
      <c r="AB125" s="122"/>
      <c r="AC125" s="33"/>
      <c r="AD125" s="143" t="str">
        <f t="shared" si="14"/>
        <v/>
      </c>
      <c r="AE125" s="38" t="str">
        <f>IFERROR(__xludf.DUMMYFUNCTION("""COMPUTED_VALUE"""),"")</f>
        <v/>
      </c>
      <c r="AF125" s="144">
        <v>46125.0</v>
      </c>
      <c r="AG125" s="167" t="str">
        <f t="shared" si="54"/>
        <v/>
      </c>
      <c r="AH125" s="168" t="str">
        <f t="shared" si="322"/>
        <v/>
      </c>
      <c r="AI125" s="169" t="str">
        <f t="shared" si="323"/>
        <v/>
      </c>
      <c r="AJ125" s="172" t="str">
        <f t="shared" si="324"/>
        <v/>
      </c>
      <c r="AK125" s="171" t="str">
        <f t="array" ref="AK125">IFERROR(IF(AE125="ac"+ISNUMBER(SEARCH("'",AJ125))+AI125="","", IF(ISNUMBER(SEARCH("lw",AJ125)), W125 + SUBSTITUTE(AJ125,"lw+",""), MROUND(SWITCH(AE125,"sq",AI$7,"bn",AJ$7,"dl",AK$7,"")*IF(AJ125&gt;10, AJ125/100, VLOOKUP(AJ125, _rpe,SUBSTITUTE(AI125,"+","")+1,0)), IF( SWITCH(AE125,"sq",AI$7,"bn",AJ$7,"dl", AK$7,"")&lt; IF(_uom="lbs", 175, 80), 1.25, IF(_uom="lbs",5,2.5))))), "")</f>
        <v/>
      </c>
      <c r="AL125" s="148"/>
      <c r="AM125" s="33"/>
      <c r="AN125" s="171"/>
      <c r="AO125" s="124" t="str">
        <f>IFERROR(__xludf.DUMMYFUNCTION("IF(AK125=MAX(FILTER(AK$10:AK$199,LOOKUP(ROW(AE$10:AE$199),FILTER(ROW(AE$10:AE$199),AE$10:AE$199&lt;&gt;AE$9:AE$198))=LOOKUP(ROW(AE125),FILTER(ROW(AE$10:AE$199),AE$10:AE$199&lt;&gt;AE$9:AE$198)))),AL125,)"),"")</f>
        <v/>
      </c>
      <c r="AP125" s="122"/>
      <c r="AQ125" s="33"/>
      <c r="AR125" s="143" t="str">
        <f t="shared" si="16"/>
        <v/>
      </c>
      <c r="AS125" s="38" t="str">
        <f>IFERROR(__xludf.DUMMYFUNCTION("""COMPUTED_VALUE"""),"")</f>
        <v/>
      </c>
      <c r="AT125" s="144">
        <v>46132.0</v>
      </c>
      <c r="AU125" s="167" t="str">
        <f t="shared" si="26"/>
        <v/>
      </c>
      <c r="AV125" s="168" t="str">
        <f t="shared" si="325"/>
        <v/>
      </c>
      <c r="AW125" s="169" t="str">
        <f t="shared" si="326"/>
        <v/>
      </c>
      <c r="AX125" s="172" t="str">
        <f t="shared" si="327"/>
        <v/>
      </c>
      <c r="AY125" s="171" t="str">
        <f t="array" ref="AY125">IFERROR(IF(AS125="ac"+ISNUMBER(SEARCH("'",AX125))+AW125="","", IF(ISNUMBER(SEARCH("lw",AX125)), AK125 + SUBSTITUTE(AX125,"lw+",""), MROUND(SWITCH(AS125,"sq",AW$7,"bn",AX$7,"dl",AY$7,"")*IF(AX125&gt;10, AX125/100, VLOOKUP(AX125, _rpe,SUBSTITUTE(AW125,"+","")+1,0)), IF( SWITCH(AS125,"sq",AW$7,"bn",AX$7,"dl", AY$7,"")&lt; IF(_uom="lbs", 175, 80), 1.25, IF(_uom="lbs",5,2.5))))), "")</f>
        <v/>
      </c>
      <c r="AZ125" s="148"/>
      <c r="BA125" s="33"/>
      <c r="BB125" s="171"/>
      <c r="BC125" s="124" t="str">
        <f>IFERROR(__xludf.DUMMYFUNCTION("IF(AY125=MAX(FILTER(AY$10:AY$199,LOOKUP(ROW(AS$10:AS$199),FILTER(ROW(AS$10:AS$199),AS$10:AS$199&lt;&gt;AS$9:AS$198))=LOOKUP(ROW(AS125),FILTER(ROW(AS$10:AS$199),AS$10:AS$199&lt;&gt;AS$9:AS$198)))),AZ125,)"),"")</f>
        <v/>
      </c>
      <c r="BD125" s="122"/>
      <c r="BE125" s="33"/>
      <c r="BF125" s="143" t="str">
        <f t="shared" si="17"/>
        <v/>
      </c>
      <c r="BG125" s="38" t="str">
        <f>IFERROR(__xludf.DUMMYFUNCTION("""COMPUTED_VALUE"""),"")</f>
        <v/>
      </c>
      <c r="BH125" s="144">
        <v>46139.0</v>
      </c>
      <c r="BI125" s="167" t="str">
        <f t="shared" si="18"/>
        <v/>
      </c>
      <c r="BJ125" s="168" t="str">
        <f t="shared" si="328"/>
        <v/>
      </c>
      <c r="BK125" s="169" t="str">
        <f t="shared" si="329"/>
        <v/>
      </c>
      <c r="BL125" s="172" t="str">
        <f t="shared" si="330"/>
        <v/>
      </c>
      <c r="BM125" s="171" t="str">
        <f t="array" ref="BM125">IFERROR(IF(BG125="ac"+ISNUMBER(SEARCH("'",BL125))+BK125="","", IF(ISNUMBER(SEARCH("lw",BL125)), AY125 + SUBSTITUTE(BL125,"lw+",""), MROUND(SWITCH(BG125,"sq",BK$7,"bn",BL$7,"dl",BM$7,"")*IF(BL125&gt;10, BL125/100, VLOOKUP(BL125, _rpe,SUBSTITUTE(BK125,"+","")+1,0)), IF( SWITCH(BG125,"sq",BK$7,"bn",BL$7,"dl", BM$7,"")&lt; IF(_uom="lbs", 175, 80), 1.25, IF(_uom="lbs",5,2.5))))), "")</f>
        <v/>
      </c>
      <c r="BN125" s="148"/>
      <c r="BO125" s="33"/>
      <c r="BP125" s="171"/>
      <c r="BQ125" s="124" t="str">
        <f>IFERROR(__xludf.DUMMYFUNCTION("IF(BM125=MAX(FILTER(BM$10:BM$199,LOOKUP(ROW(BG$10:BG$199),FILTER(ROW(BG$10:BG$199),BG$10:BG$199&lt;&gt;BG$9:BG$198))=LOOKUP(ROW(BG125),FILTER(ROW(BG$10:BG$199),BG$10:BG$199&lt;&gt;BG$9:BG$198)))),BN125,)"),"")</f>
        <v/>
      </c>
      <c r="BR125" s="122"/>
      <c r="BS125" s="33"/>
      <c r="BT125" s="143" t="str">
        <f t="shared" si="19"/>
        <v/>
      </c>
      <c r="BU125" s="38" t="str">
        <f>IFERROR(__xludf.DUMMYFUNCTION("""COMPUTED_VALUE"""),"")</f>
        <v/>
      </c>
      <c r="BV125" s="144">
        <v>46146.0</v>
      </c>
      <c r="BW125" s="167" t="str">
        <f t="shared" si="20"/>
        <v/>
      </c>
      <c r="BX125" s="168" t="str">
        <f t="shared" si="331"/>
        <v/>
      </c>
      <c r="BY125" s="169" t="str">
        <f t="shared" si="332"/>
        <v/>
      </c>
      <c r="BZ125" s="172" t="str">
        <f t="shared" si="333"/>
        <v/>
      </c>
      <c r="CA125" s="171" t="str">
        <f t="array" ref="CA125">IFERROR(IF(BU125="ac"+ISNUMBER(SEARCH("'",BZ125))+BY125="","", IF(ISNUMBER(SEARCH("lw",BZ125)), BM125 + SUBSTITUTE(BZ125,"lw+",""), MROUND(SWITCH(BU125,"sq",BY$7,"bn",BZ$7,"dl",CA$7,"")*IF(BZ125&gt;10, BZ125/100, VLOOKUP(BZ125, _rpe,SUBSTITUTE(BY125,"+","")+1,0)), IF( SWITCH(BU125,"sq",BY$7,"bn",BZ$7,"dl", CA$7,"")&lt; IF(_uom="lbs", 175, 80), 1.25, IF(_uom="lbs",5,2.5))))), "")</f>
        <v/>
      </c>
      <c r="CB125" s="148"/>
      <c r="CC125" s="33"/>
      <c r="CD125" s="171"/>
      <c r="CE125" s="124" t="str">
        <f>IFERROR(__xludf.DUMMYFUNCTION("IF(CA125=MAX(FILTER(CA$10:CA$199,LOOKUP(ROW(BU$10:BU$199),FILTER(ROW(BU$10:BU$199),BU$10:BU$199&lt;&gt;BU$9:BU$198))=LOOKUP(ROW(BU125),FILTER(ROW(BU$10:BU$199),BU$10:BU$199&lt;&gt;BU$9:BU$198)))),CB125,)"),"")</f>
        <v/>
      </c>
      <c r="CF125" s="122"/>
      <c r="CG125" s="33"/>
      <c r="CH125" s="143" t="str">
        <f t="shared" si="21"/>
        <v/>
      </c>
      <c r="CI125" s="38" t="str">
        <f>IFERROR(__xludf.DUMMYFUNCTION("""COMPUTED_VALUE"""),"")</f>
        <v/>
      </c>
      <c r="CJ125" s="144">
        <v>46153.0</v>
      </c>
      <c r="CK125" s="167" t="str">
        <f t="shared" si="27"/>
        <v/>
      </c>
      <c r="CL125" s="168" t="str">
        <f t="shared" si="334"/>
        <v/>
      </c>
      <c r="CM125" s="169" t="str">
        <f t="shared" si="335"/>
        <v/>
      </c>
      <c r="CN125" s="172" t="str">
        <f t="shared" si="336"/>
        <v/>
      </c>
      <c r="CO125" s="171" t="str">
        <f t="array" ref="CO125">IFERROR(IF(CI125="ac"+ISNUMBER(SEARCH("'",CN125))+CM125="","", IF(ISNUMBER(SEARCH("lw",CN125)), CA125 + SUBSTITUTE(CN125,"lw+",""), MROUND(SWITCH(CI125,"sq",CM$7,"bn",CN$7,"dl",CO$7,"")*IF(CN125&gt;10, CN125/100, VLOOKUP(CN125, _rpe,SUBSTITUTE(CM125,"+","")+1,0)), IF( SWITCH(CI125,"sq",CM$7,"bn",CN$7,"dl", CO$7,"")&lt; IF(_uom="lbs", 175, 80), 1.25, IF(_uom="lbs",5,2.5))))), "")</f>
        <v/>
      </c>
      <c r="CP125" s="148"/>
      <c r="CQ125" s="33"/>
      <c r="CR125" s="171"/>
      <c r="CS125" s="124" t="str">
        <f>IFERROR(__xludf.DUMMYFUNCTION("IF(CO125=MAX(FILTER(CO$10:CO$199,LOOKUP(ROW(CI$10:CI$199),FILTER(ROW(CI$10:CI$199),CI$10:CI$199&lt;&gt;CI$9:CI$198))=LOOKUP(ROW(CI125),FILTER(ROW(CI$10:CI$199),CI$10:CI$199&lt;&gt;CI$9:CI$198)))),CP125,)"),"")</f>
        <v/>
      </c>
      <c r="CT125" s="122"/>
      <c r="CU125" s="33"/>
      <c r="CV125" s="143" t="str">
        <f t="shared" si="22"/>
        <v/>
      </c>
      <c r="CW125" s="38" t="str">
        <f>IFERROR(__xludf.DUMMYFUNCTION("""COMPUTED_VALUE"""),"")</f>
        <v/>
      </c>
      <c r="CX125" s="144">
        <v>46160.0</v>
      </c>
      <c r="CY125" s="167" t="str">
        <f t="shared" si="28"/>
        <v/>
      </c>
      <c r="CZ125" s="168" t="str">
        <f t="shared" si="337"/>
        <v/>
      </c>
      <c r="DA125" s="169" t="str">
        <f t="shared" si="338"/>
        <v/>
      </c>
      <c r="DB125" s="172" t="str">
        <f t="shared" si="339"/>
        <v/>
      </c>
      <c r="DC125" s="171" t="str">
        <f t="array" ref="DC125">IFERROR(IF(CW125="ac"+ISNUMBER(SEARCH("'",DB125))+DA125="","", IF(ISNUMBER(SEARCH("lw",DB125)), CO125 + SUBSTITUTE(DB125,"lw+",""), MROUND(SWITCH(CW125,"sq",DA$7,"bn",DB$7,"dl",DC$7,"")*IF(DB125&gt;10, DB125/100, VLOOKUP(DB125, _rpe,SUBSTITUTE(DA125,"+","")+1,0)), IF( SWITCH(CW125,"sq",DA$7,"bn",DB$7,"dl", DC$7,"")&lt; IF(_uom="lbs", 175, 80), 1.25, IF(_uom="lbs",5,2.5))))), "")</f>
        <v/>
      </c>
      <c r="DD125" s="148"/>
      <c r="DE125" s="33"/>
      <c r="DF125" s="171"/>
      <c r="DG125" s="124" t="str">
        <f>IFERROR(__xludf.DUMMYFUNCTION("IF(DC125=MAX(FILTER(DC$10:DC$199,LOOKUP(ROW(CW$10:CW$199),FILTER(ROW(CW$10:CW$199),CW$10:CW$199&lt;&gt;CW$9:CW$198))=LOOKUP(ROW(CW125),FILTER(ROW(CW$10:CW$199),CW$10:CW$199&lt;&gt;CW$9:CW$198)))),DD125,)"),"")</f>
        <v/>
      </c>
      <c r="DH125" s="122"/>
      <c r="DI125" s="33"/>
      <c r="DJ125" s="143" t="str">
        <f t="shared" si="23"/>
        <v/>
      </c>
      <c r="DK125" s="38" t="str">
        <f>IFERROR(__xludf.DUMMYFUNCTION("""COMPUTED_VALUE"""),"")</f>
        <v/>
      </c>
      <c r="DL125" s="144">
        <v>46167.0</v>
      </c>
      <c r="DM125" s="167" t="str">
        <f t="shared" ref="DM125:DN125" si="377">IF(ISBLANK(CY125),"",CY125)</f>
        <v/>
      </c>
      <c r="DN125" s="168" t="str">
        <f t="shared" si="377"/>
        <v/>
      </c>
      <c r="DO125" s="169" t="str">
        <f t="shared" si="341"/>
        <v/>
      </c>
      <c r="DP125" s="172" t="str">
        <f t="shared" si="342"/>
        <v/>
      </c>
      <c r="DQ125" s="171" t="str">
        <f t="array" ref="DQ125">IFERROR(IF(DK125="ac"+ISNUMBER(SEARCH("'",DP125))+DO125="","", IF(ISNUMBER(SEARCH("lw",DP125)), DC125 + SUBSTITUTE(DP125,"lw+",""), MROUND(SWITCH(DK125,"sq",DO$7,"bn",DP$7,"dl",DQ$7,"")*IF(DP125&gt;10, DP125/100, VLOOKUP(DP125, _rpe,SUBSTITUTE(DO125,"+","")+1,0)), IF( SWITCH(DK125,"sq",DO$7,"bn",DP$7,"dl", DQ$7,"")&lt; IF(_uom="lbs", 175, 80), 1.25, IF(_uom="lbs",5,2.5))))), "")</f>
        <v/>
      </c>
      <c r="DR125" s="148"/>
      <c r="DS125" s="33"/>
      <c r="DT125" s="171"/>
      <c r="DU125" s="124" t="str">
        <f>IFERROR(__xludf.DUMMYFUNCTION("IF(DQ125=MAX(FILTER(DQ$10:DQ$199,LOOKUP(ROW(DK$10:DK$199),FILTER(ROW(DK$10:DK$199),DK$10:DK$199&lt;&gt;DK$9:DK$198))=LOOKUP(ROW(DK125),FILTER(ROW(DK$10:DK$199),DK$10:DK$199&lt;&gt;DK$9:DK$198)))),DR125,)"),"")</f>
        <v/>
      </c>
      <c r="DV125" s="122"/>
      <c r="DW125" s="33"/>
      <c r="DX125" s="143"/>
      <c r="DY125" s="38"/>
      <c r="DZ125" s="144"/>
      <c r="EA125" s="150"/>
      <c r="EB125" s="174"/>
      <c r="EC125" s="175"/>
      <c r="ED125" s="176"/>
      <c r="EE125" s="155"/>
      <c r="EF125" s="148"/>
      <c r="EG125" s="33"/>
      <c r="EH125" s="155"/>
      <c r="EI125" s="148"/>
      <c r="EJ125" s="33"/>
      <c r="EK125" s="33"/>
      <c r="EL125" s="143"/>
      <c r="EM125" s="38"/>
      <c r="EN125" s="144"/>
      <c r="EO125" s="150"/>
      <c r="EP125" s="174"/>
      <c r="EQ125" s="175"/>
      <c r="ER125" s="176"/>
      <c r="ES125" s="155"/>
      <c r="ET125" s="148"/>
      <c r="EU125" s="33"/>
      <c r="EV125" s="155"/>
      <c r="EW125" s="148"/>
      <c r="EX125" s="33"/>
      <c r="EY125" s="33"/>
      <c r="EZ125" s="143"/>
      <c r="FA125" s="38"/>
      <c r="FB125" s="144"/>
      <c r="FC125" s="150"/>
      <c r="FD125" s="174"/>
      <c r="FE125" s="175"/>
      <c r="FF125" s="176"/>
      <c r="FG125" s="155"/>
      <c r="FH125" s="148"/>
      <c r="FI125" s="33"/>
      <c r="FJ125" s="155"/>
      <c r="FK125" s="148"/>
      <c r="FL125" s="33"/>
      <c r="FM125" s="33"/>
      <c r="FN125" s="143"/>
      <c r="FO125" s="38"/>
      <c r="FP125" s="144"/>
      <c r="FQ125" s="150"/>
      <c r="FR125" s="174"/>
      <c r="FS125" s="175"/>
      <c r="FT125" s="176"/>
      <c r="FU125" s="155"/>
      <c r="FV125" s="148"/>
      <c r="FW125" s="33"/>
      <c r="FX125" s="155"/>
      <c r="FY125" s="148"/>
      <c r="FZ125" s="33"/>
      <c r="GA125" s="33"/>
      <c r="GB125" s="143"/>
      <c r="GC125" s="38"/>
      <c r="GD125" s="144"/>
      <c r="GE125" s="150"/>
      <c r="GF125" s="174"/>
      <c r="GG125" s="175"/>
      <c r="GH125" s="176"/>
      <c r="GI125" s="155"/>
      <c r="GJ125" s="148"/>
      <c r="GK125" s="33"/>
      <c r="GL125" s="155"/>
      <c r="GM125" s="148"/>
      <c r="GN125" s="33"/>
      <c r="GO125" s="33"/>
      <c r="GP125" s="143"/>
      <c r="GQ125" s="38"/>
      <c r="GR125" s="144"/>
      <c r="GS125" s="150"/>
      <c r="GT125" s="174"/>
      <c r="GU125" s="175"/>
      <c r="GV125" s="176"/>
      <c r="GW125" s="155"/>
      <c r="GX125" s="148"/>
      <c r="GY125" s="33"/>
      <c r="GZ125" s="155"/>
      <c r="HA125" s="148"/>
      <c r="HB125" s="33"/>
      <c r="HC125" s="33"/>
      <c r="HD125" s="143"/>
      <c r="HE125" s="38"/>
      <c r="HF125" s="144"/>
      <c r="HG125" s="150"/>
      <c r="HH125" s="174"/>
      <c r="HI125" s="175"/>
      <c r="HJ125" s="176"/>
      <c r="HK125" s="155"/>
      <c r="HL125" s="148"/>
      <c r="HM125" s="33"/>
      <c r="HN125" s="155"/>
      <c r="HO125" s="148"/>
      <c r="HP125" s="33"/>
      <c r="HQ125" s="33"/>
      <c r="HR125" s="143"/>
      <c r="HS125" s="38"/>
      <c r="HT125" s="144"/>
      <c r="HU125" s="150"/>
      <c r="HV125" s="174"/>
      <c r="HW125" s="175"/>
      <c r="HX125" s="176"/>
      <c r="HY125" s="155"/>
      <c r="HZ125" s="148"/>
      <c r="IA125" s="33"/>
      <c r="IB125" s="155"/>
      <c r="IC125" s="148"/>
      <c r="ID125" s="33"/>
      <c r="IE125" s="33"/>
      <c r="IF125" s="143"/>
      <c r="IG125" s="38"/>
      <c r="IH125" s="144"/>
      <c r="II125" s="150"/>
      <c r="IJ125" s="174"/>
      <c r="IK125" s="175"/>
      <c r="IL125" s="176"/>
      <c r="IM125" s="155"/>
      <c r="IN125" s="148"/>
      <c r="IO125" s="33"/>
      <c r="IP125" s="155"/>
      <c r="IQ125" s="148"/>
      <c r="IR125" s="33"/>
      <c r="IS125" s="33"/>
      <c r="IT125" s="143"/>
      <c r="IU125" s="38"/>
      <c r="IV125" s="144"/>
      <c r="IW125" s="143"/>
      <c r="IX125" s="38"/>
      <c r="IY125" s="144" t="e">
        <v>#REF!</v>
      </c>
    </row>
    <row r="126">
      <c r="A126" s="33"/>
      <c r="B126" s="181"/>
      <c r="C126" s="38" t="str">
        <f>IFERROR(__xludf.DUMMYFUNCTION("""COMPUTED_VALUE"""),"")</f>
        <v/>
      </c>
      <c r="D126" s="144">
        <v>46111.0</v>
      </c>
      <c r="E126" s="182"/>
      <c r="F126" s="168"/>
      <c r="G126" s="169"/>
      <c r="H126" s="170"/>
      <c r="I126" s="171" t="str">
        <f t="array" ref="I126">IFERROR(IF(C126="ac"+ISNUMBER(SEARCH("'",H126))+G126="","", MROUND(SWITCH(C126,"sq",'Personal Info'!$O$15,"bn",'Personal Info'!$S$15,"dl",'Personal Info'!$W$15,"")*IF(H126&gt;10, H126/100, VLOOKUP(H126, _rpe,SUBSTITUTE(G126,"+","")+1,0)), IF( SWITCH(C126:C210,"sq",'Personal Info'!$O$15,"bn",'Personal Info'!$S$15,"dl", 'Personal Info'!$W$15,"")&lt; IF(_uom="lbs", 175, 80), 1.25, IF(_uom="lbs",5,2.5)))),"")</f>
        <v/>
      </c>
      <c r="J126" s="148"/>
      <c r="K126" s="33"/>
      <c r="L126" s="171"/>
      <c r="M126" s="124" t="str">
        <f>IFERROR(__xludf.DUMMYFUNCTION("IF(I126=MAX(FILTER(I$10:I$199,LOOKUP(ROW(C$10:C$199),FILTER(ROW(C$10:C$199),C$10:C$199&lt;&gt;C$9:C$198))=LOOKUP(ROW(C126),FILTER(ROW(C$10:C$199),C$10:C$199&lt;&gt;C$9:C$198)))),J126,)"),"")</f>
        <v/>
      </c>
      <c r="N126" s="122"/>
      <c r="O126" s="33"/>
      <c r="P126" s="143" t="str">
        <f t="shared" si="12"/>
        <v/>
      </c>
      <c r="Q126" s="38" t="str">
        <f>IFERROR(__xludf.DUMMYFUNCTION("""COMPUTED_VALUE"""),"")</f>
        <v/>
      </c>
      <c r="R126" s="144">
        <v>46118.0</v>
      </c>
      <c r="S126" s="167" t="str">
        <f t="shared" si="13"/>
        <v/>
      </c>
      <c r="T126" s="168" t="str">
        <f t="shared" si="319"/>
        <v/>
      </c>
      <c r="U126" s="169" t="str">
        <f t="shared" si="320"/>
        <v/>
      </c>
      <c r="V126" s="172" t="str">
        <f t="shared" si="321"/>
        <v/>
      </c>
      <c r="W126" s="171" t="str">
        <f t="array" ref="W126">IFERROR(IF(Q126="ac"+ISNUMBER(SEARCH("'",V126))+U126="","", IF(ISNUMBER(SEARCH("lw",V126)), I126 + SUBSTITUTE(V126,"lw+",""), MROUND(SWITCH(Q126,"sq",U$7,"bn",V$7,"dl",W$7,"")*IF(V126&gt;10, V126/100, VLOOKUP(V126, _rpe,SUBSTITUTE(U126,"+","")+1,0)), IF( SWITCH(Q126,"sq",U$7,"bn",V$7,"dl", W$7,"")&lt; IF(_uom="lbs", 175, 80), 1.25, IF(_uom="lbs",5,2.5))))), "")</f>
        <v/>
      </c>
      <c r="X126" s="148"/>
      <c r="Y126" s="33"/>
      <c r="Z126" s="171"/>
      <c r="AA126" s="124" t="str">
        <f>IFERROR(__xludf.DUMMYFUNCTION("IF(W126=MAX(FILTER(W$10:W$199,LOOKUP(ROW(Q$10:Q$199),FILTER(ROW(Q$10:Q$199),Q$10:Q$199&lt;&gt;Q$9:Q$198))=LOOKUP(ROW(Q126),FILTER(ROW(Q$10:Q$199),Q$10:Q$199&lt;&gt;Q$9:Q$198)))),X126,)"),"")</f>
        <v/>
      </c>
      <c r="AB126" s="122"/>
      <c r="AC126" s="33"/>
      <c r="AD126" s="143" t="str">
        <f t="shared" si="14"/>
        <v/>
      </c>
      <c r="AE126" s="38" t="str">
        <f>IFERROR(__xludf.DUMMYFUNCTION("""COMPUTED_VALUE"""),"")</f>
        <v/>
      </c>
      <c r="AF126" s="144">
        <v>46125.0</v>
      </c>
      <c r="AG126" s="167" t="str">
        <f t="shared" si="54"/>
        <v/>
      </c>
      <c r="AH126" s="168" t="str">
        <f t="shared" si="322"/>
        <v/>
      </c>
      <c r="AI126" s="169" t="str">
        <f t="shared" si="323"/>
        <v/>
      </c>
      <c r="AJ126" s="172" t="str">
        <f t="shared" si="324"/>
        <v/>
      </c>
      <c r="AK126" s="171" t="str">
        <f t="array" ref="AK126">IFERROR(IF(AE126="ac"+ISNUMBER(SEARCH("'",AJ126))+AI126="","", IF(ISNUMBER(SEARCH("lw",AJ126)), W126 + SUBSTITUTE(AJ126,"lw+",""), MROUND(SWITCH(AE126,"sq",AI$7,"bn",AJ$7,"dl",AK$7,"")*IF(AJ126&gt;10, AJ126/100, VLOOKUP(AJ126, _rpe,SUBSTITUTE(AI126,"+","")+1,0)), IF( SWITCH(AE126,"sq",AI$7,"bn",AJ$7,"dl", AK$7,"")&lt; IF(_uom="lbs", 175, 80), 1.25, IF(_uom="lbs",5,2.5))))), "")</f>
        <v/>
      </c>
      <c r="AL126" s="148"/>
      <c r="AM126" s="33"/>
      <c r="AN126" s="171"/>
      <c r="AO126" s="124" t="str">
        <f>IFERROR(__xludf.DUMMYFUNCTION("IF(AK126=MAX(FILTER(AK$10:AK$199,LOOKUP(ROW(AE$10:AE$199),FILTER(ROW(AE$10:AE$199),AE$10:AE$199&lt;&gt;AE$9:AE$198))=LOOKUP(ROW(AE126),FILTER(ROW(AE$10:AE$199),AE$10:AE$199&lt;&gt;AE$9:AE$198)))),AL126,)"),"")</f>
        <v/>
      </c>
      <c r="AP126" s="122"/>
      <c r="AQ126" s="33"/>
      <c r="AR126" s="143" t="str">
        <f t="shared" si="16"/>
        <v/>
      </c>
      <c r="AS126" s="38" t="str">
        <f>IFERROR(__xludf.DUMMYFUNCTION("""COMPUTED_VALUE"""),"")</f>
        <v/>
      </c>
      <c r="AT126" s="144">
        <v>46132.0</v>
      </c>
      <c r="AU126" s="167" t="str">
        <f t="shared" si="26"/>
        <v/>
      </c>
      <c r="AV126" s="168" t="str">
        <f t="shared" si="325"/>
        <v/>
      </c>
      <c r="AW126" s="169" t="str">
        <f t="shared" si="326"/>
        <v/>
      </c>
      <c r="AX126" s="172" t="str">
        <f t="shared" si="327"/>
        <v/>
      </c>
      <c r="AY126" s="171" t="str">
        <f t="array" ref="AY126">IFERROR(IF(AS126="ac"+ISNUMBER(SEARCH("'",AX126))+AW126="","", IF(ISNUMBER(SEARCH("lw",AX126)), AK126 + SUBSTITUTE(AX126,"lw+",""), MROUND(SWITCH(AS126,"sq",AW$7,"bn",AX$7,"dl",AY$7,"")*IF(AX126&gt;10, AX126/100, VLOOKUP(AX126, _rpe,SUBSTITUTE(AW126,"+","")+1,0)), IF( SWITCH(AS126,"sq",AW$7,"bn",AX$7,"dl", AY$7,"")&lt; IF(_uom="lbs", 175, 80), 1.25, IF(_uom="lbs",5,2.5))))), "")</f>
        <v/>
      </c>
      <c r="AZ126" s="148"/>
      <c r="BA126" s="33"/>
      <c r="BB126" s="171"/>
      <c r="BC126" s="124" t="str">
        <f>IFERROR(__xludf.DUMMYFUNCTION("IF(AY126=MAX(FILTER(AY$10:AY$199,LOOKUP(ROW(AS$10:AS$199),FILTER(ROW(AS$10:AS$199),AS$10:AS$199&lt;&gt;AS$9:AS$198))=LOOKUP(ROW(AS126),FILTER(ROW(AS$10:AS$199),AS$10:AS$199&lt;&gt;AS$9:AS$198)))),AZ126,)"),"")</f>
        <v/>
      </c>
      <c r="BD126" s="122"/>
      <c r="BE126" s="33"/>
      <c r="BF126" s="143" t="str">
        <f t="shared" si="17"/>
        <v/>
      </c>
      <c r="BG126" s="38" t="str">
        <f>IFERROR(__xludf.DUMMYFUNCTION("""COMPUTED_VALUE"""),"")</f>
        <v/>
      </c>
      <c r="BH126" s="144">
        <v>46139.0</v>
      </c>
      <c r="BI126" s="167" t="str">
        <f t="shared" si="18"/>
        <v/>
      </c>
      <c r="BJ126" s="168" t="str">
        <f t="shared" si="328"/>
        <v/>
      </c>
      <c r="BK126" s="169" t="str">
        <f t="shared" si="329"/>
        <v/>
      </c>
      <c r="BL126" s="172" t="str">
        <f t="shared" si="330"/>
        <v/>
      </c>
      <c r="BM126" s="171" t="str">
        <f t="array" ref="BM126">IFERROR(IF(BG126="ac"+ISNUMBER(SEARCH("'",BL126))+BK126="","", IF(ISNUMBER(SEARCH("lw",BL126)), AY126 + SUBSTITUTE(BL126,"lw+",""), MROUND(SWITCH(BG126,"sq",BK$7,"bn",BL$7,"dl",BM$7,"")*IF(BL126&gt;10, BL126/100, VLOOKUP(BL126, _rpe,SUBSTITUTE(BK126,"+","")+1,0)), IF( SWITCH(BG126,"sq",BK$7,"bn",BL$7,"dl", BM$7,"")&lt; IF(_uom="lbs", 175, 80), 1.25, IF(_uom="lbs",5,2.5))))), "")</f>
        <v/>
      </c>
      <c r="BN126" s="148"/>
      <c r="BO126" s="33"/>
      <c r="BP126" s="171"/>
      <c r="BQ126" s="124" t="str">
        <f>IFERROR(__xludf.DUMMYFUNCTION("IF(BM126=MAX(FILTER(BM$10:BM$199,LOOKUP(ROW(BG$10:BG$199),FILTER(ROW(BG$10:BG$199),BG$10:BG$199&lt;&gt;BG$9:BG$198))=LOOKUP(ROW(BG126),FILTER(ROW(BG$10:BG$199),BG$10:BG$199&lt;&gt;BG$9:BG$198)))),BN126,)"),"")</f>
        <v/>
      </c>
      <c r="BR126" s="122"/>
      <c r="BS126" s="33"/>
      <c r="BT126" s="143" t="str">
        <f t="shared" si="19"/>
        <v/>
      </c>
      <c r="BU126" s="38" t="str">
        <f>IFERROR(__xludf.DUMMYFUNCTION("""COMPUTED_VALUE"""),"")</f>
        <v/>
      </c>
      <c r="BV126" s="144">
        <v>46146.0</v>
      </c>
      <c r="BW126" s="167" t="str">
        <f t="shared" si="20"/>
        <v/>
      </c>
      <c r="BX126" s="168" t="str">
        <f t="shared" si="331"/>
        <v/>
      </c>
      <c r="BY126" s="169" t="str">
        <f t="shared" si="332"/>
        <v/>
      </c>
      <c r="BZ126" s="172" t="str">
        <f t="shared" si="333"/>
        <v/>
      </c>
      <c r="CA126" s="171" t="str">
        <f t="array" ref="CA126">IFERROR(IF(BU126="ac"+ISNUMBER(SEARCH("'",BZ126))+BY126="","", IF(ISNUMBER(SEARCH("lw",BZ126)), BM126 + SUBSTITUTE(BZ126,"lw+",""), MROUND(SWITCH(BU126,"sq",BY$7,"bn",BZ$7,"dl",CA$7,"")*IF(BZ126&gt;10, BZ126/100, VLOOKUP(BZ126, _rpe,SUBSTITUTE(BY126,"+","")+1,0)), IF( SWITCH(BU126,"sq",BY$7,"bn",BZ$7,"dl", CA$7,"")&lt; IF(_uom="lbs", 175, 80), 1.25, IF(_uom="lbs",5,2.5))))), "")</f>
        <v/>
      </c>
      <c r="CB126" s="148"/>
      <c r="CC126" s="33"/>
      <c r="CD126" s="171"/>
      <c r="CE126" s="124" t="str">
        <f>IFERROR(__xludf.DUMMYFUNCTION("IF(CA126=MAX(FILTER(CA$10:CA$199,LOOKUP(ROW(BU$10:BU$199),FILTER(ROW(BU$10:BU$199),BU$10:BU$199&lt;&gt;BU$9:BU$198))=LOOKUP(ROW(BU126),FILTER(ROW(BU$10:BU$199),BU$10:BU$199&lt;&gt;BU$9:BU$198)))),CB126,)"),"")</f>
        <v/>
      </c>
      <c r="CF126" s="122"/>
      <c r="CG126" s="33"/>
      <c r="CH126" s="143" t="str">
        <f t="shared" si="21"/>
        <v/>
      </c>
      <c r="CI126" s="38" t="str">
        <f>IFERROR(__xludf.DUMMYFUNCTION("""COMPUTED_VALUE"""),"")</f>
        <v/>
      </c>
      <c r="CJ126" s="144">
        <v>46153.0</v>
      </c>
      <c r="CK126" s="167" t="str">
        <f t="shared" si="27"/>
        <v/>
      </c>
      <c r="CL126" s="168" t="str">
        <f t="shared" si="334"/>
        <v/>
      </c>
      <c r="CM126" s="169" t="str">
        <f t="shared" si="335"/>
        <v/>
      </c>
      <c r="CN126" s="172" t="str">
        <f t="shared" si="336"/>
        <v/>
      </c>
      <c r="CO126" s="171" t="str">
        <f t="array" ref="CO126">IFERROR(IF(CI126="ac"+ISNUMBER(SEARCH("'",CN126))+CM126="","", IF(ISNUMBER(SEARCH("lw",CN126)), CA126 + SUBSTITUTE(CN126,"lw+",""), MROUND(SWITCH(CI126,"sq",CM$7,"bn",CN$7,"dl",CO$7,"")*IF(CN126&gt;10, CN126/100, VLOOKUP(CN126, _rpe,SUBSTITUTE(CM126,"+","")+1,0)), IF( SWITCH(CI126,"sq",CM$7,"bn",CN$7,"dl", CO$7,"")&lt; IF(_uom="lbs", 175, 80), 1.25, IF(_uom="lbs",5,2.5))))), "")</f>
        <v/>
      </c>
      <c r="CP126" s="148"/>
      <c r="CQ126" s="33"/>
      <c r="CR126" s="171"/>
      <c r="CS126" s="124" t="str">
        <f>IFERROR(__xludf.DUMMYFUNCTION("IF(CO126=MAX(FILTER(CO$10:CO$199,LOOKUP(ROW(CI$10:CI$199),FILTER(ROW(CI$10:CI$199),CI$10:CI$199&lt;&gt;CI$9:CI$198))=LOOKUP(ROW(CI126),FILTER(ROW(CI$10:CI$199),CI$10:CI$199&lt;&gt;CI$9:CI$198)))),CP126,)"),"")</f>
        <v/>
      </c>
      <c r="CT126" s="122"/>
      <c r="CU126" s="33"/>
      <c r="CV126" s="143" t="str">
        <f t="shared" si="22"/>
        <v/>
      </c>
      <c r="CW126" s="38" t="str">
        <f>IFERROR(__xludf.DUMMYFUNCTION("""COMPUTED_VALUE"""),"")</f>
        <v/>
      </c>
      <c r="CX126" s="144">
        <v>46160.0</v>
      </c>
      <c r="CY126" s="167" t="str">
        <f t="shared" si="28"/>
        <v/>
      </c>
      <c r="CZ126" s="168" t="str">
        <f t="shared" si="337"/>
        <v/>
      </c>
      <c r="DA126" s="169" t="str">
        <f t="shared" si="338"/>
        <v/>
      </c>
      <c r="DB126" s="172" t="str">
        <f t="shared" si="339"/>
        <v/>
      </c>
      <c r="DC126" s="171" t="str">
        <f t="array" ref="DC126">IFERROR(IF(CW126="ac"+ISNUMBER(SEARCH("'",DB126))+DA126="","", IF(ISNUMBER(SEARCH("lw",DB126)), CO126 + SUBSTITUTE(DB126,"lw+",""), MROUND(SWITCH(CW126,"sq",DA$7,"bn",DB$7,"dl",DC$7,"")*IF(DB126&gt;10, DB126/100, VLOOKUP(DB126, _rpe,SUBSTITUTE(DA126,"+","")+1,0)), IF( SWITCH(CW126,"sq",DA$7,"bn",DB$7,"dl", DC$7,"")&lt; IF(_uom="lbs", 175, 80), 1.25, IF(_uom="lbs",5,2.5))))), "")</f>
        <v/>
      </c>
      <c r="DD126" s="148"/>
      <c r="DE126" s="33"/>
      <c r="DF126" s="171"/>
      <c r="DG126" s="124" t="str">
        <f>IFERROR(__xludf.DUMMYFUNCTION("IF(DC126=MAX(FILTER(DC$10:DC$199,LOOKUP(ROW(CW$10:CW$199),FILTER(ROW(CW$10:CW$199),CW$10:CW$199&lt;&gt;CW$9:CW$198))=LOOKUP(ROW(CW126),FILTER(ROW(CW$10:CW$199),CW$10:CW$199&lt;&gt;CW$9:CW$198)))),DD126,)"),"")</f>
        <v/>
      </c>
      <c r="DH126" s="122"/>
      <c r="DI126" s="33"/>
      <c r="DJ126" s="143" t="str">
        <f t="shared" si="23"/>
        <v/>
      </c>
      <c r="DK126" s="38" t="str">
        <f>IFERROR(__xludf.DUMMYFUNCTION("""COMPUTED_VALUE"""),"")</f>
        <v/>
      </c>
      <c r="DL126" s="144">
        <v>46167.0</v>
      </c>
      <c r="DM126" s="167" t="str">
        <f t="shared" ref="DM126:DN126" si="378">IF(ISBLANK(CY126),"",CY126)</f>
        <v/>
      </c>
      <c r="DN126" s="168" t="str">
        <f t="shared" si="378"/>
        <v/>
      </c>
      <c r="DO126" s="169" t="str">
        <f t="shared" si="341"/>
        <v/>
      </c>
      <c r="DP126" s="172" t="str">
        <f t="shared" si="342"/>
        <v/>
      </c>
      <c r="DQ126" s="171" t="str">
        <f t="array" ref="DQ126">IFERROR(IF(DK126="ac"+ISNUMBER(SEARCH("'",DP126))+DO126="","", IF(ISNUMBER(SEARCH("lw",DP126)), DC126 + SUBSTITUTE(DP126,"lw+",""), MROUND(SWITCH(DK126,"sq",DO$7,"bn",DP$7,"dl",DQ$7,"")*IF(DP126&gt;10, DP126/100, VLOOKUP(DP126, _rpe,SUBSTITUTE(DO126,"+","")+1,0)), IF( SWITCH(DK126,"sq",DO$7,"bn",DP$7,"dl", DQ$7,"")&lt; IF(_uom="lbs", 175, 80), 1.25, IF(_uom="lbs",5,2.5))))), "")</f>
        <v/>
      </c>
      <c r="DR126" s="148"/>
      <c r="DS126" s="33"/>
      <c r="DT126" s="171"/>
      <c r="DU126" s="124" t="str">
        <f>IFERROR(__xludf.DUMMYFUNCTION("IF(DQ126=MAX(FILTER(DQ$10:DQ$199,LOOKUP(ROW(DK$10:DK$199),FILTER(ROW(DK$10:DK$199),DK$10:DK$199&lt;&gt;DK$9:DK$198))=LOOKUP(ROW(DK126),FILTER(ROW(DK$10:DK$199),DK$10:DK$199&lt;&gt;DK$9:DK$198)))),DR126,)"),"")</f>
        <v/>
      </c>
      <c r="DV126" s="122"/>
      <c r="DW126" s="33"/>
      <c r="DX126" s="143"/>
      <c r="DY126" s="38"/>
      <c r="DZ126" s="144"/>
      <c r="EA126" s="150"/>
      <c r="EB126" s="174"/>
      <c r="EC126" s="175"/>
      <c r="ED126" s="176"/>
      <c r="EE126" s="155"/>
      <c r="EF126" s="148"/>
      <c r="EG126" s="33"/>
      <c r="EH126" s="155"/>
      <c r="EI126" s="148"/>
      <c r="EJ126" s="33"/>
      <c r="EK126" s="33"/>
      <c r="EL126" s="143"/>
      <c r="EM126" s="38"/>
      <c r="EN126" s="144"/>
      <c r="EO126" s="150"/>
      <c r="EP126" s="174"/>
      <c r="EQ126" s="175"/>
      <c r="ER126" s="176"/>
      <c r="ES126" s="155"/>
      <c r="ET126" s="148"/>
      <c r="EU126" s="33"/>
      <c r="EV126" s="155"/>
      <c r="EW126" s="148"/>
      <c r="EX126" s="33"/>
      <c r="EY126" s="33"/>
      <c r="EZ126" s="143"/>
      <c r="FA126" s="38"/>
      <c r="FB126" s="144"/>
      <c r="FC126" s="150"/>
      <c r="FD126" s="174"/>
      <c r="FE126" s="175"/>
      <c r="FF126" s="176"/>
      <c r="FG126" s="155"/>
      <c r="FH126" s="148"/>
      <c r="FI126" s="33"/>
      <c r="FJ126" s="155"/>
      <c r="FK126" s="148"/>
      <c r="FL126" s="33"/>
      <c r="FM126" s="33"/>
      <c r="FN126" s="143"/>
      <c r="FO126" s="38"/>
      <c r="FP126" s="144"/>
      <c r="FQ126" s="150"/>
      <c r="FR126" s="174"/>
      <c r="FS126" s="175"/>
      <c r="FT126" s="176"/>
      <c r="FU126" s="155"/>
      <c r="FV126" s="148"/>
      <c r="FW126" s="33"/>
      <c r="FX126" s="155"/>
      <c r="FY126" s="148"/>
      <c r="FZ126" s="33"/>
      <c r="GA126" s="33"/>
      <c r="GB126" s="143"/>
      <c r="GC126" s="38"/>
      <c r="GD126" s="144"/>
      <c r="GE126" s="150"/>
      <c r="GF126" s="174"/>
      <c r="GG126" s="175"/>
      <c r="GH126" s="176"/>
      <c r="GI126" s="155"/>
      <c r="GJ126" s="148"/>
      <c r="GK126" s="33"/>
      <c r="GL126" s="155"/>
      <c r="GM126" s="148"/>
      <c r="GN126" s="33"/>
      <c r="GO126" s="33"/>
      <c r="GP126" s="143"/>
      <c r="GQ126" s="38"/>
      <c r="GR126" s="144"/>
      <c r="GS126" s="150"/>
      <c r="GT126" s="174"/>
      <c r="GU126" s="175"/>
      <c r="GV126" s="176"/>
      <c r="GW126" s="155"/>
      <c r="GX126" s="148"/>
      <c r="GY126" s="33"/>
      <c r="GZ126" s="155"/>
      <c r="HA126" s="148"/>
      <c r="HB126" s="33"/>
      <c r="HC126" s="33"/>
      <c r="HD126" s="143"/>
      <c r="HE126" s="38"/>
      <c r="HF126" s="144"/>
      <c r="HG126" s="150"/>
      <c r="HH126" s="174"/>
      <c r="HI126" s="175"/>
      <c r="HJ126" s="176"/>
      <c r="HK126" s="155"/>
      <c r="HL126" s="148"/>
      <c r="HM126" s="33"/>
      <c r="HN126" s="155"/>
      <c r="HO126" s="148"/>
      <c r="HP126" s="33"/>
      <c r="HQ126" s="33"/>
      <c r="HR126" s="143"/>
      <c r="HS126" s="38"/>
      <c r="HT126" s="144"/>
      <c r="HU126" s="150"/>
      <c r="HV126" s="174"/>
      <c r="HW126" s="175"/>
      <c r="HX126" s="176"/>
      <c r="HY126" s="155"/>
      <c r="HZ126" s="148"/>
      <c r="IA126" s="33"/>
      <c r="IB126" s="155"/>
      <c r="IC126" s="148"/>
      <c r="ID126" s="33"/>
      <c r="IE126" s="33"/>
      <c r="IF126" s="143"/>
      <c r="IG126" s="38"/>
      <c r="IH126" s="144"/>
      <c r="II126" s="150"/>
      <c r="IJ126" s="174"/>
      <c r="IK126" s="175"/>
      <c r="IL126" s="176"/>
      <c r="IM126" s="155"/>
      <c r="IN126" s="148"/>
      <c r="IO126" s="33"/>
      <c r="IP126" s="155"/>
      <c r="IQ126" s="148"/>
      <c r="IR126" s="33"/>
      <c r="IS126" s="33"/>
      <c r="IT126" s="143"/>
      <c r="IU126" s="38"/>
      <c r="IV126" s="144"/>
      <c r="IW126" s="143"/>
      <c r="IX126" s="38"/>
      <c r="IY126" s="144" t="e">
        <v>#REF!</v>
      </c>
    </row>
    <row r="127">
      <c r="A127" s="33"/>
      <c r="B127" s="181"/>
      <c r="C127" s="38" t="str">
        <f>IFERROR(__xludf.DUMMYFUNCTION("""COMPUTED_VALUE"""),"")</f>
        <v/>
      </c>
      <c r="D127" s="144">
        <v>46111.0</v>
      </c>
      <c r="E127" s="182"/>
      <c r="F127" s="168"/>
      <c r="G127" s="169"/>
      <c r="H127" s="170"/>
      <c r="I127" s="171" t="str">
        <f t="array" ref="I127">IFERROR(IF(C127="ac"+ISNUMBER(SEARCH("'",H127))+G127="","", MROUND(SWITCH(C127,"sq",'Personal Info'!$O$15,"bn",'Personal Info'!$S$15,"dl",'Personal Info'!$W$15,"")*IF(H127&gt;10, H127/100, VLOOKUP(H127, _rpe,SUBSTITUTE(G127,"+","")+1,0)), IF( SWITCH(C127:C210,"sq",'Personal Info'!$O$15,"bn",'Personal Info'!$S$15,"dl", 'Personal Info'!$W$15,"")&lt; IF(_uom="lbs", 175, 80), 1.25, IF(_uom="lbs",5,2.5)))),"")</f>
        <v/>
      </c>
      <c r="J127" s="148"/>
      <c r="K127" s="33"/>
      <c r="L127" s="171"/>
      <c r="M127" s="124" t="str">
        <f>IFERROR(__xludf.DUMMYFUNCTION("IF(I127=MAX(FILTER(I$10:I$199,LOOKUP(ROW(C$10:C$199),FILTER(ROW(C$10:C$199),C$10:C$199&lt;&gt;C$9:C$198))=LOOKUP(ROW(C127),FILTER(ROW(C$10:C$199),C$10:C$199&lt;&gt;C$9:C$198)))),J127,)"),"")</f>
        <v/>
      </c>
      <c r="N127" s="122"/>
      <c r="O127" s="33"/>
      <c r="P127" s="143" t="str">
        <f t="shared" si="12"/>
        <v/>
      </c>
      <c r="Q127" s="38" t="str">
        <f>IFERROR(__xludf.DUMMYFUNCTION("""COMPUTED_VALUE"""),"")</f>
        <v/>
      </c>
      <c r="R127" s="144">
        <v>46118.0</v>
      </c>
      <c r="S127" s="167" t="str">
        <f t="shared" si="13"/>
        <v/>
      </c>
      <c r="T127" s="168" t="str">
        <f t="shared" si="319"/>
        <v/>
      </c>
      <c r="U127" s="169" t="str">
        <f t="shared" si="320"/>
        <v/>
      </c>
      <c r="V127" s="172" t="str">
        <f t="shared" si="321"/>
        <v/>
      </c>
      <c r="W127" s="171" t="str">
        <f t="array" ref="W127">IFERROR(IF(Q127="ac"+ISNUMBER(SEARCH("'",V127))+U127="","", IF(ISNUMBER(SEARCH("lw",V127)), I127 + SUBSTITUTE(V127,"lw+",""), MROUND(SWITCH(Q127,"sq",U$7,"bn",V$7,"dl",W$7,"")*IF(V127&gt;10, V127/100, VLOOKUP(V127, _rpe,SUBSTITUTE(U127,"+","")+1,0)), IF( SWITCH(Q127,"sq",U$7,"bn",V$7,"dl", W$7,"")&lt; IF(_uom="lbs", 175, 80), 1.25, IF(_uom="lbs",5,2.5))))), "")</f>
        <v/>
      </c>
      <c r="X127" s="148"/>
      <c r="Y127" s="33"/>
      <c r="Z127" s="171"/>
      <c r="AA127" s="124" t="str">
        <f>IFERROR(__xludf.DUMMYFUNCTION("IF(W127=MAX(FILTER(W$10:W$199,LOOKUP(ROW(Q$10:Q$199),FILTER(ROW(Q$10:Q$199),Q$10:Q$199&lt;&gt;Q$9:Q$198))=LOOKUP(ROW(Q127),FILTER(ROW(Q$10:Q$199),Q$10:Q$199&lt;&gt;Q$9:Q$198)))),X127,)"),"")</f>
        <v/>
      </c>
      <c r="AB127" s="122"/>
      <c r="AC127" s="33"/>
      <c r="AD127" s="143" t="str">
        <f t="shared" si="14"/>
        <v/>
      </c>
      <c r="AE127" s="38" t="str">
        <f>IFERROR(__xludf.DUMMYFUNCTION("""COMPUTED_VALUE"""),"")</f>
        <v/>
      </c>
      <c r="AF127" s="144">
        <v>46125.0</v>
      </c>
      <c r="AG127" s="167" t="str">
        <f t="shared" si="54"/>
        <v/>
      </c>
      <c r="AH127" s="168" t="str">
        <f t="shared" si="322"/>
        <v/>
      </c>
      <c r="AI127" s="169" t="str">
        <f t="shared" si="323"/>
        <v/>
      </c>
      <c r="AJ127" s="172" t="str">
        <f t="shared" si="324"/>
        <v/>
      </c>
      <c r="AK127" s="171" t="str">
        <f t="array" ref="AK127">IFERROR(IF(AE127="ac"+ISNUMBER(SEARCH("'",AJ127))+AI127="","", IF(ISNUMBER(SEARCH("lw",AJ127)), W127 + SUBSTITUTE(AJ127,"lw+",""), MROUND(SWITCH(AE127,"sq",AI$7,"bn",AJ$7,"dl",AK$7,"")*IF(AJ127&gt;10, AJ127/100, VLOOKUP(AJ127, _rpe,SUBSTITUTE(AI127,"+","")+1,0)), IF( SWITCH(AE127,"sq",AI$7,"bn",AJ$7,"dl", AK$7,"")&lt; IF(_uom="lbs", 175, 80), 1.25, IF(_uom="lbs",5,2.5))))), "")</f>
        <v/>
      </c>
      <c r="AL127" s="148"/>
      <c r="AM127" s="33"/>
      <c r="AN127" s="171"/>
      <c r="AO127" s="124" t="str">
        <f>IFERROR(__xludf.DUMMYFUNCTION("IF(AK127=MAX(FILTER(AK$10:AK$199,LOOKUP(ROW(AE$10:AE$199),FILTER(ROW(AE$10:AE$199),AE$10:AE$199&lt;&gt;AE$9:AE$198))=LOOKUP(ROW(AE127),FILTER(ROW(AE$10:AE$199),AE$10:AE$199&lt;&gt;AE$9:AE$198)))),AL127,)"),"")</f>
        <v/>
      </c>
      <c r="AP127" s="122"/>
      <c r="AQ127" s="33"/>
      <c r="AR127" s="143" t="str">
        <f t="shared" si="16"/>
        <v/>
      </c>
      <c r="AS127" s="38" t="str">
        <f>IFERROR(__xludf.DUMMYFUNCTION("""COMPUTED_VALUE"""),"")</f>
        <v/>
      </c>
      <c r="AT127" s="144">
        <v>46132.0</v>
      </c>
      <c r="AU127" s="167" t="str">
        <f t="shared" si="26"/>
        <v/>
      </c>
      <c r="AV127" s="168" t="str">
        <f t="shared" si="325"/>
        <v/>
      </c>
      <c r="AW127" s="169" t="str">
        <f t="shared" si="326"/>
        <v/>
      </c>
      <c r="AX127" s="172" t="str">
        <f t="shared" si="327"/>
        <v/>
      </c>
      <c r="AY127" s="171" t="str">
        <f t="array" ref="AY127">IFERROR(IF(AS127="ac"+ISNUMBER(SEARCH("'",AX127))+AW127="","", IF(ISNUMBER(SEARCH("lw",AX127)), AK127 + SUBSTITUTE(AX127,"lw+",""), MROUND(SWITCH(AS127,"sq",AW$7,"bn",AX$7,"dl",AY$7,"")*IF(AX127&gt;10, AX127/100, VLOOKUP(AX127, _rpe,SUBSTITUTE(AW127,"+","")+1,0)), IF( SWITCH(AS127,"sq",AW$7,"bn",AX$7,"dl", AY$7,"")&lt; IF(_uom="lbs", 175, 80), 1.25, IF(_uom="lbs",5,2.5))))), "")</f>
        <v/>
      </c>
      <c r="AZ127" s="148"/>
      <c r="BA127" s="33"/>
      <c r="BB127" s="171"/>
      <c r="BC127" s="124" t="str">
        <f>IFERROR(__xludf.DUMMYFUNCTION("IF(AY127=MAX(FILTER(AY$10:AY$199,LOOKUP(ROW(AS$10:AS$199),FILTER(ROW(AS$10:AS$199),AS$10:AS$199&lt;&gt;AS$9:AS$198))=LOOKUP(ROW(AS127),FILTER(ROW(AS$10:AS$199),AS$10:AS$199&lt;&gt;AS$9:AS$198)))),AZ127,)"),"")</f>
        <v/>
      </c>
      <c r="BD127" s="122"/>
      <c r="BE127" s="33"/>
      <c r="BF127" s="143" t="str">
        <f t="shared" si="17"/>
        <v/>
      </c>
      <c r="BG127" s="38" t="str">
        <f>IFERROR(__xludf.DUMMYFUNCTION("""COMPUTED_VALUE"""),"")</f>
        <v/>
      </c>
      <c r="BH127" s="144">
        <v>46139.0</v>
      </c>
      <c r="BI127" s="167" t="str">
        <f t="shared" si="18"/>
        <v/>
      </c>
      <c r="BJ127" s="168" t="str">
        <f t="shared" si="328"/>
        <v/>
      </c>
      <c r="BK127" s="169" t="str">
        <f t="shared" si="329"/>
        <v/>
      </c>
      <c r="BL127" s="172" t="str">
        <f t="shared" si="330"/>
        <v/>
      </c>
      <c r="BM127" s="171" t="str">
        <f t="array" ref="BM127">IFERROR(IF(BG127="ac"+ISNUMBER(SEARCH("'",BL127))+BK127="","", IF(ISNUMBER(SEARCH("lw",BL127)), AY127 + SUBSTITUTE(BL127,"lw+",""), MROUND(SWITCH(BG127,"sq",BK$7,"bn",BL$7,"dl",BM$7,"")*IF(BL127&gt;10, BL127/100, VLOOKUP(BL127, _rpe,SUBSTITUTE(BK127,"+","")+1,0)), IF( SWITCH(BG127,"sq",BK$7,"bn",BL$7,"dl", BM$7,"")&lt; IF(_uom="lbs", 175, 80), 1.25, IF(_uom="lbs",5,2.5))))), "")</f>
        <v/>
      </c>
      <c r="BN127" s="148"/>
      <c r="BO127" s="33"/>
      <c r="BP127" s="171"/>
      <c r="BQ127" s="124" t="str">
        <f>IFERROR(__xludf.DUMMYFUNCTION("IF(BM127=MAX(FILTER(BM$10:BM$199,LOOKUP(ROW(BG$10:BG$199),FILTER(ROW(BG$10:BG$199),BG$10:BG$199&lt;&gt;BG$9:BG$198))=LOOKUP(ROW(BG127),FILTER(ROW(BG$10:BG$199),BG$10:BG$199&lt;&gt;BG$9:BG$198)))),BN127,)"),"")</f>
        <v/>
      </c>
      <c r="BR127" s="122"/>
      <c r="BS127" s="33"/>
      <c r="BT127" s="143" t="str">
        <f t="shared" si="19"/>
        <v/>
      </c>
      <c r="BU127" s="38" t="str">
        <f>IFERROR(__xludf.DUMMYFUNCTION("""COMPUTED_VALUE"""),"")</f>
        <v/>
      </c>
      <c r="BV127" s="144">
        <v>46146.0</v>
      </c>
      <c r="BW127" s="167" t="str">
        <f t="shared" si="20"/>
        <v/>
      </c>
      <c r="BX127" s="168" t="str">
        <f t="shared" si="331"/>
        <v/>
      </c>
      <c r="BY127" s="169" t="str">
        <f t="shared" si="332"/>
        <v/>
      </c>
      <c r="BZ127" s="172" t="str">
        <f t="shared" si="333"/>
        <v/>
      </c>
      <c r="CA127" s="171" t="str">
        <f t="array" ref="CA127">IFERROR(IF(BU127="ac"+ISNUMBER(SEARCH("'",BZ127))+BY127="","", IF(ISNUMBER(SEARCH("lw",BZ127)), BM127 + SUBSTITUTE(BZ127,"lw+",""), MROUND(SWITCH(BU127,"sq",BY$7,"bn",BZ$7,"dl",CA$7,"")*IF(BZ127&gt;10, BZ127/100, VLOOKUP(BZ127, _rpe,SUBSTITUTE(BY127,"+","")+1,0)), IF( SWITCH(BU127,"sq",BY$7,"bn",BZ$7,"dl", CA$7,"")&lt; IF(_uom="lbs", 175, 80), 1.25, IF(_uom="lbs",5,2.5))))), "")</f>
        <v/>
      </c>
      <c r="CB127" s="148"/>
      <c r="CC127" s="33"/>
      <c r="CD127" s="171"/>
      <c r="CE127" s="124" t="str">
        <f>IFERROR(__xludf.DUMMYFUNCTION("IF(CA127=MAX(FILTER(CA$10:CA$199,LOOKUP(ROW(BU$10:BU$199),FILTER(ROW(BU$10:BU$199),BU$10:BU$199&lt;&gt;BU$9:BU$198))=LOOKUP(ROW(BU127),FILTER(ROW(BU$10:BU$199),BU$10:BU$199&lt;&gt;BU$9:BU$198)))),CB127,)"),"")</f>
        <v/>
      </c>
      <c r="CF127" s="122"/>
      <c r="CG127" s="33"/>
      <c r="CH127" s="143" t="str">
        <f t="shared" si="21"/>
        <v/>
      </c>
      <c r="CI127" s="38" t="str">
        <f>IFERROR(__xludf.DUMMYFUNCTION("""COMPUTED_VALUE"""),"")</f>
        <v/>
      </c>
      <c r="CJ127" s="144">
        <v>46153.0</v>
      </c>
      <c r="CK127" s="167" t="str">
        <f t="shared" si="27"/>
        <v/>
      </c>
      <c r="CL127" s="168" t="str">
        <f t="shared" si="334"/>
        <v/>
      </c>
      <c r="CM127" s="169" t="str">
        <f t="shared" si="335"/>
        <v/>
      </c>
      <c r="CN127" s="172" t="str">
        <f t="shared" si="336"/>
        <v/>
      </c>
      <c r="CO127" s="171" t="str">
        <f t="array" ref="CO127">IFERROR(IF(CI127="ac"+ISNUMBER(SEARCH("'",CN127))+CM127="","", IF(ISNUMBER(SEARCH("lw",CN127)), CA127 + SUBSTITUTE(CN127,"lw+",""), MROUND(SWITCH(CI127,"sq",CM$7,"bn",CN$7,"dl",CO$7,"")*IF(CN127&gt;10, CN127/100, VLOOKUP(CN127, _rpe,SUBSTITUTE(CM127,"+","")+1,0)), IF( SWITCH(CI127,"sq",CM$7,"bn",CN$7,"dl", CO$7,"")&lt; IF(_uom="lbs", 175, 80), 1.25, IF(_uom="lbs",5,2.5))))), "")</f>
        <v/>
      </c>
      <c r="CP127" s="148"/>
      <c r="CQ127" s="33"/>
      <c r="CR127" s="171"/>
      <c r="CS127" s="124" t="str">
        <f>IFERROR(__xludf.DUMMYFUNCTION("IF(CO127=MAX(FILTER(CO$10:CO$199,LOOKUP(ROW(CI$10:CI$199),FILTER(ROW(CI$10:CI$199),CI$10:CI$199&lt;&gt;CI$9:CI$198))=LOOKUP(ROW(CI127),FILTER(ROW(CI$10:CI$199),CI$10:CI$199&lt;&gt;CI$9:CI$198)))),CP127,)"),"")</f>
        <v/>
      </c>
      <c r="CT127" s="122"/>
      <c r="CU127" s="33"/>
      <c r="CV127" s="143" t="str">
        <f t="shared" si="22"/>
        <v/>
      </c>
      <c r="CW127" s="38" t="str">
        <f>IFERROR(__xludf.DUMMYFUNCTION("""COMPUTED_VALUE"""),"")</f>
        <v/>
      </c>
      <c r="CX127" s="144">
        <v>46160.0</v>
      </c>
      <c r="CY127" s="167" t="str">
        <f t="shared" si="28"/>
        <v/>
      </c>
      <c r="CZ127" s="168" t="str">
        <f t="shared" si="337"/>
        <v/>
      </c>
      <c r="DA127" s="169" t="str">
        <f t="shared" si="338"/>
        <v/>
      </c>
      <c r="DB127" s="172" t="str">
        <f t="shared" si="339"/>
        <v/>
      </c>
      <c r="DC127" s="171" t="str">
        <f t="array" ref="DC127">IFERROR(IF(CW127="ac"+ISNUMBER(SEARCH("'",DB127))+DA127="","", IF(ISNUMBER(SEARCH("lw",DB127)), CO127 + SUBSTITUTE(DB127,"lw+",""), MROUND(SWITCH(CW127,"sq",DA$7,"bn",DB$7,"dl",DC$7,"")*IF(DB127&gt;10, DB127/100, VLOOKUP(DB127, _rpe,SUBSTITUTE(DA127,"+","")+1,0)), IF( SWITCH(CW127,"sq",DA$7,"bn",DB$7,"dl", DC$7,"")&lt; IF(_uom="lbs", 175, 80), 1.25, IF(_uom="lbs",5,2.5))))), "")</f>
        <v/>
      </c>
      <c r="DD127" s="148"/>
      <c r="DE127" s="33"/>
      <c r="DF127" s="171"/>
      <c r="DG127" s="124" t="str">
        <f>IFERROR(__xludf.DUMMYFUNCTION("IF(DC127=MAX(FILTER(DC$10:DC$199,LOOKUP(ROW(CW$10:CW$199),FILTER(ROW(CW$10:CW$199),CW$10:CW$199&lt;&gt;CW$9:CW$198))=LOOKUP(ROW(CW127),FILTER(ROW(CW$10:CW$199),CW$10:CW$199&lt;&gt;CW$9:CW$198)))),DD127,)"),"")</f>
        <v/>
      </c>
      <c r="DH127" s="122"/>
      <c r="DI127" s="33"/>
      <c r="DJ127" s="143" t="str">
        <f t="shared" si="23"/>
        <v/>
      </c>
      <c r="DK127" s="38" t="str">
        <f>IFERROR(__xludf.DUMMYFUNCTION("""COMPUTED_VALUE"""),"")</f>
        <v/>
      </c>
      <c r="DL127" s="144">
        <v>46167.0</v>
      </c>
      <c r="DM127" s="167" t="str">
        <f t="shared" ref="DM127:DN127" si="379">IF(ISBLANK(CY127),"",CY127)</f>
        <v/>
      </c>
      <c r="DN127" s="168" t="str">
        <f t="shared" si="379"/>
        <v/>
      </c>
      <c r="DO127" s="169" t="str">
        <f t="shared" si="341"/>
        <v/>
      </c>
      <c r="DP127" s="172" t="str">
        <f t="shared" si="342"/>
        <v/>
      </c>
      <c r="DQ127" s="171" t="str">
        <f t="array" ref="DQ127">IFERROR(IF(DK127="ac"+ISNUMBER(SEARCH("'",DP127))+DO127="","", IF(ISNUMBER(SEARCH("lw",DP127)), DC127 + SUBSTITUTE(DP127,"lw+",""), MROUND(SWITCH(DK127,"sq",DO$7,"bn",DP$7,"dl",DQ$7,"")*IF(DP127&gt;10, DP127/100, VLOOKUP(DP127, _rpe,SUBSTITUTE(DO127,"+","")+1,0)), IF( SWITCH(DK127,"sq",DO$7,"bn",DP$7,"dl", DQ$7,"")&lt; IF(_uom="lbs", 175, 80), 1.25, IF(_uom="lbs",5,2.5))))), "")</f>
        <v/>
      </c>
      <c r="DR127" s="148"/>
      <c r="DS127" s="33"/>
      <c r="DT127" s="171"/>
      <c r="DU127" s="124" t="str">
        <f>IFERROR(__xludf.DUMMYFUNCTION("IF(DQ127=MAX(FILTER(DQ$10:DQ$199,LOOKUP(ROW(DK$10:DK$199),FILTER(ROW(DK$10:DK$199),DK$10:DK$199&lt;&gt;DK$9:DK$198))=LOOKUP(ROW(DK127),FILTER(ROW(DK$10:DK$199),DK$10:DK$199&lt;&gt;DK$9:DK$198)))),DR127,)"),"")</f>
        <v/>
      </c>
      <c r="DV127" s="122"/>
      <c r="DW127" s="33"/>
      <c r="DX127" s="143"/>
      <c r="DY127" s="38"/>
      <c r="DZ127" s="144"/>
      <c r="EA127" s="150"/>
      <c r="EB127" s="174"/>
      <c r="EC127" s="175"/>
      <c r="ED127" s="176"/>
      <c r="EE127" s="155"/>
      <c r="EF127" s="148"/>
      <c r="EG127" s="33"/>
      <c r="EH127" s="155"/>
      <c r="EI127" s="148"/>
      <c r="EJ127" s="33"/>
      <c r="EK127" s="33"/>
      <c r="EL127" s="143"/>
      <c r="EM127" s="38"/>
      <c r="EN127" s="144"/>
      <c r="EO127" s="150"/>
      <c r="EP127" s="174"/>
      <c r="EQ127" s="175"/>
      <c r="ER127" s="176"/>
      <c r="ES127" s="155"/>
      <c r="ET127" s="148"/>
      <c r="EU127" s="33"/>
      <c r="EV127" s="155"/>
      <c r="EW127" s="148"/>
      <c r="EX127" s="33"/>
      <c r="EY127" s="33"/>
      <c r="EZ127" s="143"/>
      <c r="FA127" s="38"/>
      <c r="FB127" s="144"/>
      <c r="FC127" s="150"/>
      <c r="FD127" s="174"/>
      <c r="FE127" s="175"/>
      <c r="FF127" s="176"/>
      <c r="FG127" s="155"/>
      <c r="FH127" s="148"/>
      <c r="FI127" s="33"/>
      <c r="FJ127" s="155"/>
      <c r="FK127" s="148"/>
      <c r="FL127" s="33"/>
      <c r="FM127" s="33"/>
      <c r="FN127" s="143"/>
      <c r="FO127" s="38"/>
      <c r="FP127" s="144"/>
      <c r="FQ127" s="150"/>
      <c r="FR127" s="174"/>
      <c r="FS127" s="175"/>
      <c r="FT127" s="176"/>
      <c r="FU127" s="155"/>
      <c r="FV127" s="148"/>
      <c r="FW127" s="33"/>
      <c r="FX127" s="155"/>
      <c r="FY127" s="148"/>
      <c r="FZ127" s="33"/>
      <c r="GA127" s="33"/>
      <c r="GB127" s="143"/>
      <c r="GC127" s="38"/>
      <c r="GD127" s="144"/>
      <c r="GE127" s="150"/>
      <c r="GF127" s="174"/>
      <c r="GG127" s="175"/>
      <c r="GH127" s="176"/>
      <c r="GI127" s="155"/>
      <c r="GJ127" s="148"/>
      <c r="GK127" s="33"/>
      <c r="GL127" s="155"/>
      <c r="GM127" s="148"/>
      <c r="GN127" s="33"/>
      <c r="GO127" s="33"/>
      <c r="GP127" s="143"/>
      <c r="GQ127" s="38"/>
      <c r="GR127" s="144"/>
      <c r="GS127" s="150"/>
      <c r="GT127" s="174"/>
      <c r="GU127" s="175"/>
      <c r="GV127" s="176"/>
      <c r="GW127" s="155"/>
      <c r="GX127" s="148"/>
      <c r="GY127" s="33"/>
      <c r="GZ127" s="155"/>
      <c r="HA127" s="148"/>
      <c r="HB127" s="33"/>
      <c r="HC127" s="33"/>
      <c r="HD127" s="143"/>
      <c r="HE127" s="38"/>
      <c r="HF127" s="144"/>
      <c r="HG127" s="150"/>
      <c r="HH127" s="174"/>
      <c r="HI127" s="175"/>
      <c r="HJ127" s="176"/>
      <c r="HK127" s="155"/>
      <c r="HL127" s="148"/>
      <c r="HM127" s="33"/>
      <c r="HN127" s="155"/>
      <c r="HO127" s="148"/>
      <c r="HP127" s="33"/>
      <c r="HQ127" s="33"/>
      <c r="HR127" s="143"/>
      <c r="HS127" s="38"/>
      <c r="HT127" s="144"/>
      <c r="HU127" s="150"/>
      <c r="HV127" s="174"/>
      <c r="HW127" s="175"/>
      <c r="HX127" s="176"/>
      <c r="HY127" s="155"/>
      <c r="HZ127" s="148"/>
      <c r="IA127" s="33"/>
      <c r="IB127" s="155"/>
      <c r="IC127" s="148"/>
      <c r="ID127" s="33"/>
      <c r="IE127" s="33"/>
      <c r="IF127" s="143"/>
      <c r="IG127" s="38"/>
      <c r="IH127" s="144"/>
      <c r="II127" s="150"/>
      <c r="IJ127" s="174"/>
      <c r="IK127" s="175"/>
      <c r="IL127" s="176"/>
      <c r="IM127" s="155"/>
      <c r="IN127" s="148"/>
      <c r="IO127" s="33"/>
      <c r="IP127" s="155"/>
      <c r="IQ127" s="148"/>
      <c r="IR127" s="33"/>
      <c r="IS127" s="33"/>
      <c r="IT127" s="143"/>
      <c r="IU127" s="38"/>
      <c r="IV127" s="144"/>
      <c r="IW127" s="143"/>
      <c r="IX127" s="38"/>
      <c r="IY127" s="144" t="e">
        <v>#REF!</v>
      </c>
    </row>
    <row r="128">
      <c r="A128" s="33"/>
      <c r="B128" s="181"/>
      <c r="C128" s="38" t="str">
        <f>IFERROR(__xludf.DUMMYFUNCTION("""COMPUTED_VALUE"""),"")</f>
        <v/>
      </c>
      <c r="D128" s="144">
        <v>46111.0</v>
      </c>
      <c r="E128" s="182"/>
      <c r="F128" s="168"/>
      <c r="G128" s="169"/>
      <c r="H128" s="170"/>
      <c r="I128" s="171" t="str">
        <f t="array" ref="I128">IFERROR(IF(C128="ac"+ISNUMBER(SEARCH("'",H128))+G128="","", MROUND(SWITCH(C128,"sq",'Personal Info'!$O$15,"bn",'Personal Info'!$S$15,"dl",'Personal Info'!$W$15,"")*IF(H128&gt;10, H128/100, VLOOKUP(H128, _rpe,SUBSTITUTE(G128,"+","")+1,0)), IF( SWITCH(C128:C210,"sq",'Personal Info'!$O$15,"bn",'Personal Info'!$S$15,"dl", 'Personal Info'!$W$15,"")&lt; IF(_uom="lbs", 175, 80), 1.25, IF(_uom="lbs",5,2.5)))),"")</f>
        <v/>
      </c>
      <c r="J128" s="148"/>
      <c r="K128" s="33"/>
      <c r="L128" s="171"/>
      <c r="M128" s="124" t="str">
        <f>IFERROR(__xludf.DUMMYFUNCTION("IF(I128=MAX(FILTER(I$10:I$199,LOOKUP(ROW(C$10:C$199),FILTER(ROW(C$10:C$199),C$10:C$199&lt;&gt;C$9:C$198))=LOOKUP(ROW(C128),FILTER(ROW(C$10:C$199),C$10:C$199&lt;&gt;C$9:C$198)))),J128,)"),"")</f>
        <v/>
      </c>
      <c r="N128" s="122"/>
      <c r="O128" s="33"/>
      <c r="P128" s="143" t="str">
        <f t="shared" si="12"/>
        <v/>
      </c>
      <c r="Q128" s="38" t="str">
        <f>IFERROR(__xludf.DUMMYFUNCTION("""COMPUTED_VALUE"""),"")</f>
        <v/>
      </c>
      <c r="R128" s="144">
        <v>46118.0</v>
      </c>
      <c r="S128" s="167" t="str">
        <f t="shared" si="13"/>
        <v/>
      </c>
      <c r="T128" s="168" t="str">
        <f t="shared" si="319"/>
        <v/>
      </c>
      <c r="U128" s="169" t="str">
        <f t="shared" si="320"/>
        <v/>
      </c>
      <c r="V128" s="172" t="str">
        <f t="shared" si="321"/>
        <v/>
      </c>
      <c r="W128" s="171" t="str">
        <f t="array" ref="W128">IFERROR(IF(Q128="ac"+ISNUMBER(SEARCH("'",V128))+U128="","", IF(ISNUMBER(SEARCH("lw",V128)), I128 + SUBSTITUTE(V128,"lw+",""), MROUND(SWITCH(Q128,"sq",U$7,"bn",V$7,"dl",W$7,"")*IF(V128&gt;10, V128/100, VLOOKUP(V128, _rpe,SUBSTITUTE(U128,"+","")+1,0)), IF( SWITCH(Q128,"sq",U$7,"bn",V$7,"dl", W$7,"")&lt; IF(_uom="lbs", 175, 80), 1.25, IF(_uom="lbs",5,2.5))))), "")</f>
        <v/>
      </c>
      <c r="X128" s="148"/>
      <c r="Y128" s="33"/>
      <c r="Z128" s="171"/>
      <c r="AA128" s="124" t="str">
        <f>IFERROR(__xludf.DUMMYFUNCTION("IF(W128=MAX(FILTER(W$10:W$199,LOOKUP(ROW(Q$10:Q$199),FILTER(ROW(Q$10:Q$199),Q$10:Q$199&lt;&gt;Q$9:Q$198))=LOOKUP(ROW(Q128),FILTER(ROW(Q$10:Q$199),Q$10:Q$199&lt;&gt;Q$9:Q$198)))),X128,)"),"")</f>
        <v/>
      </c>
      <c r="AB128" s="122"/>
      <c r="AC128" s="33"/>
      <c r="AD128" s="143" t="str">
        <f t="shared" si="14"/>
        <v/>
      </c>
      <c r="AE128" s="38" t="str">
        <f>IFERROR(__xludf.DUMMYFUNCTION("""COMPUTED_VALUE"""),"")</f>
        <v/>
      </c>
      <c r="AF128" s="144">
        <v>46125.0</v>
      </c>
      <c r="AG128" s="167" t="str">
        <f t="shared" si="54"/>
        <v/>
      </c>
      <c r="AH128" s="168" t="str">
        <f t="shared" si="322"/>
        <v/>
      </c>
      <c r="AI128" s="169" t="str">
        <f t="shared" si="323"/>
        <v/>
      </c>
      <c r="AJ128" s="172" t="str">
        <f t="shared" si="324"/>
        <v/>
      </c>
      <c r="AK128" s="171" t="str">
        <f t="array" ref="AK128">IFERROR(IF(AE128="ac"+ISNUMBER(SEARCH("'",AJ128))+AI128="","", IF(ISNUMBER(SEARCH("lw",AJ128)), W128 + SUBSTITUTE(AJ128,"lw+",""), MROUND(SWITCH(AE128,"sq",AI$7,"bn",AJ$7,"dl",AK$7,"")*IF(AJ128&gt;10, AJ128/100, VLOOKUP(AJ128, _rpe,SUBSTITUTE(AI128,"+","")+1,0)), IF( SWITCH(AE128,"sq",AI$7,"bn",AJ$7,"dl", AK$7,"")&lt; IF(_uom="lbs", 175, 80), 1.25, IF(_uom="lbs",5,2.5))))), "")</f>
        <v/>
      </c>
      <c r="AL128" s="148"/>
      <c r="AM128" s="33"/>
      <c r="AN128" s="171"/>
      <c r="AO128" s="124" t="str">
        <f>IFERROR(__xludf.DUMMYFUNCTION("IF(AK128=MAX(FILTER(AK$10:AK$199,LOOKUP(ROW(AE$10:AE$199),FILTER(ROW(AE$10:AE$199),AE$10:AE$199&lt;&gt;AE$9:AE$198))=LOOKUP(ROW(AE128),FILTER(ROW(AE$10:AE$199),AE$10:AE$199&lt;&gt;AE$9:AE$198)))),AL128,)"),"")</f>
        <v/>
      </c>
      <c r="AP128" s="122"/>
      <c r="AQ128" s="33"/>
      <c r="AR128" s="143" t="str">
        <f t="shared" si="16"/>
        <v/>
      </c>
      <c r="AS128" s="38" t="str">
        <f>IFERROR(__xludf.DUMMYFUNCTION("""COMPUTED_VALUE"""),"")</f>
        <v/>
      </c>
      <c r="AT128" s="144">
        <v>46132.0</v>
      </c>
      <c r="AU128" s="167" t="str">
        <f t="shared" si="26"/>
        <v/>
      </c>
      <c r="AV128" s="168" t="str">
        <f t="shared" si="325"/>
        <v/>
      </c>
      <c r="AW128" s="169" t="str">
        <f t="shared" si="326"/>
        <v/>
      </c>
      <c r="AX128" s="172" t="str">
        <f t="shared" si="327"/>
        <v/>
      </c>
      <c r="AY128" s="171" t="str">
        <f t="array" ref="AY128">IFERROR(IF(AS128="ac"+ISNUMBER(SEARCH("'",AX128))+AW128="","", IF(ISNUMBER(SEARCH("lw",AX128)), AK128 + SUBSTITUTE(AX128,"lw+",""), MROUND(SWITCH(AS128,"sq",AW$7,"bn",AX$7,"dl",AY$7,"")*IF(AX128&gt;10, AX128/100, VLOOKUP(AX128, _rpe,SUBSTITUTE(AW128,"+","")+1,0)), IF( SWITCH(AS128,"sq",AW$7,"bn",AX$7,"dl", AY$7,"")&lt; IF(_uom="lbs", 175, 80), 1.25, IF(_uom="lbs",5,2.5))))), "")</f>
        <v/>
      </c>
      <c r="AZ128" s="148"/>
      <c r="BA128" s="33"/>
      <c r="BB128" s="171"/>
      <c r="BC128" s="124" t="str">
        <f>IFERROR(__xludf.DUMMYFUNCTION("IF(AY128=MAX(FILTER(AY$10:AY$199,LOOKUP(ROW(AS$10:AS$199),FILTER(ROW(AS$10:AS$199),AS$10:AS$199&lt;&gt;AS$9:AS$198))=LOOKUP(ROW(AS128),FILTER(ROW(AS$10:AS$199),AS$10:AS$199&lt;&gt;AS$9:AS$198)))),AZ128,)"),"")</f>
        <v/>
      </c>
      <c r="BD128" s="122"/>
      <c r="BE128" s="33"/>
      <c r="BF128" s="143" t="str">
        <f t="shared" si="17"/>
        <v/>
      </c>
      <c r="BG128" s="38" t="str">
        <f>IFERROR(__xludf.DUMMYFUNCTION("""COMPUTED_VALUE"""),"")</f>
        <v/>
      </c>
      <c r="BH128" s="144">
        <v>46139.0</v>
      </c>
      <c r="BI128" s="167" t="str">
        <f t="shared" si="18"/>
        <v/>
      </c>
      <c r="BJ128" s="168" t="str">
        <f t="shared" si="328"/>
        <v/>
      </c>
      <c r="BK128" s="169" t="str">
        <f t="shared" si="329"/>
        <v/>
      </c>
      <c r="BL128" s="172" t="str">
        <f t="shared" si="330"/>
        <v/>
      </c>
      <c r="BM128" s="171" t="str">
        <f t="array" ref="BM128">IFERROR(IF(BG128="ac"+ISNUMBER(SEARCH("'",BL128))+BK128="","", IF(ISNUMBER(SEARCH("lw",BL128)), AY128 + SUBSTITUTE(BL128,"lw+",""), MROUND(SWITCH(BG128,"sq",BK$7,"bn",BL$7,"dl",BM$7,"")*IF(BL128&gt;10, BL128/100, VLOOKUP(BL128, _rpe,SUBSTITUTE(BK128,"+","")+1,0)), IF( SWITCH(BG128,"sq",BK$7,"bn",BL$7,"dl", BM$7,"")&lt; IF(_uom="lbs", 175, 80), 1.25, IF(_uom="lbs",5,2.5))))), "")</f>
        <v/>
      </c>
      <c r="BN128" s="148"/>
      <c r="BO128" s="33"/>
      <c r="BP128" s="171"/>
      <c r="BQ128" s="124" t="str">
        <f>IFERROR(__xludf.DUMMYFUNCTION("IF(BM128=MAX(FILTER(BM$10:BM$199,LOOKUP(ROW(BG$10:BG$199),FILTER(ROW(BG$10:BG$199),BG$10:BG$199&lt;&gt;BG$9:BG$198))=LOOKUP(ROW(BG128),FILTER(ROW(BG$10:BG$199),BG$10:BG$199&lt;&gt;BG$9:BG$198)))),BN128,)"),"")</f>
        <v/>
      </c>
      <c r="BR128" s="122"/>
      <c r="BS128" s="33"/>
      <c r="BT128" s="143" t="str">
        <f t="shared" si="19"/>
        <v/>
      </c>
      <c r="BU128" s="38" t="str">
        <f>IFERROR(__xludf.DUMMYFUNCTION("""COMPUTED_VALUE"""),"")</f>
        <v/>
      </c>
      <c r="BV128" s="144">
        <v>46146.0</v>
      </c>
      <c r="BW128" s="167" t="str">
        <f t="shared" si="20"/>
        <v/>
      </c>
      <c r="BX128" s="168" t="str">
        <f t="shared" si="331"/>
        <v/>
      </c>
      <c r="BY128" s="169" t="str">
        <f t="shared" si="332"/>
        <v/>
      </c>
      <c r="BZ128" s="172" t="str">
        <f t="shared" si="333"/>
        <v/>
      </c>
      <c r="CA128" s="171" t="str">
        <f t="array" ref="CA128">IFERROR(IF(BU128="ac"+ISNUMBER(SEARCH("'",BZ128))+BY128="","", IF(ISNUMBER(SEARCH("lw",BZ128)), BM128 + SUBSTITUTE(BZ128,"lw+",""), MROUND(SWITCH(BU128,"sq",BY$7,"bn",BZ$7,"dl",CA$7,"")*IF(BZ128&gt;10, BZ128/100, VLOOKUP(BZ128, _rpe,SUBSTITUTE(BY128,"+","")+1,0)), IF( SWITCH(BU128,"sq",BY$7,"bn",BZ$7,"dl", CA$7,"")&lt; IF(_uom="lbs", 175, 80), 1.25, IF(_uom="lbs",5,2.5))))), "")</f>
        <v/>
      </c>
      <c r="CB128" s="148"/>
      <c r="CC128" s="33"/>
      <c r="CD128" s="171"/>
      <c r="CE128" s="124" t="str">
        <f>IFERROR(__xludf.DUMMYFUNCTION("IF(CA128=MAX(FILTER(CA$10:CA$199,LOOKUP(ROW(BU$10:BU$199),FILTER(ROW(BU$10:BU$199),BU$10:BU$199&lt;&gt;BU$9:BU$198))=LOOKUP(ROW(BU128),FILTER(ROW(BU$10:BU$199),BU$10:BU$199&lt;&gt;BU$9:BU$198)))),CB128,)"),"")</f>
        <v/>
      </c>
      <c r="CF128" s="122"/>
      <c r="CG128" s="33"/>
      <c r="CH128" s="143" t="str">
        <f t="shared" si="21"/>
        <v/>
      </c>
      <c r="CI128" s="38" t="str">
        <f>IFERROR(__xludf.DUMMYFUNCTION("""COMPUTED_VALUE"""),"")</f>
        <v/>
      </c>
      <c r="CJ128" s="144">
        <v>46153.0</v>
      </c>
      <c r="CK128" s="167" t="str">
        <f t="shared" si="27"/>
        <v/>
      </c>
      <c r="CL128" s="168" t="str">
        <f t="shared" si="334"/>
        <v/>
      </c>
      <c r="CM128" s="169" t="str">
        <f t="shared" si="335"/>
        <v/>
      </c>
      <c r="CN128" s="172" t="str">
        <f t="shared" si="336"/>
        <v/>
      </c>
      <c r="CO128" s="171" t="str">
        <f t="array" ref="CO128">IFERROR(IF(CI128="ac"+ISNUMBER(SEARCH("'",CN128))+CM128="","", IF(ISNUMBER(SEARCH("lw",CN128)), CA128 + SUBSTITUTE(CN128,"lw+",""), MROUND(SWITCH(CI128,"sq",CM$7,"bn",CN$7,"dl",CO$7,"")*IF(CN128&gt;10, CN128/100, VLOOKUP(CN128, _rpe,SUBSTITUTE(CM128,"+","")+1,0)), IF( SWITCH(CI128,"sq",CM$7,"bn",CN$7,"dl", CO$7,"")&lt; IF(_uom="lbs", 175, 80), 1.25, IF(_uom="lbs",5,2.5))))), "")</f>
        <v/>
      </c>
      <c r="CP128" s="148"/>
      <c r="CQ128" s="33"/>
      <c r="CR128" s="171"/>
      <c r="CS128" s="124" t="str">
        <f>IFERROR(__xludf.DUMMYFUNCTION("IF(CO128=MAX(FILTER(CO$10:CO$199,LOOKUP(ROW(CI$10:CI$199),FILTER(ROW(CI$10:CI$199),CI$10:CI$199&lt;&gt;CI$9:CI$198))=LOOKUP(ROW(CI128),FILTER(ROW(CI$10:CI$199),CI$10:CI$199&lt;&gt;CI$9:CI$198)))),CP128,)"),"")</f>
        <v/>
      </c>
      <c r="CT128" s="122"/>
      <c r="CU128" s="33"/>
      <c r="CV128" s="143" t="str">
        <f t="shared" si="22"/>
        <v/>
      </c>
      <c r="CW128" s="38" t="str">
        <f>IFERROR(__xludf.DUMMYFUNCTION("""COMPUTED_VALUE"""),"")</f>
        <v/>
      </c>
      <c r="CX128" s="144">
        <v>46160.0</v>
      </c>
      <c r="CY128" s="167" t="str">
        <f t="shared" si="28"/>
        <v/>
      </c>
      <c r="CZ128" s="168" t="str">
        <f t="shared" si="337"/>
        <v/>
      </c>
      <c r="DA128" s="169" t="str">
        <f t="shared" si="338"/>
        <v/>
      </c>
      <c r="DB128" s="172" t="str">
        <f t="shared" si="339"/>
        <v/>
      </c>
      <c r="DC128" s="171" t="str">
        <f t="array" ref="DC128">IFERROR(IF(CW128="ac"+ISNUMBER(SEARCH("'",DB128))+DA128="","", IF(ISNUMBER(SEARCH("lw",DB128)), CO128 + SUBSTITUTE(DB128,"lw+",""), MROUND(SWITCH(CW128,"sq",DA$7,"bn",DB$7,"dl",DC$7,"")*IF(DB128&gt;10, DB128/100, VLOOKUP(DB128, _rpe,SUBSTITUTE(DA128,"+","")+1,0)), IF( SWITCH(CW128,"sq",DA$7,"bn",DB$7,"dl", DC$7,"")&lt; IF(_uom="lbs", 175, 80), 1.25, IF(_uom="lbs",5,2.5))))), "")</f>
        <v/>
      </c>
      <c r="DD128" s="148"/>
      <c r="DE128" s="33"/>
      <c r="DF128" s="171"/>
      <c r="DG128" s="124" t="str">
        <f>IFERROR(__xludf.DUMMYFUNCTION("IF(DC128=MAX(FILTER(DC$10:DC$199,LOOKUP(ROW(CW$10:CW$199),FILTER(ROW(CW$10:CW$199),CW$10:CW$199&lt;&gt;CW$9:CW$198))=LOOKUP(ROW(CW128),FILTER(ROW(CW$10:CW$199),CW$10:CW$199&lt;&gt;CW$9:CW$198)))),DD128,)"),"")</f>
        <v/>
      </c>
      <c r="DH128" s="122"/>
      <c r="DI128" s="33"/>
      <c r="DJ128" s="143" t="str">
        <f t="shared" si="23"/>
        <v/>
      </c>
      <c r="DK128" s="38" t="str">
        <f>IFERROR(__xludf.DUMMYFUNCTION("""COMPUTED_VALUE"""),"")</f>
        <v/>
      </c>
      <c r="DL128" s="144">
        <v>46167.0</v>
      </c>
      <c r="DM128" s="167" t="str">
        <f t="shared" ref="DM128:DN128" si="380">IF(ISBLANK(CY128),"",CY128)</f>
        <v/>
      </c>
      <c r="DN128" s="168" t="str">
        <f t="shared" si="380"/>
        <v/>
      </c>
      <c r="DO128" s="169" t="str">
        <f t="shared" si="341"/>
        <v/>
      </c>
      <c r="DP128" s="172" t="str">
        <f t="shared" si="342"/>
        <v/>
      </c>
      <c r="DQ128" s="171" t="str">
        <f t="array" ref="DQ128">IFERROR(IF(DK128="ac"+ISNUMBER(SEARCH("'",DP128))+DO128="","", IF(ISNUMBER(SEARCH("lw",DP128)), DC128 + SUBSTITUTE(DP128,"lw+",""), MROUND(SWITCH(DK128,"sq",DO$7,"bn",DP$7,"dl",DQ$7,"")*IF(DP128&gt;10, DP128/100, VLOOKUP(DP128, _rpe,SUBSTITUTE(DO128,"+","")+1,0)), IF( SWITCH(DK128,"sq",DO$7,"bn",DP$7,"dl", DQ$7,"")&lt; IF(_uom="lbs", 175, 80), 1.25, IF(_uom="lbs",5,2.5))))), "")</f>
        <v/>
      </c>
      <c r="DR128" s="148"/>
      <c r="DS128" s="33"/>
      <c r="DT128" s="171"/>
      <c r="DU128" s="124" t="str">
        <f>IFERROR(__xludf.DUMMYFUNCTION("IF(DQ128=MAX(FILTER(DQ$10:DQ$199,LOOKUP(ROW(DK$10:DK$199),FILTER(ROW(DK$10:DK$199),DK$10:DK$199&lt;&gt;DK$9:DK$198))=LOOKUP(ROW(DK128),FILTER(ROW(DK$10:DK$199),DK$10:DK$199&lt;&gt;DK$9:DK$198)))),DR128,)"),"")</f>
        <v/>
      </c>
      <c r="DV128" s="122"/>
      <c r="DW128" s="33"/>
      <c r="DX128" s="143"/>
      <c r="DY128" s="38"/>
      <c r="DZ128" s="144"/>
      <c r="EA128" s="150"/>
      <c r="EB128" s="174"/>
      <c r="EC128" s="175"/>
      <c r="ED128" s="176"/>
      <c r="EE128" s="155"/>
      <c r="EF128" s="148"/>
      <c r="EG128" s="33"/>
      <c r="EH128" s="155"/>
      <c r="EI128" s="148"/>
      <c r="EJ128" s="33"/>
      <c r="EK128" s="33"/>
      <c r="EL128" s="143"/>
      <c r="EM128" s="38"/>
      <c r="EN128" s="144"/>
      <c r="EO128" s="150"/>
      <c r="EP128" s="174"/>
      <c r="EQ128" s="175"/>
      <c r="ER128" s="176"/>
      <c r="ES128" s="155"/>
      <c r="ET128" s="148"/>
      <c r="EU128" s="33"/>
      <c r="EV128" s="155"/>
      <c r="EW128" s="148"/>
      <c r="EX128" s="33"/>
      <c r="EY128" s="33"/>
      <c r="EZ128" s="143"/>
      <c r="FA128" s="38"/>
      <c r="FB128" s="144"/>
      <c r="FC128" s="150"/>
      <c r="FD128" s="174"/>
      <c r="FE128" s="175"/>
      <c r="FF128" s="176"/>
      <c r="FG128" s="155"/>
      <c r="FH128" s="148"/>
      <c r="FI128" s="33"/>
      <c r="FJ128" s="155"/>
      <c r="FK128" s="148"/>
      <c r="FL128" s="33"/>
      <c r="FM128" s="33"/>
      <c r="FN128" s="143"/>
      <c r="FO128" s="38"/>
      <c r="FP128" s="144"/>
      <c r="FQ128" s="150"/>
      <c r="FR128" s="174"/>
      <c r="FS128" s="175"/>
      <c r="FT128" s="176"/>
      <c r="FU128" s="155"/>
      <c r="FV128" s="148"/>
      <c r="FW128" s="33"/>
      <c r="FX128" s="155"/>
      <c r="FY128" s="148"/>
      <c r="FZ128" s="33"/>
      <c r="GA128" s="33"/>
      <c r="GB128" s="143"/>
      <c r="GC128" s="38"/>
      <c r="GD128" s="144"/>
      <c r="GE128" s="150"/>
      <c r="GF128" s="174"/>
      <c r="GG128" s="175"/>
      <c r="GH128" s="176"/>
      <c r="GI128" s="155"/>
      <c r="GJ128" s="148"/>
      <c r="GK128" s="33"/>
      <c r="GL128" s="155"/>
      <c r="GM128" s="148"/>
      <c r="GN128" s="33"/>
      <c r="GO128" s="33"/>
      <c r="GP128" s="143"/>
      <c r="GQ128" s="38"/>
      <c r="GR128" s="144"/>
      <c r="GS128" s="150"/>
      <c r="GT128" s="174"/>
      <c r="GU128" s="175"/>
      <c r="GV128" s="176"/>
      <c r="GW128" s="155"/>
      <c r="GX128" s="148"/>
      <c r="GY128" s="33"/>
      <c r="GZ128" s="155"/>
      <c r="HA128" s="148"/>
      <c r="HB128" s="33"/>
      <c r="HC128" s="33"/>
      <c r="HD128" s="143"/>
      <c r="HE128" s="38"/>
      <c r="HF128" s="144"/>
      <c r="HG128" s="150"/>
      <c r="HH128" s="174"/>
      <c r="HI128" s="175"/>
      <c r="HJ128" s="176"/>
      <c r="HK128" s="155"/>
      <c r="HL128" s="148"/>
      <c r="HM128" s="33"/>
      <c r="HN128" s="155"/>
      <c r="HO128" s="148"/>
      <c r="HP128" s="33"/>
      <c r="HQ128" s="33"/>
      <c r="HR128" s="143"/>
      <c r="HS128" s="38"/>
      <c r="HT128" s="144"/>
      <c r="HU128" s="150"/>
      <c r="HV128" s="174"/>
      <c r="HW128" s="175"/>
      <c r="HX128" s="176"/>
      <c r="HY128" s="155"/>
      <c r="HZ128" s="148"/>
      <c r="IA128" s="33"/>
      <c r="IB128" s="155"/>
      <c r="IC128" s="148"/>
      <c r="ID128" s="33"/>
      <c r="IE128" s="33"/>
      <c r="IF128" s="143"/>
      <c r="IG128" s="38"/>
      <c r="IH128" s="144"/>
      <c r="II128" s="150"/>
      <c r="IJ128" s="174"/>
      <c r="IK128" s="175"/>
      <c r="IL128" s="176"/>
      <c r="IM128" s="155"/>
      <c r="IN128" s="148"/>
      <c r="IO128" s="33"/>
      <c r="IP128" s="155"/>
      <c r="IQ128" s="148"/>
      <c r="IR128" s="33"/>
      <c r="IS128" s="33"/>
      <c r="IT128" s="143"/>
      <c r="IU128" s="38"/>
      <c r="IV128" s="144"/>
      <c r="IW128" s="143"/>
      <c r="IX128" s="38"/>
      <c r="IY128" s="144" t="e">
        <v>#REF!</v>
      </c>
    </row>
    <row r="129">
      <c r="A129" s="33"/>
      <c r="B129" s="181"/>
      <c r="C129" s="38" t="str">
        <f>IFERROR(__xludf.DUMMYFUNCTION("""COMPUTED_VALUE"""),"")</f>
        <v/>
      </c>
      <c r="D129" s="144">
        <v>46111.0</v>
      </c>
      <c r="E129" s="182"/>
      <c r="F129" s="168"/>
      <c r="G129" s="169"/>
      <c r="H129" s="170"/>
      <c r="I129" s="171" t="str">
        <f t="array" ref="I129">IFERROR(IF(C129="ac"+ISNUMBER(SEARCH("'",H129))+G129="","", MROUND(SWITCH(C129,"sq",'Personal Info'!$O$15,"bn",'Personal Info'!$S$15,"dl",'Personal Info'!$W$15,"")*IF(H129&gt;10, H129/100, VLOOKUP(H129, _rpe,SUBSTITUTE(G129,"+","")+1,0)), IF( SWITCH(C129:C210,"sq",'Personal Info'!$O$15,"bn",'Personal Info'!$S$15,"dl", 'Personal Info'!$W$15,"")&lt; IF(_uom="lbs", 175, 80), 1.25, IF(_uom="lbs",5,2.5)))),"")</f>
        <v/>
      </c>
      <c r="J129" s="148"/>
      <c r="K129" s="33"/>
      <c r="L129" s="171"/>
      <c r="M129" s="124" t="str">
        <f>IFERROR(__xludf.DUMMYFUNCTION("IF(I129=MAX(FILTER(I$10:I$199,LOOKUP(ROW(C$10:C$199),FILTER(ROW(C$10:C$199),C$10:C$199&lt;&gt;C$9:C$198))=LOOKUP(ROW(C129),FILTER(ROW(C$10:C$199),C$10:C$199&lt;&gt;C$9:C$198)))),J129,)"),"")</f>
        <v/>
      </c>
      <c r="N129" s="122"/>
      <c r="O129" s="33"/>
      <c r="P129" s="143" t="str">
        <f t="shared" si="12"/>
        <v/>
      </c>
      <c r="Q129" s="38" t="str">
        <f>IFERROR(__xludf.DUMMYFUNCTION("""COMPUTED_VALUE"""),"")</f>
        <v/>
      </c>
      <c r="R129" s="144">
        <v>46118.0</v>
      </c>
      <c r="S129" s="167" t="str">
        <f t="shared" si="13"/>
        <v/>
      </c>
      <c r="T129" s="168" t="str">
        <f t="shared" si="319"/>
        <v/>
      </c>
      <c r="U129" s="169" t="str">
        <f t="shared" si="320"/>
        <v/>
      </c>
      <c r="V129" s="172" t="str">
        <f t="shared" si="321"/>
        <v/>
      </c>
      <c r="W129" s="171" t="str">
        <f t="array" ref="W129">IFERROR(IF(Q129="ac"+ISNUMBER(SEARCH("'",V129))+U129="","", IF(ISNUMBER(SEARCH("lw",V129)), I129 + SUBSTITUTE(V129,"lw+",""), MROUND(SWITCH(Q129,"sq",U$7,"bn",V$7,"dl",W$7,"")*IF(V129&gt;10, V129/100, VLOOKUP(V129, _rpe,SUBSTITUTE(U129,"+","")+1,0)), IF( SWITCH(Q129,"sq",U$7,"bn",V$7,"dl", W$7,"")&lt; IF(_uom="lbs", 175, 80), 1.25, IF(_uom="lbs",5,2.5))))), "")</f>
        <v/>
      </c>
      <c r="X129" s="148"/>
      <c r="Y129" s="33"/>
      <c r="Z129" s="171"/>
      <c r="AA129" s="124" t="str">
        <f>IFERROR(__xludf.DUMMYFUNCTION("IF(W129=MAX(FILTER(W$10:W$199,LOOKUP(ROW(Q$10:Q$199),FILTER(ROW(Q$10:Q$199),Q$10:Q$199&lt;&gt;Q$9:Q$198))=LOOKUP(ROW(Q129),FILTER(ROW(Q$10:Q$199),Q$10:Q$199&lt;&gt;Q$9:Q$198)))),X129,)"),"")</f>
        <v/>
      </c>
      <c r="AB129" s="122"/>
      <c r="AC129" s="33"/>
      <c r="AD129" s="143" t="str">
        <f t="shared" si="14"/>
        <v/>
      </c>
      <c r="AE129" s="38" t="str">
        <f>IFERROR(__xludf.DUMMYFUNCTION("""COMPUTED_VALUE"""),"")</f>
        <v/>
      </c>
      <c r="AF129" s="144">
        <v>46125.0</v>
      </c>
      <c r="AG129" s="167" t="str">
        <f t="shared" si="54"/>
        <v/>
      </c>
      <c r="AH129" s="168" t="str">
        <f t="shared" si="322"/>
        <v/>
      </c>
      <c r="AI129" s="169" t="str">
        <f t="shared" si="323"/>
        <v/>
      </c>
      <c r="AJ129" s="172" t="str">
        <f t="shared" si="324"/>
        <v/>
      </c>
      <c r="AK129" s="171" t="str">
        <f t="array" ref="AK129">IFERROR(IF(AE129="ac"+ISNUMBER(SEARCH("'",AJ129))+AI129="","", IF(ISNUMBER(SEARCH("lw",AJ129)), W129 + SUBSTITUTE(AJ129,"lw+",""), MROUND(SWITCH(AE129,"sq",AI$7,"bn",AJ$7,"dl",AK$7,"")*IF(AJ129&gt;10, AJ129/100, VLOOKUP(AJ129, _rpe,SUBSTITUTE(AI129,"+","")+1,0)), IF( SWITCH(AE129,"sq",AI$7,"bn",AJ$7,"dl", AK$7,"")&lt; IF(_uom="lbs", 175, 80), 1.25, IF(_uom="lbs",5,2.5))))), "")</f>
        <v/>
      </c>
      <c r="AL129" s="148"/>
      <c r="AM129" s="33"/>
      <c r="AN129" s="171"/>
      <c r="AO129" s="124" t="str">
        <f>IFERROR(__xludf.DUMMYFUNCTION("IF(AK129=MAX(FILTER(AK$10:AK$199,LOOKUP(ROW(AE$10:AE$199),FILTER(ROW(AE$10:AE$199),AE$10:AE$199&lt;&gt;AE$9:AE$198))=LOOKUP(ROW(AE129),FILTER(ROW(AE$10:AE$199),AE$10:AE$199&lt;&gt;AE$9:AE$198)))),AL129,)"),"")</f>
        <v/>
      </c>
      <c r="AP129" s="122"/>
      <c r="AQ129" s="33"/>
      <c r="AR129" s="143" t="str">
        <f t="shared" si="16"/>
        <v/>
      </c>
      <c r="AS129" s="38" t="str">
        <f>IFERROR(__xludf.DUMMYFUNCTION("""COMPUTED_VALUE"""),"")</f>
        <v/>
      </c>
      <c r="AT129" s="144">
        <v>46132.0</v>
      </c>
      <c r="AU129" s="167" t="str">
        <f t="shared" si="26"/>
        <v/>
      </c>
      <c r="AV129" s="168" t="str">
        <f t="shared" si="325"/>
        <v/>
      </c>
      <c r="AW129" s="169" t="str">
        <f t="shared" si="326"/>
        <v/>
      </c>
      <c r="AX129" s="172" t="str">
        <f t="shared" si="327"/>
        <v/>
      </c>
      <c r="AY129" s="171" t="str">
        <f t="array" ref="AY129">IFERROR(IF(AS129="ac"+ISNUMBER(SEARCH("'",AX129))+AW129="","", IF(ISNUMBER(SEARCH("lw",AX129)), AK129 + SUBSTITUTE(AX129,"lw+",""), MROUND(SWITCH(AS129,"sq",AW$7,"bn",AX$7,"dl",AY$7,"")*IF(AX129&gt;10, AX129/100, VLOOKUP(AX129, _rpe,SUBSTITUTE(AW129,"+","")+1,0)), IF( SWITCH(AS129,"sq",AW$7,"bn",AX$7,"dl", AY$7,"")&lt; IF(_uom="lbs", 175, 80), 1.25, IF(_uom="lbs",5,2.5))))), "")</f>
        <v/>
      </c>
      <c r="AZ129" s="148"/>
      <c r="BA129" s="33"/>
      <c r="BB129" s="171"/>
      <c r="BC129" s="124" t="str">
        <f>IFERROR(__xludf.DUMMYFUNCTION("IF(AY129=MAX(FILTER(AY$10:AY$199,LOOKUP(ROW(AS$10:AS$199),FILTER(ROW(AS$10:AS$199),AS$10:AS$199&lt;&gt;AS$9:AS$198))=LOOKUP(ROW(AS129),FILTER(ROW(AS$10:AS$199),AS$10:AS$199&lt;&gt;AS$9:AS$198)))),AZ129,)"),"")</f>
        <v/>
      </c>
      <c r="BD129" s="122"/>
      <c r="BE129" s="33"/>
      <c r="BF129" s="143" t="str">
        <f t="shared" si="17"/>
        <v/>
      </c>
      <c r="BG129" s="38" t="str">
        <f>IFERROR(__xludf.DUMMYFUNCTION("""COMPUTED_VALUE"""),"")</f>
        <v/>
      </c>
      <c r="BH129" s="144">
        <v>46139.0</v>
      </c>
      <c r="BI129" s="167" t="str">
        <f t="shared" si="18"/>
        <v/>
      </c>
      <c r="BJ129" s="168" t="str">
        <f t="shared" si="328"/>
        <v/>
      </c>
      <c r="BK129" s="169" t="str">
        <f t="shared" si="329"/>
        <v/>
      </c>
      <c r="BL129" s="172" t="str">
        <f t="shared" si="330"/>
        <v/>
      </c>
      <c r="BM129" s="171" t="str">
        <f t="array" ref="BM129">IFERROR(IF(BG129="ac"+ISNUMBER(SEARCH("'",BL129))+BK129="","", IF(ISNUMBER(SEARCH("lw",BL129)), AY129 + SUBSTITUTE(BL129,"lw+",""), MROUND(SWITCH(BG129,"sq",BK$7,"bn",BL$7,"dl",BM$7,"")*IF(BL129&gt;10, BL129/100, VLOOKUP(BL129, _rpe,SUBSTITUTE(BK129,"+","")+1,0)), IF( SWITCH(BG129,"sq",BK$7,"bn",BL$7,"dl", BM$7,"")&lt; IF(_uom="lbs", 175, 80), 1.25, IF(_uom="lbs",5,2.5))))), "")</f>
        <v/>
      </c>
      <c r="BN129" s="148"/>
      <c r="BO129" s="33"/>
      <c r="BP129" s="171"/>
      <c r="BQ129" s="124" t="str">
        <f>IFERROR(__xludf.DUMMYFUNCTION("IF(BM129=MAX(FILTER(BM$10:BM$199,LOOKUP(ROW(BG$10:BG$199),FILTER(ROW(BG$10:BG$199),BG$10:BG$199&lt;&gt;BG$9:BG$198))=LOOKUP(ROW(BG129),FILTER(ROW(BG$10:BG$199),BG$10:BG$199&lt;&gt;BG$9:BG$198)))),BN129,)"),"")</f>
        <v/>
      </c>
      <c r="BR129" s="122"/>
      <c r="BS129" s="33"/>
      <c r="BT129" s="143" t="str">
        <f t="shared" si="19"/>
        <v/>
      </c>
      <c r="BU129" s="38" t="str">
        <f>IFERROR(__xludf.DUMMYFUNCTION("""COMPUTED_VALUE"""),"")</f>
        <v/>
      </c>
      <c r="BV129" s="144">
        <v>46146.0</v>
      </c>
      <c r="BW129" s="167" t="str">
        <f t="shared" si="20"/>
        <v/>
      </c>
      <c r="BX129" s="168" t="str">
        <f t="shared" si="331"/>
        <v/>
      </c>
      <c r="BY129" s="169" t="str">
        <f t="shared" si="332"/>
        <v/>
      </c>
      <c r="BZ129" s="172" t="str">
        <f t="shared" si="333"/>
        <v/>
      </c>
      <c r="CA129" s="171" t="str">
        <f t="array" ref="CA129">IFERROR(IF(BU129="ac"+ISNUMBER(SEARCH("'",BZ129))+BY129="","", IF(ISNUMBER(SEARCH("lw",BZ129)), BM129 + SUBSTITUTE(BZ129,"lw+",""), MROUND(SWITCH(BU129,"sq",BY$7,"bn",BZ$7,"dl",CA$7,"")*IF(BZ129&gt;10, BZ129/100, VLOOKUP(BZ129, _rpe,SUBSTITUTE(BY129,"+","")+1,0)), IF( SWITCH(BU129,"sq",BY$7,"bn",BZ$7,"dl", CA$7,"")&lt; IF(_uom="lbs", 175, 80), 1.25, IF(_uom="lbs",5,2.5))))), "")</f>
        <v/>
      </c>
      <c r="CB129" s="148"/>
      <c r="CC129" s="33"/>
      <c r="CD129" s="171"/>
      <c r="CE129" s="124" t="str">
        <f>IFERROR(__xludf.DUMMYFUNCTION("IF(CA129=MAX(FILTER(CA$10:CA$199,LOOKUP(ROW(BU$10:BU$199),FILTER(ROW(BU$10:BU$199),BU$10:BU$199&lt;&gt;BU$9:BU$198))=LOOKUP(ROW(BU129),FILTER(ROW(BU$10:BU$199),BU$10:BU$199&lt;&gt;BU$9:BU$198)))),CB129,)"),"")</f>
        <v/>
      </c>
      <c r="CF129" s="122"/>
      <c r="CG129" s="33"/>
      <c r="CH129" s="143" t="str">
        <f t="shared" si="21"/>
        <v/>
      </c>
      <c r="CI129" s="38" t="str">
        <f>IFERROR(__xludf.DUMMYFUNCTION("""COMPUTED_VALUE"""),"")</f>
        <v/>
      </c>
      <c r="CJ129" s="144">
        <v>46153.0</v>
      </c>
      <c r="CK129" s="167" t="str">
        <f t="shared" si="27"/>
        <v/>
      </c>
      <c r="CL129" s="168" t="str">
        <f t="shared" si="334"/>
        <v/>
      </c>
      <c r="CM129" s="169" t="str">
        <f t="shared" si="335"/>
        <v/>
      </c>
      <c r="CN129" s="172" t="str">
        <f t="shared" si="336"/>
        <v/>
      </c>
      <c r="CO129" s="171" t="str">
        <f t="array" ref="CO129">IFERROR(IF(CI129="ac"+ISNUMBER(SEARCH("'",CN129))+CM129="","", IF(ISNUMBER(SEARCH("lw",CN129)), CA129 + SUBSTITUTE(CN129,"lw+",""), MROUND(SWITCH(CI129,"sq",CM$7,"bn",CN$7,"dl",CO$7,"")*IF(CN129&gt;10, CN129/100, VLOOKUP(CN129, _rpe,SUBSTITUTE(CM129,"+","")+1,0)), IF( SWITCH(CI129,"sq",CM$7,"bn",CN$7,"dl", CO$7,"")&lt; IF(_uom="lbs", 175, 80), 1.25, IF(_uom="lbs",5,2.5))))), "")</f>
        <v/>
      </c>
      <c r="CP129" s="148"/>
      <c r="CQ129" s="33"/>
      <c r="CR129" s="171"/>
      <c r="CS129" s="124" t="str">
        <f>IFERROR(__xludf.DUMMYFUNCTION("IF(CO129=MAX(FILTER(CO$10:CO$199,LOOKUP(ROW(CI$10:CI$199),FILTER(ROW(CI$10:CI$199),CI$10:CI$199&lt;&gt;CI$9:CI$198))=LOOKUP(ROW(CI129),FILTER(ROW(CI$10:CI$199),CI$10:CI$199&lt;&gt;CI$9:CI$198)))),CP129,)"),"")</f>
        <v/>
      </c>
      <c r="CT129" s="122"/>
      <c r="CU129" s="33"/>
      <c r="CV129" s="143" t="str">
        <f t="shared" si="22"/>
        <v/>
      </c>
      <c r="CW129" s="38" t="str">
        <f>IFERROR(__xludf.DUMMYFUNCTION("""COMPUTED_VALUE"""),"")</f>
        <v/>
      </c>
      <c r="CX129" s="144">
        <v>46160.0</v>
      </c>
      <c r="CY129" s="167" t="str">
        <f t="shared" si="28"/>
        <v/>
      </c>
      <c r="CZ129" s="168" t="str">
        <f t="shared" si="337"/>
        <v/>
      </c>
      <c r="DA129" s="169" t="str">
        <f t="shared" si="338"/>
        <v/>
      </c>
      <c r="DB129" s="172" t="str">
        <f t="shared" si="339"/>
        <v/>
      </c>
      <c r="DC129" s="171" t="str">
        <f t="array" ref="DC129">IFERROR(IF(CW129="ac"+ISNUMBER(SEARCH("'",DB129))+DA129="","", IF(ISNUMBER(SEARCH("lw",DB129)), CO129 + SUBSTITUTE(DB129,"lw+",""), MROUND(SWITCH(CW129,"sq",DA$7,"bn",DB$7,"dl",DC$7,"")*IF(DB129&gt;10, DB129/100, VLOOKUP(DB129, _rpe,SUBSTITUTE(DA129,"+","")+1,0)), IF( SWITCH(CW129,"sq",DA$7,"bn",DB$7,"dl", DC$7,"")&lt; IF(_uom="lbs", 175, 80), 1.25, IF(_uom="lbs",5,2.5))))), "")</f>
        <v/>
      </c>
      <c r="DD129" s="148"/>
      <c r="DE129" s="33"/>
      <c r="DF129" s="171"/>
      <c r="DG129" s="124" t="str">
        <f>IFERROR(__xludf.DUMMYFUNCTION("IF(DC129=MAX(FILTER(DC$10:DC$199,LOOKUP(ROW(CW$10:CW$199),FILTER(ROW(CW$10:CW$199),CW$10:CW$199&lt;&gt;CW$9:CW$198))=LOOKUP(ROW(CW129),FILTER(ROW(CW$10:CW$199),CW$10:CW$199&lt;&gt;CW$9:CW$198)))),DD129,)"),"")</f>
        <v/>
      </c>
      <c r="DH129" s="122"/>
      <c r="DI129" s="33"/>
      <c r="DJ129" s="143" t="str">
        <f t="shared" si="23"/>
        <v/>
      </c>
      <c r="DK129" s="38" t="str">
        <f>IFERROR(__xludf.DUMMYFUNCTION("""COMPUTED_VALUE"""),"")</f>
        <v/>
      </c>
      <c r="DL129" s="144">
        <v>46167.0</v>
      </c>
      <c r="DM129" s="167" t="str">
        <f t="shared" ref="DM129:DN129" si="381">IF(ISBLANK(CY129),"",CY129)</f>
        <v/>
      </c>
      <c r="DN129" s="168" t="str">
        <f t="shared" si="381"/>
        <v/>
      </c>
      <c r="DO129" s="169" t="str">
        <f t="shared" si="341"/>
        <v/>
      </c>
      <c r="DP129" s="172" t="str">
        <f t="shared" si="342"/>
        <v/>
      </c>
      <c r="DQ129" s="171" t="str">
        <f t="array" ref="DQ129">IFERROR(IF(DK129="ac"+ISNUMBER(SEARCH("'",DP129))+DO129="","", IF(ISNUMBER(SEARCH("lw",DP129)), DC129 + SUBSTITUTE(DP129,"lw+",""), MROUND(SWITCH(DK129,"sq",DO$7,"bn",DP$7,"dl",DQ$7,"")*IF(DP129&gt;10, DP129/100, VLOOKUP(DP129, _rpe,SUBSTITUTE(DO129,"+","")+1,0)), IF( SWITCH(DK129,"sq",DO$7,"bn",DP$7,"dl", DQ$7,"")&lt; IF(_uom="lbs", 175, 80), 1.25, IF(_uom="lbs",5,2.5))))), "")</f>
        <v/>
      </c>
      <c r="DR129" s="148"/>
      <c r="DS129" s="33"/>
      <c r="DT129" s="171"/>
      <c r="DU129" s="124" t="str">
        <f>IFERROR(__xludf.DUMMYFUNCTION("IF(DQ129=MAX(FILTER(DQ$10:DQ$199,LOOKUP(ROW(DK$10:DK$199),FILTER(ROW(DK$10:DK$199),DK$10:DK$199&lt;&gt;DK$9:DK$198))=LOOKUP(ROW(DK129),FILTER(ROW(DK$10:DK$199),DK$10:DK$199&lt;&gt;DK$9:DK$198)))),DR129,)"),"")</f>
        <v/>
      </c>
      <c r="DV129" s="122"/>
      <c r="DW129" s="33"/>
      <c r="DX129" s="143"/>
      <c r="DY129" s="38"/>
      <c r="DZ129" s="144"/>
      <c r="EA129" s="150"/>
      <c r="EB129" s="174"/>
      <c r="EC129" s="175"/>
      <c r="ED129" s="176"/>
      <c r="EE129" s="155"/>
      <c r="EF129" s="148"/>
      <c r="EG129" s="33"/>
      <c r="EH129" s="155"/>
      <c r="EI129" s="148"/>
      <c r="EJ129" s="33"/>
      <c r="EK129" s="33"/>
      <c r="EL129" s="143"/>
      <c r="EM129" s="38"/>
      <c r="EN129" s="144"/>
      <c r="EO129" s="150"/>
      <c r="EP129" s="174"/>
      <c r="EQ129" s="175"/>
      <c r="ER129" s="176"/>
      <c r="ES129" s="155"/>
      <c r="ET129" s="148"/>
      <c r="EU129" s="33"/>
      <c r="EV129" s="155"/>
      <c r="EW129" s="148"/>
      <c r="EX129" s="33"/>
      <c r="EY129" s="33"/>
      <c r="EZ129" s="143"/>
      <c r="FA129" s="38"/>
      <c r="FB129" s="144"/>
      <c r="FC129" s="150"/>
      <c r="FD129" s="174"/>
      <c r="FE129" s="175"/>
      <c r="FF129" s="176"/>
      <c r="FG129" s="155"/>
      <c r="FH129" s="148"/>
      <c r="FI129" s="33"/>
      <c r="FJ129" s="155"/>
      <c r="FK129" s="148"/>
      <c r="FL129" s="33"/>
      <c r="FM129" s="33"/>
      <c r="FN129" s="143"/>
      <c r="FO129" s="38"/>
      <c r="FP129" s="144"/>
      <c r="FQ129" s="150"/>
      <c r="FR129" s="174"/>
      <c r="FS129" s="175"/>
      <c r="FT129" s="176"/>
      <c r="FU129" s="155"/>
      <c r="FV129" s="148"/>
      <c r="FW129" s="33"/>
      <c r="FX129" s="155"/>
      <c r="FY129" s="148"/>
      <c r="FZ129" s="33"/>
      <c r="GA129" s="33"/>
      <c r="GB129" s="143"/>
      <c r="GC129" s="38"/>
      <c r="GD129" s="144"/>
      <c r="GE129" s="150"/>
      <c r="GF129" s="174"/>
      <c r="GG129" s="175"/>
      <c r="GH129" s="176"/>
      <c r="GI129" s="155"/>
      <c r="GJ129" s="148"/>
      <c r="GK129" s="33"/>
      <c r="GL129" s="155"/>
      <c r="GM129" s="148"/>
      <c r="GN129" s="33"/>
      <c r="GO129" s="33"/>
      <c r="GP129" s="143"/>
      <c r="GQ129" s="38"/>
      <c r="GR129" s="144"/>
      <c r="GS129" s="150"/>
      <c r="GT129" s="174"/>
      <c r="GU129" s="175"/>
      <c r="GV129" s="176"/>
      <c r="GW129" s="155"/>
      <c r="GX129" s="148"/>
      <c r="GY129" s="33"/>
      <c r="GZ129" s="155"/>
      <c r="HA129" s="148"/>
      <c r="HB129" s="33"/>
      <c r="HC129" s="33"/>
      <c r="HD129" s="143"/>
      <c r="HE129" s="38"/>
      <c r="HF129" s="144"/>
      <c r="HG129" s="150"/>
      <c r="HH129" s="174"/>
      <c r="HI129" s="175"/>
      <c r="HJ129" s="176"/>
      <c r="HK129" s="155"/>
      <c r="HL129" s="148"/>
      <c r="HM129" s="33"/>
      <c r="HN129" s="155"/>
      <c r="HO129" s="148"/>
      <c r="HP129" s="33"/>
      <c r="HQ129" s="33"/>
      <c r="HR129" s="143"/>
      <c r="HS129" s="38"/>
      <c r="HT129" s="144"/>
      <c r="HU129" s="150"/>
      <c r="HV129" s="174"/>
      <c r="HW129" s="175"/>
      <c r="HX129" s="176"/>
      <c r="HY129" s="155"/>
      <c r="HZ129" s="148"/>
      <c r="IA129" s="33"/>
      <c r="IB129" s="155"/>
      <c r="IC129" s="148"/>
      <c r="ID129" s="33"/>
      <c r="IE129" s="33"/>
      <c r="IF129" s="143"/>
      <c r="IG129" s="38"/>
      <c r="IH129" s="144"/>
      <c r="II129" s="150"/>
      <c r="IJ129" s="174"/>
      <c r="IK129" s="175"/>
      <c r="IL129" s="176"/>
      <c r="IM129" s="155"/>
      <c r="IN129" s="148"/>
      <c r="IO129" s="33"/>
      <c r="IP129" s="155"/>
      <c r="IQ129" s="148"/>
      <c r="IR129" s="33"/>
      <c r="IS129" s="33"/>
      <c r="IT129" s="143"/>
      <c r="IU129" s="38"/>
      <c r="IV129" s="144"/>
      <c r="IW129" s="143"/>
      <c r="IX129" s="38"/>
      <c r="IY129" s="144" t="e">
        <v>#REF!</v>
      </c>
    </row>
    <row r="130">
      <c r="A130" s="33"/>
      <c r="B130" s="181"/>
      <c r="C130" s="38" t="str">
        <f>IFERROR(__xludf.DUMMYFUNCTION("""COMPUTED_VALUE"""),"")</f>
        <v/>
      </c>
      <c r="D130" s="144">
        <v>46111.0</v>
      </c>
      <c r="E130" s="182"/>
      <c r="F130" s="168"/>
      <c r="G130" s="169"/>
      <c r="H130" s="170"/>
      <c r="I130" s="171" t="str">
        <f t="array" ref="I130">IFERROR(IF(C130="ac"+ISNUMBER(SEARCH("'",H130))+G130="","", MROUND(SWITCH(C130,"sq",'Personal Info'!$O$15,"bn",'Personal Info'!$S$15,"dl",'Personal Info'!$W$15,"")*IF(H130&gt;10, H130/100, VLOOKUP(H130, _rpe,SUBSTITUTE(G130,"+","")+1,0)), IF( SWITCH(C130:C210,"sq",'Personal Info'!$O$15,"bn",'Personal Info'!$S$15,"dl", 'Personal Info'!$W$15,"")&lt; IF(_uom="lbs", 175, 80), 1.25, IF(_uom="lbs",5,2.5)))),"")</f>
        <v/>
      </c>
      <c r="J130" s="148"/>
      <c r="K130" s="33"/>
      <c r="L130" s="171"/>
      <c r="M130" s="124" t="str">
        <f>IFERROR(__xludf.DUMMYFUNCTION("IF(I130=MAX(FILTER(I$10:I$199,LOOKUP(ROW(C$10:C$199),FILTER(ROW(C$10:C$199),C$10:C$199&lt;&gt;C$9:C$198))=LOOKUP(ROW(C130),FILTER(ROW(C$10:C$199),C$10:C$199&lt;&gt;C$9:C$198)))),J130,)"),"")</f>
        <v/>
      </c>
      <c r="N130" s="122"/>
      <c r="O130" s="33"/>
      <c r="P130" s="143" t="str">
        <f t="shared" si="12"/>
        <v/>
      </c>
      <c r="Q130" s="38" t="str">
        <f>IFERROR(__xludf.DUMMYFUNCTION("""COMPUTED_VALUE"""),"")</f>
        <v/>
      </c>
      <c r="R130" s="144">
        <v>46118.0</v>
      </c>
      <c r="S130" s="167" t="str">
        <f t="shared" si="13"/>
        <v/>
      </c>
      <c r="T130" s="168" t="str">
        <f t="shared" si="319"/>
        <v/>
      </c>
      <c r="U130" s="169" t="str">
        <f t="shared" si="320"/>
        <v/>
      </c>
      <c r="V130" s="172" t="str">
        <f t="shared" si="321"/>
        <v/>
      </c>
      <c r="W130" s="171" t="str">
        <f t="array" ref="W130">IFERROR(IF(Q130="ac"+ISNUMBER(SEARCH("'",V130))+U130="","", IF(ISNUMBER(SEARCH("lw",V130)), I130 + SUBSTITUTE(V130,"lw+",""), MROUND(SWITCH(Q130,"sq",U$7,"bn",V$7,"dl",W$7,"")*IF(V130&gt;10, V130/100, VLOOKUP(V130, _rpe,SUBSTITUTE(U130,"+","")+1,0)), IF( SWITCH(Q130,"sq",U$7,"bn",V$7,"dl", W$7,"")&lt; IF(_uom="lbs", 175, 80), 1.25, IF(_uom="lbs",5,2.5))))), "")</f>
        <v/>
      </c>
      <c r="X130" s="148"/>
      <c r="Y130" s="33"/>
      <c r="Z130" s="171"/>
      <c r="AA130" s="124" t="str">
        <f>IFERROR(__xludf.DUMMYFUNCTION("IF(W130=MAX(FILTER(W$10:W$199,LOOKUP(ROW(Q$10:Q$199),FILTER(ROW(Q$10:Q$199),Q$10:Q$199&lt;&gt;Q$9:Q$198))=LOOKUP(ROW(Q130),FILTER(ROW(Q$10:Q$199),Q$10:Q$199&lt;&gt;Q$9:Q$198)))),X130,)"),"")</f>
        <v/>
      </c>
      <c r="AB130" s="122"/>
      <c r="AC130" s="33"/>
      <c r="AD130" s="143" t="str">
        <f t="shared" si="14"/>
        <v/>
      </c>
      <c r="AE130" s="38" t="str">
        <f>IFERROR(__xludf.DUMMYFUNCTION("""COMPUTED_VALUE"""),"")</f>
        <v/>
      </c>
      <c r="AF130" s="144">
        <v>46125.0</v>
      </c>
      <c r="AG130" s="167" t="str">
        <f t="shared" si="54"/>
        <v/>
      </c>
      <c r="AH130" s="168" t="str">
        <f t="shared" si="322"/>
        <v/>
      </c>
      <c r="AI130" s="169" t="str">
        <f t="shared" si="323"/>
        <v/>
      </c>
      <c r="AJ130" s="172" t="str">
        <f t="shared" si="324"/>
        <v/>
      </c>
      <c r="AK130" s="171" t="str">
        <f t="array" ref="AK130">IFERROR(IF(AE130="ac"+ISNUMBER(SEARCH("'",AJ130))+AI130="","", IF(ISNUMBER(SEARCH("lw",AJ130)), W130 + SUBSTITUTE(AJ130,"lw+",""), MROUND(SWITCH(AE130,"sq",AI$7,"bn",AJ$7,"dl",AK$7,"")*IF(AJ130&gt;10, AJ130/100, VLOOKUP(AJ130, _rpe,SUBSTITUTE(AI130,"+","")+1,0)), IF( SWITCH(AE130,"sq",AI$7,"bn",AJ$7,"dl", AK$7,"")&lt; IF(_uom="lbs", 175, 80), 1.25, IF(_uom="lbs",5,2.5))))), "")</f>
        <v/>
      </c>
      <c r="AL130" s="148"/>
      <c r="AM130" s="33"/>
      <c r="AN130" s="171"/>
      <c r="AO130" s="124" t="str">
        <f>IFERROR(__xludf.DUMMYFUNCTION("IF(AK130=MAX(FILTER(AK$10:AK$199,LOOKUP(ROW(AE$10:AE$199),FILTER(ROW(AE$10:AE$199),AE$10:AE$199&lt;&gt;AE$9:AE$198))=LOOKUP(ROW(AE130),FILTER(ROW(AE$10:AE$199),AE$10:AE$199&lt;&gt;AE$9:AE$198)))),AL130,)"),"")</f>
        <v/>
      </c>
      <c r="AP130" s="122"/>
      <c r="AQ130" s="33"/>
      <c r="AR130" s="143" t="str">
        <f t="shared" si="16"/>
        <v/>
      </c>
      <c r="AS130" s="38" t="str">
        <f>IFERROR(__xludf.DUMMYFUNCTION("""COMPUTED_VALUE"""),"")</f>
        <v/>
      </c>
      <c r="AT130" s="144">
        <v>46132.0</v>
      </c>
      <c r="AU130" s="167" t="str">
        <f t="shared" si="26"/>
        <v/>
      </c>
      <c r="AV130" s="168" t="str">
        <f t="shared" si="325"/>
        <v/>
      </c>
      <c r="AW130" s="169" t="str">
        <f t="shared" si="326"/>
        <v/>
      </c>
      <c r="AX130" s="172" t="str">
        <f t="shared" si="327"/>
        <v/>
      </c>
      <c r="AY130" s="171" t="str">
        <f t="array" ref="AY130">IFERROR(IF(AS130="ac"+ISNUMBER(SEARCH("'",AX130))+AW130="","", IF(ISNUMBER(SEARCH("lw",AX130)), AK130 + SUBSTITUTE(AX130,"lw+",""), MROUND(SWITCH(AS130,"sq",AW$7,"bn",AX$7,"dl",AY$7,"")*IF(AX130&gt;10, AX130/100, VLOOKUP(AX130, _rpe,SUBSTITUTE(AW130,"+","")+1,0)), IF( SWITCH(AS130,"sq",AW$7,"bn",AX$7,"dl", AY$7,"")&lt; IF(_uom="lbs", 175, 80), 1.25, IF(_uom="lbs",5,2.5))))), "")</f>
        <v/>
      </c>
      <c r="AZ130" s="148"/>
      <c r="BA130" s="33"/>
      <c r="BB130" s="171"/>
      <c r="BC130" s="124" t="str">
        <f>IFERROR(__xludf.DUMMYFUNCTION("IF(AY130=MAX(FILTER(AY$10:AY$199,LOOKUP(ROW(AS$10:AS$199),FILTER(ROW(AS$10:AS$199),AS$10:AS$199&lt;&gt;AS$9:AS$198))=LOOKUP(ROW(AS130),FILTER(ROW(AS$10:AS$199),AS$10:AS$199&lt;&gt;AS$9:AS$198)))),AZ130,)"),"")</f>
        <v/>
      </c>
      <c r="BD130" s="122"/>
      <c r="BE130" s="33"/>
      <c r="BF130" s="143" t="str">
        <f t="shared" si="17"/>
        <v/>
      </c>
      <c r="BG130" s="38" t="str">
        <f>IFERROR(__xludf.DUMMYFUNCTION("""COMPUTED_VALUE"""),"")</f>
        <v/>
      </c>
      <c r="BH130" s="144">
        <v>46139.0</v>
      </c>
      <c r="BI130" s="167" t="str">
        <f t="shared" si="18"/>
        <v/>
      </c>
      <c r="BJ130" s="168" t="str">
        <f t="shared" si="328"/>
        <v/>
      </c>
      <c r="BK130" s="169" t="str">
        <f t="shared" si="329"/>
        <v/>
      </c>
      <c r="BL130" s="172" t="str">
        <f t="shared" si="330"/>
        <v/>
      </c>
      <c r="BM130" s="171" t="str">
        <f t="array" ref="BM130">IFERROR(IF(BG130="ac"+ISNUMBER(SEARCH("'",BL130))+BK130="","", IF(ISNUMBER(SEARCH("lw",BL130)), AY130 + SUBSTITUTE(BL130,"lw+",""), MROUND(SWITCH(BG130,"sq",BK$7,"bn",BL$7,"dl",BM$7,"")*IF(BL130&gt;10, BL130/100, VLOOKUP(BL130, _rpe,SUBSTITUTE(BK130,"+","")+1,0)), IF( SWITCH(BG130,"sq",BK$7,"bn",BL$7,"dl", BM$7,"")&lt; IF(_uom="lbs", 175, 80), 1.25, IF(_uom="lbs",5,2.5))))), "")</f>
        <v/>
      </c>
      <c r="BN130" s="148"/>
      <c r="BO130" s="33"/>
      <c r="BP130" s="171"/>
      <c r="BQ130" s="124" t="str">
        <f>IFERROR(__xludf.DUMMYFUNCTION("IF(BM130=MAX(FILTER(BM$10:BM$199,LOOKUP(ROW(BG$10:BG$199),FILTER(ROW(BG$10:BG$199),BG$10:BG$199&lt;&gt;BG$9:BG$198))=LOOKUP(ROW(BG130),FILTER(ROW(BG$10:BG$199),BG$10:BG$199&lt;&gt;BG$9:BG$198)))),BN130,)"),"")</f>
        <v/>
      </c>
      <c r="BR130" s="122"/>
      <c r="BS130" s="33"/>
      <c r="BT130" s="143" t="str">
        <f t="shared" si="19"/>
        <v/>
      </c>
      <c r="BU130" s="38" t="str">
        <f>IFERROR(__xludf.DUMMYFUNCTION("""COMPUTED_VALUE"""),"")</f>
        <v/>
      </c>
      <c r="BV130" s="144">
        <v>46146.0</v>
      </c>
      <c r="BW130" s="167" t="str">
        <f t="shared" si="20"/>
        <v/>
      </c>
      <c r="BX130" s="168" t="str">
        <f t="shared" si="331"/>
        <v/>
      </c>
      <c r="BY130" s="169" t="str">
        <f t="shared" si="332"/>
        <v/>
      </c>
      <c r="BZ130" s="172" t="str">
        <f t="shared" si="333"/>
        <v/>
      </c>
      <c r="CA130" s="171" t="str">
        <f t="array" ref="CA130">IFERROR(IF(BU130="ac"+ISNUMBER(SEARCH("'",BZ130))+BY130="","", IF(ISNUMBER(SEARCH("lw",BZ130)), BM130 + SUBSTITUTE(BZ130,"lw+",""), MROUND(SWITCH(BU130,"sq",BY$7,"bn",BZ$7,"dl",CA$7,"")*IF(BZ130&gt;10, BZ130/100, VLOOKUP(BZ130, _rpe,SUBSTITUTE(BY130,"+","")+1,0)), IF( SWITCH(BU130,"sq",BY$7,"bn",BZ$7,"dl", CA$7,"")&lt; IF(_uom="lbs", 175, 80), 1.25, IF(_uom="lbs",5,2.5))))), "")</f>
        <v/>
      </c>
      <c r="CB130" s="148"/>
      <c r="CC130" s="33"/>
      <c r="CD130" s="171"/>
      <c r="CE130" s="124" t="str">
        <f>IFERROR(__xludf.DUMMYFUNCTION("IF(CA130=MAX(FILTER(CA$10:CA$199,LOOKUP(ROW(BU$10:BU$199),FILTER(ROW(BU$10:BU$199),BU$10:BU$199&lt;&gt;BU$9:BU$198))=LOOKUP(ROW(BU130),FILTER(ROW(BU$10:BU$199),BU$10:BU$199&lt;&gt;BU$9:BU$198)))),CB130,)"),"")</f>
        <v/>
      </c>
      <c r="CF130" s="122"/>
      <c r="CG130" s="33"/>
      <c r="CH130" s="143" t="str">
        <f t="shared" si="21"/>
        <v/>
      </c>
      <c r="CI130" s="38" t="str">
        <f>IFERROR(__xludf.DUMMYFUNCTION("""COMPUTED_VALUE"""),"")</f>
        <v/>
      </c>
      <c r="CJ130" s="144">
        <v>46153.0</v>
      </c>
      <c r="CK130" s="167" t="str">
        <f t="shared" si="27"/>
        <v/>
      </c>
      <c r="CL130" s="168" t="str">
        <f t="shared" si="334"/>
        <v/>
      </c>
      <c r="CM130" s="169" t="str">
        <f t="shared" si="335"/>
        <v/>
      </c>
      <c r="CN130" s="172" t="str">
        <f t="shared" si="336"/>
        <v/>
      </c>
      <c r="CO130" s="171" t="str">
        <f t="array" ref="CO130">IFERROR(IF(CI130="ac"+ISNUMBER(SEARCH("'",CN130))+CM130="","", IF(ISNUMBER(SEARCH("lw",CN130)), CA130 + SUBSTITUTE(CN130,"lw+",""), MROUND(SWITCH(CI130,"sq",CM$7,"bn",CN$7,"dl",CO$7,"")*IF(CN130&gt;10, CN130/100, VLOOKUP(CN130, _rpe,SUBSTITUTE(CM130,"+","")+1,0)), IF( SWITCH(CI130,"sq",CM$7,"bn",CN$7,"dl", CO$7,"")&lt; IF(_uom="lbs", 175, 80), 1.25, IF(_uom="lbs",5,2.5))))), "")</f>
        <v/>
      </c>
      <c r="CP130" s="148"/>
      <c r="CQ130" s="33"/>
      <c r="CR130" s="171"/>
      <c r="CS130" s="124" t="str">
        <f>IFERROR(__xludf.DUMMYFUNCTION("IF(CO130=MAX(FILTER(CO$10:CO$199,LOOKUP(ROW(CI$10:CI$199),FILTER(ROW(CI$10:CI$199),CI$10:CI$199&lt;&gt;CI$9:CI$198))=LOOKUP(ROW(CI130),FILTER(ROW(CI$10:CI$199),CI$10:CI$199&lt;&gt;CI$9:CI$198)))),CP130,)"),"")</f>
        <v/>
      </c>
      <c r="CT130" s="122"/>
      <c r="CU130" s="33"/>
      <c r="CV130" s="143" t="str">
        <f t="shared" si="22"/>
        <v/>
      </c>
      <c r="CW130" s="38" t="str">
        <f>IFERROR(__xludf.DUMMYFUNCTION("""COMPUTED_VALUE"""),"")</f>
        <v/>
      </c>
      <c r="CX130" s="144">
        <v>46160.0</v>
      </c>
      <c r="CY130" s="167" t="str">
        <f t="shared" si="28"/>
        <v/>
      </c>
      <c r="CZ130" s="168" t="str">
        <f t="shared" si="337"/>
        <v/>
      </c>
      <c r="DA130" s="169" t="str">
        <f t="shared" si="338"/>
        <v/>
      </c>
      <c r="DB130" s="172" t="str">
        <f t="shared" si="339"/>
        <v/>
      </c>
      <c r="DC130" s="171" t="str">
        <f t="array" ref="DC130">IFERROR(IF(CW130="ac"+ISNUMBER(SEARCH("'",DB130))+DA130="","", IF(ISNUMBER(SEARCH("lw",DB130)), CO130 + SUBSTITUTE(DB130,"lw+",""), MROUND(SWITCH(CW130,"sq",DA$7,"bn",DB$7,"dl",DC$7,"")*IF(DB130&gt;10, DB130/100, VLOOKUP(DB130, _rpe,SUBSTITUTE(DA130,"+","")+1,0)), IF( SWITCH(CW130,"sq",DA$7,"bn",DB$7,"dl", DC$7,"")&lt; IF(_uom="lbs", 175, 80), 1.25, IF(_uom="lbs",5,2.5))))), "")</f>
        <v/>
      </c>
      <c r="DD130" s="148"/>
      <c r="DE130" s="33"/>
      <c r="DF130" s="171"/>
      <c r="DG130" s="124" t="str">
        <f>IFERROR(__xludf.DUMMYFUNCTION("IF(DC130=MAX(FILTER(DC$10:DC$199,LOOKUP(ROW(CW$10:CW$199),FILTER(ROW(CW$10:CW$199),CW$10:CW$199&lt;&gt;CW$9:CW$198))=LOOKUP(ROW(CW130),FILTER(ROW(CW$10:CW$199),CW$10:CW$199&lt;&gt;CW$9:CW$198)))),DD130,)"),"")</f>
        <v/>
      </c>
      <c r="DH130" s="122"/>
      <c r="DI130" s="33"/>
      <c r="DJ130" s="143" t="str">
        <f t="shared" si="23"/>
        <v/>
      </c>
      <c r="DK130" s="38" t="str">
        <f>IFERROR(__xludf.DUMMYFUNCTION("""COMPUTED_VALUE"""),"")</f>
        <v/>
      </c>
      <c r="DL130" s="144">
        <v>46167.0</v>
      </c>
      <c r="DM130" s="167" t="str">
        <f t="shared" ref="DM130:DN130" si="382">IF(ISBLANK(CY130),"",CY130)</f>
        <v/>
      </c>
      <c r="DN130" s="168" t="str">
        <f t="shared" si="382"/>
        <v/>
      </c>
      <c r="DO130" s="169" t="str">
        <f t="shared" si="341"/>
        <v/>
      </c>
      <c r="DP130" s="172" t="str">
        <f t="shared" si="342"/>
        <v/>
      </c>
      <c r="DQ130" s="171" t="str">
        <f t="array" ref="DQ130">IFERROR(IF(DK130="ac"+ISNUMBER(SEARCH("'",DP130))+DO130="","", IF(ISNUMBER(SEARCH("lw",DP130)), DC130 + SUBSTITUTE(DP130,"lw+",""), MROUND(SWITCH(DK130,"sq",DO$7,"bn",DP$7,"dl",DQ$7,"")*IF(DP130&gt;10, DP130/100, VLOOKUP(DP130, _rpe,SUBSTITUTE(DO130,"+","")+1,0)), IF( SWITCH(DK130,"sq",DO$7,"bn",DP$7,"dl", DQ$7,"")&lt; IF(_uom="lbs", 175, 80), 1.25, IF(_uom="lbs",5,2.5))))), "")</f>
        <v/>
      </c>
      <c r="DR130" s="148"/>
      <c r="DS130" s="33"/>
      <c r="DT130" s="171"/>
      <c r="DU130" s="124" t="str">
        <f>IFERROR(__xludf.DUMMYFUNCTION("IF(DQ130=MAX(FILTER(DQ$10:DQ$199,LOOKUP(ROW(DK$10:DK$199),FILTER(ROW(DK$10:DK$199),DK$10:DK$199&lt;&gt;DK$9:DK$198))=LOOKUP(ROW(DK130),FILTER(ROW(DK$10:DK$199),DK$10:DK$199&lt;&gt;DK$9:DK$198)))),DR130,)"),"")</f>
        <v/>
      </c>
      <c r="DV130" s="122"/>
      <c r="DW130" s="33"/>
      <c r="DX130" s="143"/>
      <c r="DY130" s="38"/>
      <c r="DZ130" s="144"/>
      <c r="EA130" s="150"/>
      <c r="EB130" s="174"/>
      <c r="EC130" s="175"/>
      <c r="ED130" s="176"/>
      <c r="EE130" s="155"/>
      <c r="EF130" s="148"/>
      <c r="EG130" s="33"/>
      <c r="EH130" s="155"/>
      <c r="EI130" s="148"/>
      <c r="EJ130" s="33"/>
      <c r="EK130" s="33"/>
      <c r="EL130" s="143"/>
      <c r="EM130" s="38"/>
      <c r="EN130" s="144"/>
      <c r="EO130" s="150"/>
      <c r="EP130" s="174"/>
      <c r="EQ130" s="175"/>
      <c r="ER130" s="176"/>
      <c r="ES130" s="155"/>
      <c r="ET130" s="148"/>
      <c r="EU130" s="33"/>
      <c r="EV130" s="155"/>
      <c r="EW130" s="148"/>
      <c r="EX130" s="33"/>
      <c r="EY130" s="33"/>
      <c r="EZ130" s="143"/>
      <c r="FA130" s="38"/>
      <c r="FB130" s="144"/>
      <c r="FC130" s="150"/>
      <c r="FD130" s="174"/>
      <c r="FE130" s="175"/>
      <c r="FF130" s="176"/>
      <c r="FG130" s="155"/>
      <c r="FH130" s="148"/>
      <c r="FI130" s="33"/>
      <c r="FJ130" s="155"/>
      <c r="FK130" s="148"/>
      <c r="FL130" s="33"/>
      <c r="FM130" s="33"/>
      <c r="FN130" s="143"/>
      <c r="FO130" s="38"/>
      <c r="FP130" s="144"/>
      <c r="FQ130" s="150"/>
      <c r="FR130" s="174"/>
      <c r="FS130" s="175"/>
      <c r="FT130" s="176"/>
      <c r="FU130" s="155"/>
      <c r="FV130" s="148"/>
      <c r="FW130" s="33"/>
      <c r="FX130" s="155"/>
      <c r="FY130" s="148"/>
      <c r="FZ130" s="33"/>
      <c r="GA130" s="33"/>
      <c r="GB130" s="143"/>
      <c r="GC130" s="38"/>
      <c r="GD130" s="144"/>
      <c r="GE130" s="150"/>
      <c r="GF130" s="174"/>
      <c r="GG130" s="175"/>
      <c r="GH130" s="176"/>
      <c r="GI130" s="155"/>
      <c r="GJ130" s="148"/>
      <c r="GK130" s="33"/>
      <c r="GL130" s="155"/>
      <c r="GM130" s="148"/>
      <c r="GN130" s="33"/>
      <c r="GO130" s="33"/>
      <c r="GP130" s="143"/>
      <c r="GQ130" s="38"/>
      <c r="GR130" s="144"/>
      <c r="GS130" s="150"/>
      <c r="GT130" s="174"/>
      <c r="GU130" s="175"/>
      <c r="GV130" s="176"/>
      <c r="GW130" s="155"/>
      <c r="GX130" s="148"/>
      <c r="GY130" s="33"/>
      <c r="GZ130" s="155"/>
      <c r="HA130" s="148"/>
      <c r="HB130" s="33"/>
      <c r="HC130" s="33"/>
      <c r="HD130" s="143"/>
      <c r="HE130" s="38"/>
      <c r="HF130" s="144"/>
      <c r="HG130" s="150"/>
      <c r="HH130" s="174"/>
      <c r="HI130" s="175"/>
      <c r="HJ130" s="176"/>
      <c r="HK130" s="155"/>
      <c r="HL130" s="148"/>
      <c r="HM130" s="33"/>
      <c r="HN130" s="155"/>
      <c r="HO130" s="148"/>
      <c r="HP130" s="33"/>
      <c r="HQ130" s="33"/>
      <c r="HR130" s="143"/>
      <c r="HS130" s="38"/>
      <c r="HT130" s="144"/>
      <c r="HU130" s="150"/>
      <c r="HV130" s="174"/>
      <c r="HW130" s="175"/>
      <c r="HX130" s="176"/>
      <c r="HY130" s="155"/>
      <c r="HZ130" s="148"/>
      <c r="IA130" s="33"/>
      <c r="IB130" s="155"/>
      <c r="IC130" s="148"/>
      <c r="ID130" s="33"/>
      <c r="IE130" s="33"/>
      <c r="IF130" s="143"/>
      <c r="IG130" s="38"/>
      <c r="IH130" s="144"/>
      <c r="II130" s="150"/>
      <c r="IJ130" s="174"/>
      <c r="IK130" s="175"/>
      <c r="IL130" s="176"/>
      <c r="IM130" s="155"/>
      <c r="IN130" s="148"/>
      <c r="IO130" s="33"/>
      <c r="IP130" s="155"/>
      <c r="IQ130" s="148"/>
      <c r="IR130" s="33"/>
      <c r="IS130" s="33"/>
      <c r="IT130" s="143"/>
      <c r="IU130" s="38"/>
      <c r="IV130" s="144"/>
      <c r="IW130" s="143"/>
      <c r="IX130" s="38"/>
      <c r="IY130" s="144" t="e">
        <v>#REF!</v>
      </c>
    </row>
    <row r="131">
      <c r="A131" s="33"/>
      <c r="B131" s="181"/>
      <c r="C131" s="38" t="str">
        <f>IFERROR(__xludf.DUMMYFUNCTION("""COMPUTED_VALUE"""),"")</f>
        <v/>
      </c>
      <c r="D131" s="144">
        <v>46111.0</v>
      </c>
      <c r="E131" s="182"/>
      <c r="F131" s="168"/>
      <c r="G131" s="169"/>
      <c r="H131" s="170"/>
      <c r="I131" s="171" t="str">
        <f t="array" ref="I131">IFERROR(IF(C131="ac"+ISNUMBER(SEARCH("'",H131))+G131="","", MROUND(SWITCH(C131,"sq",'Personal Info'!$O$15,"bn",'Personal Info'!$S$15,"dl",'Personal Info'!$W$15,"")*IF(H131&gt;10, H131/100, VLOOKUP(H131, _rpe,SUBSTITUTE(G131,"+","")+1,0)), IF( SWITCH(C131:C210,"sq",'Personal Info'!$O$15,"bn",'Personal Info'!$S$15,"dl", 'Personal Info'!$W$15,"")&lt; IF(_uom="lbs", 175, 80), 1.25, IF(_uom="lbs",5,2.5)))),"")</f>
        <v/>
      </c>
      <c r="J131" s="148"/>
      <c r="K131" s="33"/>
      <c r="L131" s="171"/>
      <c r="M131" s="124" t="str">
        <f>IFERROR(__xludf.DUMMYFUNCTION("IF(I131=MAX(FILTER(I$10:I$199,LOOKUP(ROW(C$10:C$199),FILTER(ROW(C$10:C$199),C$10:C$199&lt;&gt;C$9:C$198))=LOOKUP(ROW(C131),FILTER(ROW(C$10:C$199),C$10:C$199&lt;&gt;C$9:C$198)))),J131,)"),"")</f>
        <v/>
      </c>
      <c r="N131" s="122"/>
      <c r="O131" s="33"/>
      <c r="P131" s="143" t="str">
        <f t="shared" si="12"/>
        <v/>
      </c>
      <c r="Q131" s="38" t="str">
        <f>IFERROR(__xludf.DUMMYFUNCTION("""COMPUTED_VALUE"""),"")</f>
        <v/>
      </c>
      <c r="R131" s="144">
        <v>46118.0</v>
      </c>
      <c r="S131" s="167" t="str">
        <f t="shared" si="13"/>
        <v/>
      </c>
      <c r="T131" s="168" t="str">
        <f t="shared" si="319"/>
        <v/>
      </c>
      <c r="U131" s="169" t="str">
        <f t="shared" si="320"/>
        <v/>
      </c>
      <c r="V131" s="172" t="str">
        <f t="shared" si="321"/>
        <v/>
      </c>
      <c r="W131" s="171" t="str">
        <f t="array" ref="W131">IFERROR(IF(Q131="ac"+ISNUMBER(SEARCH("'",V131))+U131="","", IF(ISNUMBER(SEARCH("lw",V131)), I131 + SUBSTITUTE(V131,"lw+",""), MROUND(SWITCH(Q131,"sq",U$7,"bn",V$7,"dl",W$7,"")*IF(V131&gt;10, V131/100, VLOOKUP(V131, _rpe,SUBSTITUTE(U131,"+","")+1,0)), IF( SWITCH(Q131,"sq",U$7,"bn",V$7,"dl", W$7,"")&lt; IF(_uom="lbs", 175, 80), 1.25, IF(_uom="lbs",5,2.5))))), "")</f>
        <v/>
      </c>
      <c r="X131" s="148"/>
      <c r="Y131" s="33"/>
      <c r="Z131" s="171"/>
      <c r="AA131" s="124" t="str">
        <f>IFERROR(__xludf.DUMMYFUNCTION("IF(W131=MAX(FILTER(W$10:W$199,LOOKUP(ROW(Q$10:Q$199),FILTER(ROW(Q$10:Q$199),Q$10:Q$199&lt;&gt;Q$9:Q$198))=LOOKUP(ROW(Q131),FILTER(ROW(Q$10:Q$199),Q$10:Q$199&lt;&gt;Q$9:Q$198)))),X131,)"),"")</f>
        <v/>
      </c>
      <c r="AB131" s="122"/>
      <c r="AC131" s="33"/>
      <c r="AD131" s="143" t="str">
        <f t="shared" si="14"/>
        <v/>
      </c>
      <c r="AE131" s="38" t="str">
        <f>IFERROR(__xludf.DUMMYFUNCTION("""COMPUTED_VALUE"""),"")</f>
        <v/>
      </c>
      <c r="AF131" s="144">
        <v>46125.0</v>
      </c>
      <c r="AG131" s="167" t="str">
        <f t="shared" si="54"/>
        <v/>
      </c>
      <c r="AH131" s="168" t="str">
        <f t="shared" si="322"/>
        <v/>
      </c>
      <c r="AI131" s="169" t="str">
        <f t="shared" si="323"/>
        <v/>
      </c>
      <c r="AJ131" s="172" t="str">
        <f t="shared" si="324"/>
        <v/>
      </c>
      <c r="AK131" s="171" t="str">
        <f t="array" ref="AK131">IFERROR(IF(AE131="ac"+ISNUMBER(SEARCH("'",AJ131))+AI131="","", IF(ISNUMBER(SEARCH("lw",AJ131)), W131 + SUBSTITUTE(AJ131,"lw+",""), MROUND(SWITCH(AE131,"sq",AI$7,"bn",AJ$7,"dl",AK$7,"")*IF(AJ131&gt;10, AJ131/100, VLOOKUP(AJ131, _rpe,SUBSTITUTE(AI131,"+","")+1,0)), IF( SWITCH(AE131,"sq",AI$7,"bn",AJ$7,"dl", AK$7,"")&lt; IF(_uom="lbs", 175, 80), 1.25, IF(_uom="lbs",5,2.5))))), "")</f>
        <v/>
      </c>
      <c r="AL131" s="148"/>
      <c r="AM131" s="33"/>
      <c r="AN131" s="171"/>
      <c r="AO131" s="124" t="str">
        <f>IFERROR(__xludf.DUMMYFUNCTION("IF(AK131=MAX(FILTER(AK$10:AK$199,LOOKUP(ROW(AE$10:AE$199),FILTER(ROW(AE$10:AE$199),AE$10:AE$199&lt;&gt;AE$9:AE$198))=LOOKUP(ROW(AE131),FILTER(ROW(AE$10:AE$199),AE$10:AE$199&lt;&gt;AE$9:AE$198)))),AL131,)"),"")</f>
        <v/>
      </c>
      <c r="AP131" s="122"/>
      <c r="AQ131" s="33"/>
      <c r="AR131" s="143" t="str">
        <f t="shared" si="16"/>
        <v/>
      </c>
      <c r="AS131" s="38" t="str">
        <f>IFERROR(__xludf.DUMMYFUNCTION("""COMPUTED_VALUE"""),"")</f>
        <v/>
      </c>
      <c r="AT131" s="144">
        <v>46132.0</v>
      </c>
      <c r="AU131" s="167" t="str">
        <f t="shared" si="26"/>
        <v/>
      </c>
      <c r="AV131" s="168" t="str">
        <f t="shared" si="325"/>
        <v/>
      </c>
      <c r="AW131" s="169" t="str">
        <f t="shared" si="326"/>
        <v/>
      </c>
      <c r="AX131" s="172" t="str">
        <f t="shared" si="327"/>
        <v/>
      </c>
      <c r="AY131" s="171" t="str">
        <f t="array" ref="AY131">IFERROR(IF(AS131="ac"+ISNUMBER(SEARCH("'",AX131))+AW131="","", IF(ISNUMBER(SEARCH("lw",AX131)), AK131 + SUBSTITUTE(AX131,"lw+",""), MROUND(SWITCH(AS131,"sq",AW$7,"bn",AX$7,"dl",AY$7,"")*IF(AX131&gt;10, AX131/100, VLOOKUP(AX131, _rpe,SUBSTITUTE(AW131,"+","")+1,0)), IF( SWITCH(AS131,"sq",AW$7,"bn",AX$7,"dl", AY$7,"")&lt; IF(_uom="lbs", 175, 80), 1.25, IF(_uom="lbs",5,2.5))))), "")</f>
        <v/>
      </c>
      <c r="AZ131" s="148"/>
      <c r="BA131" s="33"/>
      <c r="BB131" s="171"/>
      <c r="BC131" s="124" t="str">
        <f>IFERROR(__xludf.DUMMYFUNCTION("IF(AY131=MAX(FILTER(AY$10:AY$199,LOOKUP(ROW(AS$10:AS$199),FILTER(ROW(AS$10:AS$199),AS$10:AS$199&lt;&gt;AS$9:AS$198))=LOOKUP(ROW(AS131),FILTER(ROW(AS$10:AS$199),AS$10:AS$199&lt;&gt;AS$9:AS$198)))),AZ131,)"),"")</f>
        <v/>
      </c>
      <c r="BD131" s="122"/>
      <c r="BE131" s="33"/>
      <c r="BF131" s="143" t="str">
        <f t="shared" si="17"/>
        <v/>
      </c>
      <c r="BG131" s="38" t="str">
        <f>IFERROR(__xludf.DUMMYFUNCTION("""COMPUTED_VALUE"""),"")</f>
        <v/>
      </c>
      <c r="BH131" s="144">
        <v>46139.0</v>
      </c>
      <c r="BI131" s="167" t="str">
        <f t="shared" si="18"/>
        <v/>
      </c>
      <c r="BJ131" s="168" t="str">
        <f t="shared" si="328"/>
        <v/>
      </c>
      <c r="BK131" s="169" t="str">
        <f t="shared" si="329"/>
        <v/>
      </c>
      <c r="BL131" s="172" t="str">
        <f t="shared" si="330"/>
        <v/>
      </c>
      <c r="BM131" s="171" t="str">
        <f t="array" ref="BM131">IFERROR(IF(BG131="ac"+ISNUMBER(SEARCH("'",BL131))+BK131="","", IF(ISNUMBER(SEARCH("lw",BL131)), AY131 + SUBSTITUTE(BL131,"lw+",""), MROUND(SWITCH(BG131,"sq",BK$7,"bn",BL$7,"dl",BM$7,"")*IF(BL131&gt;10, BL131/100, VLOOKUP(BL131, _rpe,SUBSTITUTE(BK131,"+","")+1,0)), IF( SWITCH(BG131,"sq",BK$7,"bn",BL$7,"dl", BM$7,"")&lt; IF(_uom="lbs", 175, 80), 1.25, IF(_uom="lbs",5,2.5))))), "")</f>
        <v/>
      </c>
      <c r="BN131" s="148"/>
      <c r="BO131" s="33"/>
      <c r="BP131" s="171"/>
      <c r="BQ131" s="124" t="str">
        <f>IFERROR(__xludf.DUMMYFUNCTION("IF(BM131=MAX(FILTER(BM$10:BM$199,LOOKUP(ROW(BG$10:BG$199),FILTER(ROW(BG$10:BG$199),BG$10:BG$199&lt;&gt;BG$9:BG$198))=LOOKUP(ROW(BG131),FILTER(ROW(BG$10:BG$199),BG$10:BG$199&lt;&gt;BG$9:BG$198)))),BN131,)"),"")</f>
        <v/>
      </c>
      <c r="BR131" s="122"/>
      <c r="BS131" s="33"/>
      <c r="BT131" s="143" t="str">
        <f t="shared" si="19"/>
        <v/>
      </c>
      <c r="BU131" s="38" t="str">
        <f>IFERROR(__xludf.DUMMYFUNCTION("""COMPUTED_VALUE"""),"")</f>
        <v/>
      </c>
      <c r="BV131" s="144">
        <v>46146.0</v>
      </c>
      <c r="BW131" s="167" t="str">
        <f t="shared" si="20"/>
        <v/>
      </c>
      <c r="BX131" s="168" t="str">
        <f t="shared" si="331"/>
        <v/>
      </c>
      <c r="BY131" s="169" t="str">
        <f t="shared" si="332"/>
        <v/>
      </c>
      <c r="BZ131" s="172" t="str">
        <f t="shared" si="333"/>
        <v/>
      </c>
      <c r="CA131" s="171" t="str">
        <f t="array" ref="CA131">IFERROR(IF(BU131="ac"+ISNUMBER(SEARCH("'",BZ131))+BY131="","", IF(ISNUMBER(SEARCH("lw",BZ131)), BM131 + SUBSTITUTE(BZ131,"lw+",""), MROUND(SWITCH(BU131,"sq",BY$7,"bn",BZ$7,"dl",CA$7,"")*IF(BZ131&gt;10, BZ131/100, VLOOKUP(BZ131, _rpe,SUBSTITUTE(BY131,"+","")+1,0)), IF( SWITCH(BU131,"sq",BY$7,"bn",BZ$7,"dl", CA$7,"")&lt; IF(_uom="lbs", 175, 80), 1.25, IF(_uom="lbs",5,2.5))))), "")</f>
        <v/>
      </c>
      <c r="CB131" s="148"/>
      <c r="CC131" s="33"/>
      <c r="CD131" s="171"/>
      <c r="CE131" s="124" t="str">
        <f>IFERROR(__xludf.DUMMYFUNCTION("IF(CA131=MAX(FILTER(CA$10:CA$199,LOOKUP(ROW(BU$10:BU$199),FILTER(ROW(BU$10:BU$199),BU$10:BU$199&lt;&gt;BU$9:BU$198))=LOOKUP(ROW(BU131),FILTER(ROW(BU$10:BU$199),BU$10:BU$199&lt;&gt;BU$9:BU$198)))),CB131,)"),"")</f>
        <v/>
      </c>
      <c r="CF131" s="122"/>
      <c r="CG131" s="33"/>
      <c r="CH131" s="143" t="str">
        <f t="shared" si="21"/>
        <v/>
      </c>
      <c r="CI131" s="38" t="str">
        <f>IFERROR(__xludf.DUMMYFUNCTION("""COMPUTED_VALUE"""),"")</f>
        <v/>
      </c>
      <c r="CJ131" s="144">
        <v>46153.0</v>
      </c>
      <c r="CK131" s="167" t="str">
        <f t="shared" si="27"/>
        <v/>
      </c>
      <c r="CL131" s="168" t="str">
        <f t="shared" si="334"/>
        <v/>
      </c>
      <c r="CM131" s="169" t="str">
        <f t="shared" si="335"/>
        <v/>
      </c>
      <c r="CN131" s="172" t="str">
        <f t="shared" si="336"/>
        <v/>
      </c>
      <c r="CO131" s="171" t="str">
        <f t="array" ref="CO131">IFERROR(IF(CI131="ac"+ISNUMBER(SEARCH("'",CN131))+CM131="","", IF(ISNUMBER(SEARCH("lw",CN131)), CA131 + SUBSTITUTE(CN131,"lw+",""), MROUND(SWITCH(CI131,"sq",CM$7,"bn",CN$7,"dl",CO$7,"")*IF(CN131&gt;10, CN131/100, VLOOKUP(CN131, _rpe,SUBSTITUTE(CM131,"+","")+1,0)), IF( SWITCH(CI131,"sq",CM$7,"bn",CN$7,"dl", CO$7,"")&lt; IF(_uom="lbs", 175, 80), 1.25, IF(_uom="lbs",5,2.5))))), "")</f>
        <v/>
      </c>
      <c r="CP131" s="148"/>
      <c r="CQ131" s="33"/>
      <c r="CR131" s="171"/>
      <c r="CS131" s="124" t="str">
        <f>IFERROR(__xludf.DUMMYFUNCTION("IF(CO131=MAX(FILTER(CO$10:CO$199,LOOKUP(ROW(CI$10:CI$199),FILTER(ROW(CI$10:CI$199),CI$10:CI$199&lt;&gt;CI$9:CI$198))=LOOKUP(ROW(CI131),FILTER(ROW(CI$10:CI$199),CI$10:CI$199&lt;&gt;CI$9:CI$198)))),CP131,)"),"")</f>
        <v/>
      </c>
      <c r="CT131" s="122"/>
      <c r="CU131" s="33"/>
      <c r="CV131" s="143" t="str">
        <f t="shared" si="22"/>
        <v/>
      </c>
      <c r="CW131" s="38" t="str">
        <f>IFERROR(__xludf.DUMMYFUNCTION("""COMPUTED_VALUE"""),"")</f>
        <v/>
      </c>
      <c r="CX131" s="144">
        <v>46160.0</v>
      </c>
      <c r="CY131" s="167" t="str">
        <f t="shared" si="28"/>
        <v/>
      </c>
      <c r="CZ131" s="168" t="str">
        <f t="shared" si="337"/>
        <v/>
      </c>
      <c r="DA131" s="169" t="str">
        <f t="shared" si="338"/>
        <v/>
      </c>
      <c r="DB131" s="172" t="str">
        <f t="shared" si="339"/>
        <v/>
      </c>
      <c r="DC131" s="171" t="str">
        <f t="array" ref="DC131">IFERROR(IF(CW131="ac"+ISNUMBER(SEARCH("'",DB131))+DA131="","", IF(ISNUMBER(SEARCH("lw",DB131)), CO131 + SUBSTITUTE(DB131,"lw+",""), MROUND(SWITCH(CW131,"sq",DA$7,"bn",DB$7,"dl",DC$7,"")*IF(DB131&gt;10, DB131/100, VLOOKUP(DB131, _rpe,SUBSTITUTE(DA131,"+","")+1,0)), IF( SWITCH(CW131,"sq",DA$7,"bn",DB$7,"dl", DC$7,"")&lt; IF(_uom="lbs", 175, 80), 1.25, IF(_uom="lbs",5,2.5))))), "")</f>
        <v/>
      </c>
      <c r="DD131" s="148"/>
      <c r="DE131" s="33"/>
      <c r="DF131" s="171"/>
      <c r="DG131" s="124" t="str">
        <f>IFERROR(__xludf.DUMMYFUNCTION("IF(DC131=MAX(FILTER(DC$10:DC$199,LOOKUP(ROW(CW$10:CW$199),FILTER(ROW(CW$10:CW$199),CW$10:CW$199&lt;&gt;CW$9:CW$198))=LOOKUP(ROW(CW131),FILTER(ROW(CW$10:CW$199),CW$10:CW$199&lt;&gt;CW$9:CW$198)))),DD131,)"),"")</f>
        <v/>
      </c>
      <c r="DH131" s="122"/>
      <c r="DI131" s="33"/>
      <c r="DJ131" s="143" t="str">
        <f t="shared" si="23"/>
        <v/>
      </c>
      <c r="DK131" s="38" t="str">
        <f>IFERROR(__xludf.DUMMYFUNCTION("""COMPUTED_VALUE"""),"")</f>
        <v/>
      </c>
      <c r="DL131" s="144">
        <v>46167.0</v>
      </c>
      <c r="DM131" s="167" t="str">
        <f t="shared" ref="DM131:DN131" si="383">IF(ISBLANK(CY131),"",CY131)</f>
        <v/>
      </c>
      <c r="DN131" s="168" t="str">
        <f t="shared" si="383"/>
        <v/>
      </c>
      <c r="DO131" s="169" t="str">
        <f t="shared" si="341"/>
        <v/>
      </c>
      <c r="DP131" s="172" t="str">
        <f t="shared" si="342"/>
        <v/>
      </c>
      <c r="DQ131" s="171" t="str">
        <f t="array" ref="DQ131">IFERROR(IF(DK131="ac"+ISNUMBER(SEARCH("'",DP131))+DO131="","", IF(ISNUMBER(SEARCH("lw",DP131)), DC131 + SUBSTITUTE(DP131,"lw+",""), MROUND(SWITCH(DK131,"sq",DO$7,"bn",DP$7,"dl",DQ$7,"")*IF(DP131&gt;10, DP131/100, VLOOKUP(DP131, _rpe,SUBSTITUTE(DO131,"+","")+1,0)), IF( SWITCH(DK131,"sq",DO$7,"bn",DP$7,"dl", DQ$7,"")&lt; IF(_uom="lbs", 175, 80), 1.25, IF(_uom="lbs",5,2.5))))), "")</f>
        <v/>
      </c>
      <c r="DR131" s="148"/>
      <c r="DS131" s="33"/>
      <c r="DT131" s="171"/>
      <c r="DU131" s="124" t="str">
        <f>IFERROR(__xludf.DUMMYFUNCTION("IF(DQ131=MAX(FILTER(DQ$10:DQ$199,LOOKUP(ROW(DK$10:DK$199),FILTER(ROW(DK$10:DK$199),DK$10:DK$199&lt;&gt;DK$9:DK$198))=LOOKUP(ROW(DK131),FILTER(ROW(DK$10:DK$199),DK$10:DK$199&lt;&gt;DK$9:DK$198)))),DR131,)"),"")</f>
        <v/>
      </c>
      <c r="DV131" s="122"/>
      <c r="DW131" s="33"/>
      <c r="DX131" s="143"/>
      <c r="DY131" s="38"/>
      <c r="DZ131" s="144"/>
      <c r="EA131" s="150"/>
      <c r="EB131" s="174"/>
      <c r="EC131" s="175"/>
      <c r="ED131" s="176"/>
      <c r="EE131" s="155"/>
      <c r="EF131" s="148"/>
      <c r="EG131" s="33"/>
      <c r="EH131" s="155"/>
      <c r="EI131" s="148"/>
      <c r="EJ131" s="33"/>
      <c r="EK131" s="33"/>
      <c r="EL131" s="143"/>
      <c r="EM131" s="38"/>
      <c r="EN131" s="144"/>
      <c r="EO131" s="150"/>
      <c r="EP131" s="174"/>
      <c r="EQ131" s="175"/>
      <c r="ER131" s="176"/>
      <c r="ES131" s="155"/>
      <c r="ET131" s="148"/>
      <c r="EU131" s="33"/>
      <c r="EV131" s="155"/>
      <c r="EW131" s="148"/>
      <c r="EX131" s="33"/>
      <c r="EY131" s="33"/>
      <c r="EZ131" s="143"/>
      <c r="FA131" s="38"/>
      <c r="FB131" s="144"/>
      <c r="FC131" s="150"/>
      <c r="FD131" s="174"/>
      <c r="FE131" s="175"/>
      <c r="FF131" s="176"/>
      <c r="FG131" s="155"/>
      <c r="FH131" s="148"/>
      <c r="FI131" s="33"/>
      <c r="FJ131" s="155"/>
      <c r="FK131" s="148"/>
      <c r="FL131" s="33"/>
      <c r="FM131" s="33"/>
      <c r="FN131" s="143"/>
      <c r="FO131" s="38"/>
      <c r="FP131" s="144"/>
      <c r="FQ131" s="150"/>
      <c r="FR131" s="174"/>
      <c r="FS131" s="175"/>
      <c r="FT131" s="176"/>
      <c r="FU131" s="155"/>
      <c r="FV131" s="148"/>
      <c r="FW131" s="33"/>
      <c r="FX131" s="155"/>
      <c r="FY131" s="148"/>
      <c r="FZ131" s="33"/>
      <c r="GA131" s="33"/>
      <c r="GB131" s="143"/>
      <c r="GC131" s="38"/>
      <c r="GD131" s="144"/>
      <c r="GE131" s="150"/>
      <c r="GF131" s="174"/>
      <c r="GG131" s="175"/>
      <c r="GH131" s="176"/>
      <c r="GI131" s="155"/>
      <c r="GJ131" s="148"/>
      <c r="GK131" s="33"/>
      <c r="GL131" s="155"/>
      <c r="GM131" s="148"/>
      <c r="GN131" s="33"/>
      <c r="GO131" s="33"/>
      <c r="GP131" s="143"/>
      <c r="GQ131" s="38"/>
      <c r="GR131" s="144"/>
      <c r="GS131" s="150"/>
      <c r="GT131" s="174"/>
      <c r="GU131" s="175"/>
      <c r="GV131" s="176"/>
      <c r="GW131" s="155"/>
      <c r="GX131" s="148"/>
      <c r="GY131" s="33"/>
      <c r="GZ131" s="155"/>
      <c r="HA131" s="148"/>
      <c r="HB131" s="33"/>
      <c r="HC131" s="33"/>
      <c r="HD131" s="143"/>
      <c r="HE131" s="38"/>
      <c r="HF131" s="144"/>
      <c r="HG131" s="150"/>
      <c r="HH131" s="174"/>
      <c r="HI131" s="175"/>
      <c r="HJ131" s="176"/>
      <c r="HK131" s="155"/>
      <c r="HL131" s="148"/>
      <c r="HM131" s="33"/>
      <c r="HN131" s="155"/>
      <c r="HO131" s="148"/>
      <c r="HP131" s="33"/>
      <c r="HQ131" s="33"/>
      <c r="HR131" s="143"/>
      <c r="HS131" s="38"/>
      <c r="HT131" s="144"/>
      <c r="HU131" s="150"/>
      <c r="HV131" s="174"/>
      <c r="HW131" s="175"/>
      <c r="HX131" s="176"/>
      <c r="HY131" s="155"/>
      <c r="HZ131" s="148"/>
      <c r="IA131" s="33"/>
      <c r="IB131" s="155"/>
      <c r="IC131" s="148"/>
      <c r="ID131" s="33"/>
      <c r="IE131" s="33"/>
      <c r="IF131" s="143"/>
      <c r="IG131" s="38"/>
      <c r="IH131" s="144"/>
      <c r="II131" s="150"/>
      <c r="IJ131" s="174"/>
      <c r="IK131" s="175"/>
      <c r="IL131" s="176"/>
      <c r="IM131" s="155"/>
      <c r="IN131" s="148"/>
      <c r="IO131" s="33"/>
      <c r="IP131" s="155"/>
      <c r="IQ131" s="148"/>
      <c r="IR131" s="33"/>
      <c r="IS131" s="33"/>
      <c r="IT131" s="143"/>
      <c r="IU131" s="38"/>
      <c r="IV131" s="144"/>
      <c r="IW131" s="143"/>
      <c r="IX131" s="38"/>
      <c r="IY131" s="144" t="e">
        <v>#REF!</v>
      </c>
    </row>
    <row r="132">
      <c r="A132" s="33"/>
      <c r="B132" s="181"/>
      <c r="C132" s="38" t="str">
        <f>IFERROR(__xludf.DUMMYFUNCTION("""COMPUTED_VALUE"""),"")</f>
        <v/>
      </c>
      <c r="D132" s="144">
        <v>46111.0</v>
      </c>
      <c r="E132" s="167"/>
      <c r="F132" s="168"/>
      <c r="G132" s="169"/>
      <c r="H132" s="170"/>
      <c r="I132" s="171" t="str">
        <f t="array" ref="I132">IFERROR(IF(C132="ac"+ISNUMBER(SEARCH("'",H132))+G132="","", MROUND(SWITCH(C132,"sq",'Personal Info'!$O$15,"bn",'Personal Info'!$S$15,"dl",'Personal Info'!$W$15,"")*IF(H132&gt;10, H132/100, VLOOKUP(H132, _rpe,SUBSTITUTE(G132,"+","")+1,0)), IF( SWITCH(C132:C210,"sq",'Personal Info'!$O$15,"bn",'Personal Info'!$S$15,"dl", 'Personal Info'!$W$15,"")&lt; IF(_uom="lbs", 175, 80), 1.25, IF(_uom="lbs",5,2.5)))),"")</f>
        <v/>
      </c>
      <c r="J132" s="148"/>
      <c r="K132" s="33"/>
      <c r="L132" s="171"/>
      <c r="M132" s="124" t="str">
        <f>IFERROR(__xludf.DUMMYFUNCTION("IF(I132=MAX(FILTER(I$10:I$199,LOOKUP(ROW(C$10:C$199),FILTER(ROW(C$10:C$199),C$10:C$199&lt;&gt;C$9:C$198))=LOOKUP(ROW(C132),FILTER(ROW(C$10:C$199),C$10:C$199&lt;&gt;C$9:C$198)))),J132,)"),"")</f>
        <v/>
      </c>
      <c r="N132" s="122"/>
      <c r="O132" s="33"/>
      <c r="P132" s="143" t="str">
        <f t="shared" si="12"/>
        <v/>
      </c>
      <c r="Q132" s="38" t="str">
        <f>IFERROR(__xludf.DUMMYFUNCTION("""COMPUTED_VALUE"""),"")</f>
        <v/>
      </c>
      <c r="R132" s="144">
        <v>46118.0</v>
      </c>
      <c r="S132" s="167" t="str">
        <f t="shared" si="13"/>
        <v/>
      </c>
      <c r="T132" s="168" t="str">
        <f t="shared" si="319"/>
        <v/>
      </c>
      <c r="U132" s="169" t="str">
        <f t="shared" si="320"/>
        <v/>
      </c>
      <c r="V132" s="172" t="str">
        <f t="shared" si="321"/>
        <v/>
      </c>
      <c r="W132" s="171" t="str">
        <f t="array" ref="W132">IFERROR(IF(Q132="ac"+ISNUMBER(SEARCH("'",V132))+U132="","", IF(ISNUMBER(SEARCH("lw",V132)), I132 + SUBSTITUTE(V132,"lw+",""), MROUND(SWITCH(Q132,"sq",U$7,"bn",V$7,"dl",W$7,"")*IF(V132&gt;10, V132/100, VLOOKUP(V132, _rpe,SUBSTITUTE(U132,"+","")+1,0)), IF( SWITCH(Q132,"sq",U$7,"bn",V$7,"dl", W$7,"")&lt; IF(_uom="lbs", 175, 80), 1.25, IF(_uom="lbs",5,2.5))))), "")</f>
        <v/>
      </c>
      <c r="X132" s="148"/>
      <c r="Y132" s="33"/>
      <c r="Z132" s="171"/>
      <c r="AA132" s="124" t="str">
        <f>IFERROR(__xludf.DUMMYFUNCTION("IF(W132=MAX(FILTER(W$10:W$199,LOOKUP(ROW(Q$10:Q$199),FILTER(ROW(Q$10:Q$199),Q$10:Q$199&lt;&gt;Q$9:Q$198))=LOOKUP(ROW(Q132),FILTER(ROW(Q$10:Q$199),Q$10:Q$199&lt;&gt;Q$9:Q$198)))),X132,)"),"")</f>
        <v/>
      </c>
      <c r="AB132" s="122"/>
      <c r="AC132" s="33"/>
      <c r="AD132" s="143" t="str">
        <f t="shared" si="14"/>
        <v/>
      </c>
      <c r="AE132" s="38" t="str">
        <f>IFERROR(__xludf.DUMMYFUNCTION("""COMPUTED_VALUE"""),"")</f>
        <v/>
      </c>
      <c r="AF132" s="144">
        <v>46125.0</v>
      </c>
      <c r="AG132" s="167" t="str">
        <f t="shared" si="54"/>
        <v/>
      </c>
      <c r="AH132" s="168" t="str">
        <f t="shared" si="322"/>
        <v/>
      </c>
      <c r="AI132" s="169" t="str">
        <f t="shared" si="323"/>
        <v/>
      </c>
      <c r="AJ132" s="172" t="str">
        <f t="shared" si="324"/>
        <v/>
      </c>
      <c r="AK132" s="171" t="str">
        <f t="array" ref="AK132">IFERROR(IF(AE132="ac"+ISNUMBER(SEARCH("'",AJ132))+AI132="","", IF(ISNUMBER(SEARCH("lw",AJ132)), W132 + SUBSTITUTE(AJ132,"lw+",""), MROUND(SWITCH(AE132,"sq",AI$7,"bn",AJ$7,"dl",AK$7,"")*IF(AJ132&gt;10, AJ132/100, VLOOKUP(AJ132, _rpe,SUBSTITUTE(AI132,"+","")+1,0)), IF( SWITCH(AE132,"sq",AI$7,"bn",AJ$7,"dl", AK$7,"")&lt; IF(_uom="lbs", 175, 80), 1.25, IF(_uom="lbs",5,2.5))))), "")</f>
        <v/>
      </c>
      <c r="AL132" s="148"/>
      <c r="AM132" s="33"/>
      <c r="AN132" s="171"/>
      <c r="AO132" s="124" t="str">
        <f>IFERROR(__xludf.DUMMYFUNCTION("IF(AK132=MAX(FILTER(AK$10:AK$199,LOOKUP(ROW(AE$10:AE$199),FILTER(ROW(AE$10:AE$199),AE$10:AE$199&lt;&gt;AE$9:AE$198))=LOOKUP(ROW(AE132),FILTER(ROW(AE$10:AE$199),AE$10:AE$199&lt;&gt;AE$9:AE$198)))),AL132,)"),"")</f>
        <v/>
      </c>
      <c r="AP132" s="122"/>
      <c r="AQ132" s="33"/>
      <c r="AR132" s="143" t="str">
        <f t="shared" si="16"/>
        <v/>
      </c>
      <c r="AS132" s="38" t="str">
        <f>IFERROR(__xludf.DUMMYFUNCTION("""COMPUTED_VALUE"""),"")</f>
        <v/>
      </c>
      <c r="AT132" s="144">
        <v>46132.0</v>
      </c>
      <c r="AU132" s="167" t="str">
        <f t="shared" si="26"/>
        <v/>
      </c>
      <c r="AV132" s="168" t="str">
        <f t="shared" si="325"/>
        <v/>
      </c>
      <c r="AW132" s="169" t="str">
        <f t="shared" si="326"/>
        <v/>
      </c>
      <c r="AX132" s="172" t="str">
        <f t="shared" si="327"/>
        <v/>
      </c>
      <c r="AY132" s="171" t="str">
        <f t="array" ref="AY132">IFERROR(IF(AS132="ac"+ISNUMBER(SEARCH("'",AX132))+AW132="","", IF(ISNUMBER(SEARCH("lw",AX132)), AK132 + SUBSTITUTE(AX132,"lw+",""), MROUND(SWITCH(AS132,"sq",AW$7,"bn",AX$7,"dl",AY$7,"")*IF(AX132&gt;10, AX132/100, VLOOKUP(AX132, _rpe,SUBSTITUTE(AW132,"+","")+1,0)), IF( SWITCH(AS132,"sq",AW$7,"bn",AX$7,"dl", AY$7,"")&lt; IF(_uom="lbs", 175, 80), 1.25, IF(_uom="lbs",5,2.5))))), "")</f>
        <v/>
      </c>
      <c r="AZ132" s="148"/>
      <c r="BA132" s="33"/>
      <c r="BB132" s="171"/>
      <c r="BC132" s="124" t="str">
        <f>IFERROR(__xludf.DUMMYFUNCTION("IF(AY132=MAX(FILTER(AY$10:AY$199,LOOKUP(ROW(AS$10:AS$199),FILTER(ROW(AS$10:AS$199),AS$10:AS$199&lt;&gt;AS$9:AS$198))=LOOKUP(ROW(AS132),FILTER(ROW(AS$10:AS$199),AS$10:AS$199&lt;&gt;AS$9:AS$198)))),AZ132,)"),"")</f>
        <v/>
      </c>
      <c r="BD132" s="122"/>
      <c r="BE132" s="33"/>
      <c r="BF132" s="143" t="str">
        <f t="shared" si="17"/>
        <v/>
      </c>
      <c r="BG132" s="38" t="str">
        <f>IFERROR(__xludf.DUMMYFUNCTION("""COMPUTED_VALUE"""),"")</f>
        <v/>
      </c>
      <c r="BH132" s="144">
        <v>46139.0</v>
      </c>
      <c r="BI132" s="167" t="str">
        <f t="shared" si="18"/>
        <v/>
      </c>
      <c r="BJ132" s="168" t="str">
        <f t="shared" si="328"/>
        <v/>
      </c>
      <c r="BK132" s="169" t="str">
        <f t="shared" si="329"/>
        <v/>
      </c>
      <c r="BL132" s="172" t="str">
        <f t="shared" si="330"/>
        <v/>
      </c>
      <c r="BM132" s="171" t="str">
        <f t="array" ref="BM132">IFERROR(IF(BG132="ac"+ISNUMBER(SEARCH("'",BL132))+BK132="","", IF(ISNUMBER(SEARCH("lw",BL132)), AY132 + SUBSTITUTE(BL132,"lw+",""), MROUND(SWITCH(BG132,"sq",BK$7,"bn",BL$7,"dl",BM$7,"")*IF(BL132&gt;10, BL132/100, VLOOKUP(BL132, _rpe,SUBSTITUTE(BK132,"+","")+1,0)), IF( SWITCH(BG132,"sq",BK$7,"bn",BL$7,"dl", BM$7,"")&lt; IF(_uom="lbs", 175, 80), 1.25, IF(_uom="lbs",5,2.5))))), "")</f>
        <v/>
      </c>
      <c r="BN132" s="148"/>
      <c r="BO132" s="33"/>
      <c r="BP132" s="171"/>
      <c r="BQ132" s="124" t="str">
        <f>IFERROR(__xludf.DUMMYFUNCTION("IF(BM132=MAX(FILTER(BM$10:BM$199,LOOKUP(ROW(BG$10:BG$199),FILTER(ROW(BG$10:BG$199),BG$10:BG$199&lt;&gt;BG$9:BG$198))=LOOKUP(ROW(BG132),FILTER(ROW(BG$10:BG$199),BG$10:BG$199&lt;&gt;BG$9:BG$198)))),BN132,)"),"")</f>
        <v/>
      </c>
      <c r="BR132" s="122"/>
      <c r="BS132" s="33"/>
      <c r="BT132" s="143" t="str">
        <f t="shared" si="19"/>
        <v/>
      </c>
      <c r="BU132" s="38" t="str">
        <f>IFERROR(__xludf.DUMMYFUNCTION("""COMPUTED_VALUE"""),"")</f>
        <v/>
      </c>
      <c r="BV132" s="144">
        <v>46146.0</v>
      </c>
      <c r="BW132" s="167" t="str">
        <f t="shared" si="20"/>
        <v/>
      </c>
      <c r="BX132" s="168" t="str">
        <f t="shared" si="331"/>
        <v/>
      </c>
      <c r="BY132" s="169" t="str">
        <f t="shared" si="332"/>
        <v/>
      </c>
      <c r="BZ132" s="172" t="str">
        <f t="shared" si="333"/>
        <v/>
      </c>
      <c r="CA132" s="171" t="str">
        <f t="array" ref="CA132">IFERROR(IF(BU132="ac"+ISNUMBER(SEARCH("'",BZ132))+BY132="","", IF(ISNUMBER(SEARCH("lw",BZ132)), BM132 + SUBSTITUTE(BZ132,"lw+",""), MROUND(SWITCH(BU132,"sq",BY$7,"bn",BZ$7,"dl",CA$7,"")*IF(BZ132&gt;10, BZ132/100, VLOOKUP(BZ132, _rpe,SUBSTITUTE(BY132,"+","")+1,0)), IF( SWITCH(BU132,"sq",BY$7,"bn",BZ$7,"dl", CA$7,"")&lt; IF(_uom="lbs", 175, 80), 1.25, IF(_uom="lbs",5,2.5))))), "")</f>
        <v/>
      </c>
      <c r="CB132" s="148"/>
      <c r="CC132" s="33"/>
      <c r="CD132" s="171"/>
      <c r="CE132" s="124" t="str">
        <f>IFERROR(__xludf.DUMMYFUNCTION("IF(CA132=MAX(FILTER(CA$10:CA$199,LOOKUP(ROW(BU$10:BU$199),FILTER(ROW(BU$10:BU$199),BU$10:BU$199&lt;&gt;BU$9:BU$198))=LOOKUP(ROW(BU132),FILTER(ROW(BU$10:BU$199),BU$10:BU$199&lt;&gt;BU$9:BU$198)))),CB132,)"),"")</f>
        <v/>
      </c>
      <c r="CF132" s="122"/>
      <c r="CG132" s="33"/>
      <c r="CH132" s="143" t="str">
        <f t="shared" si="21"/>
        <v/>
      </c>
      <c r="CI132" s="38" t="str">
        <f>IFERROR(__xludf.DUMMYFUNCTION("""COMPUTED_VALUE"""),"")</f>
        <v/>
      </c>
      <c r="CJ132" s="144">
        <v>46153.0</v>
      </c>
      <c r="CK132" s="167" t="str">
        <f t="shared" si="27"/>
        <v/>
      </c>
      <c r="CL132" s="168" t="str">
        <f t="shared" si="334"/>
        <v/>
      </c>
      <c r="CM132" s="169" t="str">
        <f t="shared" si="335"/>
        <v/>
      </c>
      <c r="CN132" s="172" t="str">
        <f t="shared" si="336"/>
        <v/>
      </c>
      <c r="CO132" s="171" t="str">
        <f t="array" ref="CO132">IFERROR(IF(CI132="ac"+ISNUMBER(SEARCH("'",CN132))+CM132="","", IF(ISNUMBER(SEARCH("lw",CN132)), CA132 + SUBSTITUTE(CN132,"lw+",""), MROUND(SWITCH(CI132,"sq",CM$7,"bn",CN$7,"dl",CO$7,"")*IF(CN132&gt;10, CN132/100, VLOOKUP(CN132, _rpe,SUBSTITUTE(CM132,"+","")+1,0)), IF( SWITCH(CI132,"sq",CM$7,"bn",CN$7,"dl", CO$7,"")&lt; IF(_uom="lbs", 175, 80), 1.25, IF(_uom="lbs",5,2.5))))), "")</f>
        <v/>
      </c>
      <c r="CP132" s="148"/>
      <c r="CQ132" s="33"/>
      <c r="CR132" s="171"/>
      <c r="CS132" s="124" t="str">
        <f>IFERROR(__xludf.DUMMYFUNCTION("IF(CO132=MAX(FILTER(CO$10:CO$199,LOOKUP(ROW(CI$10:CI$199),FILTER(ROW(CI$10:CI$199),CI$10:CI$199&lt;&gt;CI$9:CI$198))=LOOKUP(ROW(CI132),FILTER(ROW(CI$10:CI$199),CI$10:CI$199&lt;&gt;CI$9:CI$198)))),CP132,)"),"")</f>
        <v/>
      </c>
      <c r="CT132" s="122"/>
      <c r="CU132" s="33"/>
      <c r="CV132" s="143" t="str">
        <f t="shared" si="22"/>
        <v/>
      </c>
      <c r="CW132" s="38" t="str">
        <f>IFERROR(__xludf.DUMMYFUNCTION("""COMPUTED_VALUE"""),"")</f>
        <v/>
      </c>
      <c r="CX132" s="144">
        <v>46160.0</v>
      </c>
      <c r="CY132" s="167" t="str">
        <f t="shared" si="28"/>
        <v/>
      </c>
      <c r="CZ132" s="168" t="str">
        <f t="shared" si="337"/>
        <v/>
      </c>
      <c r="DA132" s="169" t="str">
        <f t="shared" si="338"/>
        <v/>
      </c>
      <c r="DB132" s="172" t="str">
        <f t="shared" si="339"/>
        <v/>
      </c>
      <c r="DC132" s="171" t="str">
        <f t="array" ref="DC132">IFERROR(IF(CW132="ac"+ISNUMBER(SEARCH("'",DB132))+DA132="","", IF(ISNUMBER(SEARCH("lw",DB132)), CO132 + SUBSTITUTE(DB132,"lw+",""), MROUND(SWITCH(CW132,"sq",DA$7,"bn",DB$7,"dl",DC$7,"")*IF(DB132&gt;10, DB132/100, VLOOKUP(DB132, _rpe,SUBSTITUTE(DA132,"+","")+1,0)), IF( SWITCH(CW132,"sq",DA$7,"bn",DB$7,"dl", DC$7,"")&lt; IF(_uom="lbs", 175, 80), 1.25, IF(_uom="lbs",5,2.5))))), "")</f>
        <v/>
      </c>
      <c r="DD132" s="148"/>
      <c r="DE132" s="33"/>
      <c r="DF132" s="171"/>
      <c r="DG132" s="124" t="str">
        <f>IFERROR(__xludf.DUMMYFUNCTION("IF(DC132=MAX(FILTER(DC$10:DC$199,LOOKUP(ROW(CW$10:CW$199),FILTER(ROW(CW$10:CW$199),CW$10:CW$199&lt;&gt;CW$9:CW$198))=LOOKUP(ROW(CW132),FILTER(ROW(CW$10:CW$199),CW$10:CW$199&lt;&gt;CW$9:CW$198)))),DD132,)"),"")</f>
        <v/>
      </c>
      <c r="DH132" s="122"/>
      <c r="DI132" s="33"/>
      <c r="DJ132" s="143" t="str">
        <f t="shared" si="23"/>
        <v/>
      </c>
      <c r="DK132" s="38" t="str">
        <f>IFERROR(__xludf.DUMMYFUNCTION("""COMPUTED_VALUE"""),"")</f>
        <v/>
      </c>
      <c r="DL132" s="144">
        <v>46167.0</v>
      </c>
      <c r="DM132" s="167" t="str">
        <f t="shared" ref="DM132:DN132" si="384">IF(ISBLANK(CY132),"",CY132)</f>
        <v/>
      </c>
      <c r="DN132" s="168" t="str">
        <f t="shared" si="384"/>
        <v/>
      </c>
      <c r="DO132" s="169" t="str">
        <f t="shared" si="341"/>
        <v/>
      </c>
      <c r="DP132" s="172" t="str">
        <f t="shared" si="342"/>
        <v/>
      </c>
      <c r="DQ132" s="171" t="str">
        <f t="array" ref="DQ132">IFERROR(IF(DK132="ac"+ISNUMBER(SEARCH("'",DP132))+DO132="","", IF(ISNUMBER(SEARCH("lw",DP132)), DC132 + SUBSTITUTE(DP132,"lw+",""), MROUND(SWITCH(DK132,"sq",DO$7,"bn",DP$7,"dl",DQ$7,"")*IF(DP132&gt;10, DP132/100, VLOOKUP(DP132, _rpe,SUBSTITUTE(DO132,"+","")+1,0)), IF( SWITCH(DK132,"sq",DO$7,"bn",DP$7,"dl", DQ$7,"")&lt; IF(_uom="lbs", 175, 80), 1.25, IF(_uom="lbs",5,2.5))))), "")</f>
        <v/>
      </c>
      <c r="DR132" s="148"/>
      <c r="DS132" s="33"/>
      <c r="DT132" s="171"/>
      <c r="DU132" s="124" t="str">
        <f>IFERROR(__xludf.DUMMYFUNCTION("IF(DQ132=MAX(FILTER(DQ$10:DQ$199,LOOKUP(ROW(DK$10:DK$199),FILTER(ROW(DK$10:DK$199),DK$10:DK$199&lt;&gt;DK$9:DK$198))=LOOKUP(ROW(DK132),FILTER(ROW(DK$10:DK$199),DK$10:DK$199&lt;&gt;DK$9:DK$198)))),DR132,)"),"")</f>
        <v/>
      </c>
      <c r="DV132" s="122"/>
      <c r="DW132" s="33"/>
      <c r="DX132" s="143"/>
      <c r="DY132" s="38"/>
      <c r="DZ132" s="144"/>
      <c r="EA132" s="150"/>
      <c r="EB132" s="174"/>
      <c r="EC132" s="175"/>
      <c r="ED132" s="176"/>
      <c r="EE132" s="155"/>
      <c r="EF132" s="148"/>
      <c r="EG132" s="33"/>
      <c r="EH132" s="155"/>
      <c r="EI132" s="148"/>
      <c r="EJ132" s="33"/>
      <c r="EK132" s="33"/>
      <c r="EL132" s="143"/>
      <c r="EM132" s="38"/>
      <c r="EN132" s="144"/>
      <c r="EO132" s="150"/>
      <c r="EP132" s="174"/>
      <c r="EQ132" s="175"/>
      <c r="ER132" s="176"/>
      <c r="ES132" s="155"/>
      <c r="ET132" s="148"/>
      <c r="EU132" s="33"/>
      <c r="EV132" s="155"/>
      <c r="EW132" s="148"/>
      <c r="EX132" s="33"/>
      <c r="EY132" s="33"/>
      <c r="EZ132" s="143"/>
      <c r="FA132" s="38"/>
      <c r="FB132" s="144"/>
      <c r="FC132" s="150"/>
      <c r="FD132" s="174"/>
      <c r="FE132" s="175"/>
      <c r="FF132" s="176"/>
      <c r="FG132" s="155"/>
      <c r="FH132" s="148"/>
      <c r="FI132" s="33"/>
      <c r="FJ132" s="155"/>
      <c r="FK132" s="148"/>
      <c r="FL132" s="33"/>
      <c r="FM132" s="33"/>
      <c r="FN132" s="143"/>
      <c r="FO132" s="38"/>
      <c r="FP132" s="144"/>
      <c r="FQ132" s="150"/>
      <c r="FR132" s="174"/>
      <c r="FS132" s="175"/>
      <c r="FT132" s="176"/>
      <c r="FU132" s="155"/>
      <c r="FV132" s="148"/>
      <c r="FW132" s="33"/>
      <c r="FX132" s="155"/>
      <c r="FY132" s="148"/>
      <c r="FZ132" s="33"/>
      <c r="GA132" s="33"/>
      <c r="GB132" s="143"/>
      <c r="GC132" s="38"/>
      <c r="GD132" s="144"/>
      <c r="GE132" s="150"/>
      <c r="GF132" s="174"/>
      <c r="GG132" s="175"/>
      <c r="GH132" s="176"/>
      <c r="GI132" s="155"/>
      <c r="GJ132" s="148"/>
      <c r="GK132" s="33"/>
      <c r="GL132" s="155"/>
      <c r="GM132" s="148"/>
      <c r="GN132" s="33"/>
      <c r="GO132" s="33"/>
      <c r="GP132" s="143"/>
      <c r="GQ132" s="38"/>
      <c r="GR132" s="144"/>
      <c r="GS132" s="150"/>
      <c r="GT132" s="174"/>
      <c r="GU132" s="175"/>
      <c r="GV132" s="176"/>
      <c r="GW132" s="155"/>
      <c r="GX132" s="148"/>
      <c r="GY132" s="33"/>
      <c r="GZ132" s="155"/>
      <c r="HA132" s="148"/>
      <c r="HB132" s="33"/>
      <c r="HC132" s="33"/>
      <c r="HD132" s="143"/>
      <c r="HE132" s="38"/>
      <c r="HF132" s="144"/>
      <c r="HG132" s="150"/>
      <c r="HH132" s="174"/>
      <c r="HI132" s="175"/>
      <c r="HJ132" s="176"/>
      <c r="HK132" s="155"/>
      <c r="HL132" s="148"/>
      <c r="HM132" s="33"/>
      <c r="HN132" s="155"/>
      <c r="HO132" s="148"/>
      <c r="HP132" s="33"/>
      <c r="HQ132" s="33"/>
      <c r="HR132" s="143"/>
      <c r="HS132" s="38"/>
      <c r="HT132" s="144"/>
      <c r="HU132" s="150"/>
      <c r="HV132" s="174"/>
      <c r="HW132" s="175"/>
      <c r="HX132" s="176"/>
      <c r="HY132" s="155"/>
      <c r="HZ132" s="148"/>
      <c r="IA132" s="33"/>
      <c r="IB132" s="155"/>
      <c r="IC132" s="148"/>
      <c r="ID132" s="33"/>
      <c r="IE132" s="33"/>
      <c r="IF132" s="143"/>
      <c r="IG132" s="38"/>
      <c r="IH132" s="144"/>
      <c r="II132" s="150"/>
      <c r="IJ132" s="174"/>
      <c r="IK132" s="175"/>
      <c r="IL132" s="176"/>
      <c r="IM132" s="155"/>
      <c r="IN132" s="148"/>
      <c r="IO132" s="33"/>
      <c r="IP132" s="155"/>
      <c r="IQ132" s="148"/>
      <c r="IR132" s="33"/>
      <c r="IS132" s="33"/>
      <c r="IT132" s="143"/>
      <c r="IU132" s="38"/>
      <c r="IV132" s="144"/>
      <c r="IW132" s="143"/>
      <c r="IX132" s="38"/>
      <c r="IY132" s="144" t="e">
        <v>#REF!</v>
      </c>
    </row>
    <row r="133">
      <c r="A133" s="33"/>
      <c r="B133" s="181"/>
      <c r="C133" s="38" t="str">
        <f>IFERROR(__xludf.DUMMYFUNCTION("""COMPUTED_VALUE"""),"")</f>
        <v/>
      </c>
      <c r="D133" s="144">
        <v>46111.0</v>
      </c>
      <c r="E133" s="167"/>
      <c r="F133" s="168"/>
      <c r="G133" s="169"/>
      <c r="H133" s="170"/>
      <c r="I133" s="171" t="str">
        <f t="array" ref="I133">IFERROR(IF(C133="ac"+ISNUMBER(SEARCH("'",H133))+G133="","", MROUND(SWITCH(C133,"sq",'Personal Info'!$O$15,"bn",'Personal Info'!$S$15,"dl",'Personal Info'!$W$15,"")*IF(H133&gt;10, H133/100, VLOOKUP(H133, _rpe,SUBSTITUTE(G133,"+","")+1,0)), IF( SWITCH(C133:C210,"sq",'Personal Info'!$O$15,"bn",'Personal Info'!$S$15,"dl", 'Personal Info'!$W$15,"")&lt; IF(_uom="lbs", 175, 80), 1.25, IF(_uom="lbs",5,2.5)))),"")</f>
        <v/>
      </c>
      <c r="J133" s="148"/>
      <c r="K133" s="33"/>
      <c r="L133" s="171"/>
      <c r="M133" s="124" t="str">
        <f>IFERROR(__xludf.DUMMYFUNCTION("IF(I133=MAX(FILTER(I$10:I$199,LOOKUP(ROW(C$10:C$199),FILTER(ROW(C$10:C$199),C$10:C$199&lt;&gt;C$9:C$198))=LOOKUP(ROW(C133),FILTER(ROW(C$10:C$199),C$10:C$199&lt;&gt;C$9:C$198)))),J133,)"),"")</f>
        <v/>
      </c>
      <c r="N133" s="122"/>
      <c r="O133" s="33"/>
      <c r="P133" s="143" t="str">
        <f t="shared" si="12"/>
        <v/>
      </c>
      <c r="Q133" s="38" t="str">
        <f>IFERROR(__xludf.DUMMYFUNCTION("""COMPUTED_VALUE"""),"")</f>
        <v/>
      </c>
      <c r="R133" s="144">
        <v>46118.0</v>
      </c>
      <c r="S133" s="167" t="str">
        <f t="shared" si="13"/>
        <v/>
      </c>
      <c r="T133" s="168" t="str">
        <f t="shared" si="319"/>
        <v/>
      </c>
      <c r="U133" s="169" t="str">
        <f t="shared" si="320"/>
        <v/>
      </c>
      <c r="V133" s="172" t="str">
        <f t="shared" si="321"/>
        <v/>
      </c>
      <c r="W133" s="171" t="str">
        <f t="array" ref="W133">IFERROR(IF(Q133="ac"+ISNUMBER(SEARCH("'",V133))+U133="","", IF(ISNUMBER(SEARCH("lw",V133)), I133 + SUBSTITUTE(V133,"lw+",""), MROUND(SWITCH(Q133,"sq",U$7,"bn",V$7,"dl",W$7,"")*IF(V133&gt;10, V133/100, VLOOKUP(V133, _rpe,SUBSTITUTE(U133,"+","")+1,0)), IF( SWITCH(Q133,"sq",U$7,"bn",V$7,"dl", W$7,"")&lt; IF(_uom="lbs", 175, 80), 1.25, IF(_uom="lbs",5,2.5))))), "")</f>
        <v/>
      </c>
      <c r="X133" s="148"/>
      <c r="Y133" s="33"/>
      <c r="Z133" s="171"/>
      <c r="AA133" s="124" t="str">
        <f>IFERROR(__xludf.DUMMYFUNCTION("IF(W133=MAX(FILTER(W$10:W$199,LOOKUP(ROW(Q$10:Q$199),FILTER(ROW(Q$10:Q$199),Q$10:Q$199&lt;&gt;Q$9:Q$198))=LOOKUP(ROW(Q133),FILTER(ROW(Q$10:Q$199),Q$10:Q$199&lt;&gt;Q$9:Q$198)))),X133,)"),"")</f>
        <v/>
      </c>
      <c r="AB133" s="122"/>
      <c r="AC133" s="33"/>
      <c r="AD133" s="143" t="str">
        <f t="shared" si="14"/>
        <v/>
      </c>
      <c r="AE133" s="38" t="str">
        <f>IFERROR(__xludf.DUMMYFUNCTION("""COMPUTED_VALUE"""),"")</f>
        <v/>
      </c>
      <c r="AF133" s="144">
        <v>46125.0</v>
      </c>
      <c r="AG133" s="167" t="str">
        <f t="shared" si="54"/>
        <v/>
      </c>
      <c r="AH133" s="168" t="str">
        <f t="shared" si="322"/>
        <v/>
      </c>
      <c r="AI133" s="169" t="str">
        <f t="shared" si="323"/>
        <v/>
      </c>
      <c r="AJ133" s="172" t="str">
        <f t="shared" si="324"/>
        <v/>
      </c>
      <c r="AK133" s="171" t="str">
        <f t="array" ref="AK133">IFERROR(IF(AE133="ac"+ISNUMBER(SEARCH("'",AJ133))+AI133="","", IF(ISNUMBER(SEARCH("lw",AJ133)), W133 + SUBSTITUTE(AJ133,"lw+",""), MROUND(SWITCH(AE133,"sq",AI$7,"bn",AJ$7,"dl",AK$7,"")*IF(AJ133&gt;10, AJ133/100, VLOOKUP(AJ133, _rpe,SUBSTITUTE(AI133,"+","")+1,0)), IF( SWITCH(AE133,"sq",AI$7,"bn",AJ$7,"dl", AK$7,"")&lt; IF(_uom="lbs", 175, 80), 1.25, IF(_uom="lbs",5,2.5))))), "")</f>
        <v/>
      </c>
      <c r="AL133" s="148"/>
      <c r="AM133" s="33"/>
      <c r="AN133" s="171"/>
      <c r="AO133" s="124" t="str">
        <f>IFERROR(__xludf.DUMMYFUNCTION("IF(AK133=MAX(FILTER(AK$10:AK$199,LOOKUP(ROW(AE$10:AE$199),FILTER(ROW(AE$10:AE$199),AE$10:AE$199&lt;&gt;AE$9:AE$198))=LOOKUP(ROW(AE133),FILTER(ROW(AE$10:AE$199),AE$10:AE$199&lt;&gt;AE$9:AE$198)))),AL133,)"),"")</f>
        <v/>
      </c>
      <c r="AP133" s="122"/>
      <c r="AQ133" s="33"/>
      <c r="AR133" s="143" t="str">
        <f t="shared" si="16"/>
        <v/>
      </c>
      <c r="AS133" s="38" t="str">
        <f>IFERROR(__xludf.DUMMYFUNCTION("""COMPUTED_VALUE"""),"")</f>
        <v/>
      </c>
      <c r="AT133" s="144">
        <v>46132.0</v>
      </c>
      <c r="AU133" s="167" t="str">
        <f t="shared" si="26"/>
        <v/>
      </c>
      <c r="AV133" s="168" t="str">
        <f t="shared" si="325"/>
        <v/>
      </c>
      <c r="AW133" s="169" t="str">
        <f t="shared" si="326"/>
        <v/>
      </c>
      <c r="AX133" s="172" t="str">
        <f t="shared" si="327"/>
        <v/>
      </c>
      <c r="AY133" s="171" t="str">
        <f t="array" ref="AY133">IFERROR(IF(AS133="ac"+ISNUMBER(SEARCH("'",AX133))+AW133="","", IF(ISNUMBER(SEARCH("lw",AX133)), AK133 + SUBSTITUTE(AX133,"lw+",""), MROUND(SWITCH(AS133,"sq",AW$7,"bn",AX$7,"dl",AY$7,"")*IF(AX133&gt;10, AX133/100, VLOOKUP(AX133, _rpe,SUBSTITUTE(AW133,"+","")+1,0)), IF( SWITCH(AS133,"sq",AW$7,"bn",AX$7,"dl", AY$7,"")&lt; IF(_uom="lbs", 175, 80), 1.25, IF(_uom="lbs",5,2.5))))), "")</f>
        <v/>
      </c>
      <c r="AZ133" s="148"/>
      <c r="BA133" s="33"/>
      <c r="BB133" s="171"/>
      <c r="BC133" s="124" t="str">
        <f>IFERROR(__xludf.DUMMYFUNCTION("IF(AY133=MAX(FILTER(AY$10:AY$199,LOOKUP(ROW(AS$10:AS$199),FILTER(ROW(AS$10:AS$199),AS$10:AS$199&lt;&gt;AS$9:AS$198))=LOOKUP(ROW(AS133),FILTER(ROW(AS$10:AS$199),AS$10:AS$199&lt;&gt;AS$9:AS$198)))),AZ133,)"),"")</f>
        <v/>
      </c>
      <c r="BD133" s="122"/>
      <c r="BE133" s="33"/>
      <c r="BF133" s="143" t="str">
        <f t="shared" si="17"/>
        <v/>
      </c>
      <c r="BG133" s="38" t="str">
        <f>IFERROR(__xludf.DUMMYFUNCTION("""COMPUTED_VALUE"""),"")</f>
        <v/>
      </c>
      <c r="BH133" s="144">
        <v>46139.0</v>
      </c>
      <c r="BI133" s="167" t="str">
        <f t="shared" si="18"/>
        <v/>
      </c>
      <c r="BJ133" s="168" t="str">
        <f t="shared" si="328"/>
        <v/>
      </c>
      <c r="BK133" s="169" t="str">
        <f t="shared" si="329"/>
        <v/>
      </c>
      <c r="BL133" s="172" t="str">
        <f t="shared" si="330"/>
        <v/>
      </c>
      <c r="BM133" s="171" t="str">
        <f t="array" ref="BM133">IFERROR(IF(BG133="ac"+ISNUMBER(SEARCH("'",BL133))+BK133="","", IF(ISNUMBER(SEARCH("lw",BL133)), AY133 + SUBSTITUTE(BL133,"lw+",""), MROUND(SWITCH(BG133,"sq",BK$7,"bn",BL$7,"dl",BM$7,"")*IF(BL133&gt;10, BL133/100, VLOOKUP(BL133, _rpe,SUBSTITUTE(BK133,"+","")+1,0)), IF( SWITCH(BG133,"sq",BK$7,"bn",BL$7,"dl", BM$7,"")&lt; IF(_uom="lbs", 175, 80), 1.25, IF(_uom="lbs",5,2.5))))), "")</f>
        <v/>
      </c>
      <c r="BN133" s="148"/>
      <c r="BO133" s="33"/>
      <c r="BP133" s="171"/>
      <c r="BQ133" s="124" t="str">
        <f>IFERROR(__xludf.DUMMYFUNCTION("IF(BM133=MAX(FILTER(BM$10:BM$199,LOOKUP(ROW(BG$10:BG$199),FILTER(ROW(BG$10:BG$199),BG$10:BG$199&lt;&gt;BG$9:BG$198))=LOOKUP(ROW(BG133),FILTER(ROW(BG$10:BG$199),BG$10:BG$199&lt;&gt;BG$9:BG$198)))),BN133,)"),"")</f>
        <v/>
      </c>
      <c r="BR133" s="122"/>
      <c r="BS133" s="33"/>
      <c r="BT133" s="143" t="str">
        <f t="shared" si="19"/>
        <v/>
      </c>
      <c r="BU133" s="38" t="str">
        <f>IFERROR(__xludf.DUMMYFUNCTION("""COMPUTED_VALUE"""),"")</f>
        <v/>
      </c>
      <c r="BV133" s="144">
        <v>46146.0</v>
      </c>
      <c r="BW133" s="167" t="str">
        <f t="shared" si="20"/>
        <v/>
      </c>
      <c r="BX133" s="168" t="str">
        <f t="shared" si="331"/>
        <v/>
      </c>
      <c r="BY133" s="169" t="str">
        <f t="shared" si="332"/>
        <v/>
      </c>
      <c r="BZ133" s="172" t="str">
        <f t="shared" si="333"/>
        <v/>
      </c>
      <c r="CA133" s="171" t="str">
        <f t="array" ref="CA133">IFERROR(IF(BU133="ac"+ISNUMBER(SEARCH("'",BZ133))+BY133="","", IF(ISNUMBER(SEARCH("lw",BZ133)), BM133 + SUBSTITUTE(BZ133,"lw+",""), MROUND(SWITCH(BU133,"sq",BY$7,"bn",BZ$7,"dl",CA$7,"")*IF(BZ133&gt;10, BZ133/100, VLOOKUP(BZ133, _rpe,SUBSTITUTE(BY133,"+","")+1,0)), IF( SWITCH(BU133,"sq",BY$7,"bn",BZ$7,"dl", CA$7,"")&lt; IF(_uom="lbs", 175, 80), 1.25, IF(_uom="lbs",5,2.5))))), "")</f>
        <v/>
      </c>
      <c r="CB133" s="148"/>
      <c r="CC133" s="33"/>
      <c r="CD133" s="171"/>
      <c r="CE133" s="124" t="str">
        <f>IFERROR(__xludf.DUMMYFUNCTION("IF(CA133=MAX(FILTER(CA$10:CA$199,LOOKUP(ROW(BU$10:BU$199),FILTER(ROW(BU$10:BU$199),BU$10:BU$199&lt;&gt;BU$9:BU$198))=LOOKUP(ROW(BU133),FILTER(ROW(BU$10:BU$199),BU$10:BU$199&lt;&gt;BU$9:BU$198)))),CB133,)"),"")</f>
        <v/>
      </c>
      <c r="CF133" s="122"/>
      <c r="CG133" s="33"/>
      <c r="CH133" s="143" t="str">
        <f t="shared" si="21"/>
        <v/>
      </c>
      <c r="CI133" s="38" t="str">
        <f>IFERROR(__xludf.DUMMYFUNCTION("""COMPUTED_VALUE"""),"")</f>
        <v/>
      </c>
      <c r="CJ133" s="144">
        <v>46153.0</v>
      </c>
      <c r="CK133" s="167" t="str">
        <f t="shared" si="27"/>
        <v/>
      </c>
      <c r="CL133" s="168" t="str">
        <f t="shared" si="334"/>
        <v/>
      </c>
      <c r="CM133" s="169" t="str">
        <f t="shared" si="335"/>
        <v/>
      </c>
      <c r="CN133" s="172" t="str">
        <f t="shared" si="336"/>
        <v/>
      </c>
      <c r="CO133" s="171" t="str">
        <f t="array" ref="CO133">IFERROR(IF(CI133="ac"+ISNUMBER(SEARCH("'",CN133))+CM133="","", IF(ISNUMBER(SEARCH("lw",CN133)), CA133 + SUBSTITUTE(CN133,"lw+",""), MROUND(SWITCH(CI133,"sq",CM$7,"bn",CN$7,"dl",CO$7,"")*IF(CN133&gt;10, CN133/100, VLOOKUP(CN133, _rpe,SUBSTITUTE(CM133,"+","")+1,0)), IF( SWITCH(CI133,"sq",CM$7,"bn",CN$7,"dl", CO$7,"")&lt; IF(_uom="lbs", 175, 80), 1.25, IF(_uom="lbs",5,2.5))))), "")</f>
        <v/>
      </c>
      <c r="CP133" s="148"/>
      <c r="CQ133" s="33"/>
      <c r="CR133" s="171"/>
      <c r="CS133" s="124" t="str">
        <f>IFERROR(__xludf.DUMMYFUNCTION("IF(CO133=MAX(FILTER(CO$10:CO$199,LOOKUP(ROW(CI$10:CI$199),FILTER(ROW(CI$10:CI$199),CI$10:CI$199&lt;&gt;CI$9:CI$198))=LOOKUP(ROW(CI133),FILTER(ROW(CI$10:CI$199),CI$10:CI$199&lt;&gt;CI$9:CI$198)))),CP133,)"),"")</f>
        <v/>
      </c>
      <c r="CT133" s="122"/>
      <c r="CU133" s="33"/>
      <c r="CV133" s="143" t="str">
        <f t="shared" si="22"/>
        <v/>
      </c>
      <c r="CW133" s="38" t="str">
        <f>IFERROR(__xludf.DUMMYFUNCTION("""COMPUTED_VALUE"""),"")</f>
        <v/>
      </c>
      <c r="CX133" s="144">
        <v>46160.0</v>
      </c>
      <c r="CY133" s="167" t="str">
        <f t="shared" si="28"/>
        <v/>
      </c>
      <c r="CZ133" s="168" t="str">
        <f t="shared" si="337"/>
        <v/>
      </c>
      <c r="DA133" s="169" t="str">
        <f t="shared" si="338"/>
        <v/>
      </c>
      <c r="DB133" s="172" t="str">
        <f t="shared" si="339"/>
        <v/>
      </c>
      <c r="DC133" s="171" t="str">
        <f t="array" ref="DC133">IFERROR(IF(CW133="ac"+ISNUMBER(SEARCH("'",DB133))+DA133="","", IF(ISNUMBER(SEARCH("lw",DB133)), CO133 + SUBSTITUTE(DB133,"lw+",""), MROUND(SWITCH(CW133,"sq",DA$7,"bn",DB$7,"dl",DC$7,"")*IF(DB133&gt;10, DB133/100, VLOOKUP(DB133, _rpe,SUBSTITUTE(DA133,"+","")+1,0)), IF( SWITCH(CW133,"sq",DA$7,"bn",DB$7,"dl", DC$7,"")&lt; IF(_uom="lbs", 175, 80), 1.25, IF(_uom="lbs",5,2.5))))), "")</f>
        <v/>
      </c>
      <c r="DD133" s="148"/>
      <c r="DE133" s="33"/>
      <c r="DF133" s="171"/>
      <c r="DG133" s="124" t="str">
        <f>IFERROR(__xludf.DUMMYFUNCTION("IF(DC133=MAX(FILTER(DC$10:DC$199,LOOKUP(ROW(CW$10:CW$199),FILTER(ROW(CW$10:CW$199),CW$10:CW$199&lt;&gt;CW$9:CW$198))=LOOKUP(ROW(CW133),FILTER(ROW(CW$10:CW$199),CW$10:CW$199&lt;&gt;CW$9:CW$198)))),DD133,)"),"")</f>
        <v/>
      </c>
      <c r="DH133" s="122"/>
      <c r="DI133" s="33"/>
      <c r="DJ133" s="143" t="str">
        <f t="shared" si="23"/>
        <v/>
      </c>
      <c r="DK133" s="38" t="str">
        <f>IFERROR(__xludf.DUMMYFUNCTION("""COMPUTED_VALUE"""),"")</f>
        <v/>
      </c>
      <c r="DL133" s="144">
        <v>46167.0</v>
      </c>
      <c r="DM133" s="167" t="str">
        <f t="shared" ref="DM133:DN133" si="385">IF(ISBLANK(CY133),"",CY133)</f>
        <v/>
      </c>
      <c r="DN133" s="168" t="str">
        <f t="shared" si="385"/>
        <v/>
      </c>
      <c r="DO133" s="169" t="str">
        <f t="shared" si="341"/>
        <v/>
      </c>
      <c r="DP133" s="172" t="str">
        <f t="shared" si="342"/>
        <v/>
      </c>
      <c r="DQ133" s="171" t="str">
        <f t="array" ref="DQ133">IFERROR(IF(DK133="ac"+ISNUMBER(SEARCH("'",DP133))+DO133="","", IF(ISNUMBER(SEARCH("lw",DP133)), DC133 + SUBSTITUTE(DP133,"lw+",""), MROUND(SWITCH(DK133,"sq",DO$7,"bn",DP$7,"dl",DQ$7,"")*IF(DP133&gt;10, DP133/100, VLOOKUP(DP133, _rpe,SUBSTITUTE(DO133,"+","")+1,0)), IF( SWITCH(DK133,"sq",DO$7,"bn",DP$7,"dl", DQ$7,"")&lt; IF(_uom="lbs", 175, 80), 1.25, IF(_uom="lbs",5,2.5))))), "")</f>
        <v/>
      </c>
      <c r="DR133" s="148"/>
      <c r="DS133" s="33"/>
      <c r="DT133" s="171"/>
      <c r="DU133" s="124" t="str">
        <f>IFERROR(__xludf.DUMMYFUNCTION("IF(DQ133=MAX(FILTER(DQ$10:DQ$199,LOOKUP(ROW(DK$10:DK$199),FILTER(ROW(DK$10:DK$199),DK$10:DK$199&lt;&gt;DK$9:DK$198))=LOOKUP(ROW(DK133),FILTER(ROW(DK$10:DK$199),DK$10:DK$199&lt;&gt;DK$9:DK$198)))),DR133,)"),"")</f>
        <v/>
      </c>
      <c r="DV133" s="122"/>
      <c r="DW133" s="33"/>
      <c r="DX133" s="143"/>
      <c r="DY133" s="38"/>
      <c r="DZ133" s="144"/>
      <c r="EA133" s="150"/>
      <c r="EB133" s="174"/>
      <c r="EC133" s="175"/>
      <c r="ED133" s="176"/>
      <c r="EE133" s="155"/>
      <c r="EF133" s="148"/>
      <c r="EG133" s="33"/>
      <c r="EH133" s="155"/>
      <c r="EI133" s="148"/>
      <c r="EJ133" s="33"/>
      <c r="EK133" s="33"/>
      <c r="EL133" s="143"/>
      <c r="EM133" s="38"/>
      <c r="EN133" s="144"/>
      <c r="EO133" s="150"/>
      <c r="EP133" s="174"/>
      <c r="EQ133" s="175"/>
      <c r="ER133" s="176"/>
      <c r="ES133" s="155"/>
      <c r="ET133" s="148"/>
      <c r="EU133" s="33"/>
      <c r="EV133" s="155"/>
      <c r="EW133" s="148"/>
      <c r="EX133" s="33"/>
      <c r="EY133" s="33"/>
      <c r="EZ133" s="143"/>
      <c r="FA133" s="38"/>
      <c r="FB133" s="144"/>
      <c r="FC133" s="150"/>
      <c r="FD133" s="174"/>
      <c r="FE133" s="175"/>
      <c r="FF133" s="176"/>
      <c r="FG133" s="155"/>
      <c r="FH133" s="148"/>
      <c r="FI133" s="33"/>
      <c r="FJ133" s="155"/>
      <c r="FK133" s="148"/>
      <c r="FL133" s="33"/>
      <c r="FM133" s="33"/>
      <c r="FN133" s="143"/>
      <c r="FO133" s="38"/>
      <c r="FP133" s="144"/>
      <c r="FQ133" s="150"/>
      <c r="FR133" s="174"/>
      <c r="FS133" s="175"/>
      <c r="FT133" s="176"/>
      <c r="FU133" s="155"/>
      <c r="FV133" s="148"/>
      <c r="FW133" s="33"/>
      <c r="FX133" s="155"/>
      <c r="FY133" s="148"/>
      <c r="FZ133" s="33"/>
      <c r="GA133" s="33"/>
      <c r="GB133" s="143"/>
      <c r="GC133" s="38"/>
      <c r="GD133" s="144"/>
      <c r="GE133" s="150"/>
      <c r="GF133" s="174"/>
      <c r="GG133" s="175"/>
      <c r="GH133" s="176"/>
      <c r="GI133" s="155"/>
      <c r="GJ133" s="148"/>
      <c r="GK133" s="33"/>
      <c r="GL133" s="155"/>
      <c r="GM133" s="148"/>
      <c r="GN133" s="33"/>
      <c r="GO133" s="33"/>
      <c r="GP133" s="143"/>
      <c r="GQ133" s="38"/>
      <c r="GR133" s="144"/>
      <c r="GS133" s="150"/>
      <c r="GT133" s="174"/>
      <c r="GU133" s="175"/>
      <c r="GV133" s="176"/>
      <c r="GW133" s="155"/>
      <c r="GX133" s="148"/>
      <c r="GY133" s="33"/>
      <c r="GZ133" s="155"/>
      <c r="HA133" s="148"/>
      <c r="HB133" s="33"/>
      <c r="HC133" s="33"/>
      <c r="HD133" s="143"/>
      <c r="HE133" s="38"/>
      <c r="HF133" s="144"/>
      <c r="HG133" s="150"/>
      <c r="HH133" s="174"/>
      <c r="HI133" s="175"/>
      <c r="HJ133" s="176"/>
      <c r="HK133" s="155"/>
      <c r="HL133" s="148"/>
      <c r="HM133" s="33"/>
      <c r="HN133" s="155"/>
      <c r="HO133" s="148"/>
      <c r="HP133" s="33"/>
      <c r="HQ133" s="33"/>
      <c r="HR133" s="143"/>
      <c r="HS133" s="38"/>
      <c r="HT133" s="144"/>
      <c r="HU133" s="150"/>
      <c r="HV133" s="174"/>
      <c r="HW133" s="175"/>
      <c r="HX133" s="176"/>
      <c r="HY133" s="155"/>
      <c r="HZ133" s="148"/>
      <c r="IA133" s="33"/>
      <c r="IB133" s="155"/>
      <c r="IC133" s="148"/>
      <c r="ID133" s="33"/>
      <c r="IE133" s="33"/>
      <c r="IF133" s="143"/>
      <c r="IG133" s="38"/>
      <c r="IH133" s="144"/>
      <c r="II133" s="150"/>
      <c r="IJ133" s="174"/>
      <c r="IK133" s="175"/>
      <c r="IL133" s="176"/>
      <c r="IM133" s="155"/>
      <c r="IN133" s="148"/>
      <c r="IO133" s="33"/>
      <c r="IP133" s="155"/>
      <c r="IQ133" s="148"/>
      <c r="IR133" s="33"/>
      <c r="IS133" s="33"/>
      <c r="IT133" s="143"/>
      <c r="IU133" s="38"/>
      <c r="IV133" s="144"/>
      <c r="IW133" s="143"/>
      <c r="IX133" s="38"/>
      <c r="IY133" s="144" t="e">
        <v>#REF!</v>
      </c>
    </row>
    <row r="134">
      <c r="A134" s="33"/>
      <c r="B134" s="181"/>
      <c r="C134" s="38" t="str">
        <f>IFERROR(__xludf.DUMMYFUNCTION("""COMPUTED_VALUE"""),"")</f>
        <v/>
      </c>
      <c r="D134" s="144">
        <v>46111.0</v>
      </c>
      <c r="E134" s="167"/>
      <c r="F134" s="168"/>
      <c r="G134" s="169"/>
      <c r="H134" s="170"/>
      <c r="I134" s="171" t="str">
        <f t="array" ref="I134">IFERROR(IF(C134="ac"+ISNUMBER(SEARCH("'",H134))+G134="","", MROUND(SWITCH(C134,"sq",'Personal Info'!$O$15,"bn",'Personal Info'!$S$15,"dl",'Personal Info'!$W$15,"")*IF(H134&gt;10, H134/100, VLOOKUP(H134, _rpe,SUBSTITUTE(G134,"+","")+1,0)), IF( SWITCH(C134:C210,"sq",'Personal Info'!$O$15,"bn",'Personal Info'!$S$15,"dl", 'Personal Info'!$W$15,"")&lt; IF(_uom="lbs", 175, 80), 1.25, IF(_uom="lbs",5,2.5)))),"")</f>
        <v/>
      </c>
      <c r="J134" s="148"/>
      <c r="K134" s="33"/>
      <c r="L134" s="171"/>
      <c r="M134" s="124" t="str">
        <f>IFERROR(__xludf.DUMMYFUNCTION("IF(I134=MAX(FILTER(I$10:I$199,LOOKUP(ROW(C$10:C$199),FILTER(ROW(C$10:C$199),C$10:C$199&lt;&gt;C$9:C$198))=LOOKUP(ROW(C134),FILTER(ROW(C$10:C$199),C$10:C$199&lt;&gt;C$9:C$198)))),J134,)"),"")</f>
        <v/>
      </c>
      <c r="N134" s="122"/>
      <c r="O134" s="33"/>
      <c r="P134" s="143" t="str">
        <f t="shared" si="12"/>
        <v/>
      </c>
      <c r="Q134" s="38" t="str">
        <f>IFERROR(__xludf.DUMMYFUNCTION("""COMPUTED_VALUE"""),"")</f>
        <v/>
      </c>
      <c r="R134" s="144">
        <v>46118.0</v>
      </c>
      <c r="S134" s="167" t="str">
        <f t="shared" si="13"/>
        <v/>
      </c>
      <c r="T134" s="168" t="str">
        <f t="shared" si="319"/>
        <v/>
      </c>
      <c r="U134" s="169" t="str">
        <f t="shared" si="320"/>
        <v/>
      </c>
      <c r="V134" s="172" t="str">
        <f t="shared" si="321"/>
        <v/>
      </c>
      <c r="W134" s="171" t="str">
        <f t="array" ref="W134">IFERROR(IF(Q134="ac"+ISNUMBER(SEARCH("'",V134))+U134="","", IF(ISNUMBER(SEARCH("lw",V134)), I134 + SUBSTITUTE(V134,"lw+",""), MROUND(SWITCH(Q134,"sq",U$7,"bn",V$7,"dl",W$7,"")*IF(V134&gt;10, V134/100, VLOOKUP(V134, _rpe,SUBSTITUTE(U134,"+","")+1,0)), IF( SWITCH(Q134,"sq",U$7,"bn",V$7,"dl", W$7,"")&lt; IF(_uom="lbs", 175, 80), 1.25, IF(_uom="lbs",5,2.5))))), "")</f>
        <v/>
      </c>
      <c r="X134" s="148"/>
      <c r="Y134" s="33"/>
      <c r="Z134" s="171"/>
      <c r="AA134" s="124" t="str">
        <f>IFERROR(__xludf.DUMMYFUNCTION("IF(W134=MAX(FILTER(W$10:W$199,LOOKUP(ROW(Q$10:Q$199),FILTER(ROW(Q$10:Q$199),Q$10:Q$199&lt;&gt;Q$9:Q$198))=LOOKUP(ROW(Q134),FILTER(ROW(Q$10:Q$199),Q$10:Q$199&lt;&gt;Q$9:Q$198)))),X134,)"),"")</f>
        <v/>
      </c>
      <c r="AB134" s="122"/>
      <c r="AC134" s="33"/>
      <c r="AD134" s="143" t="str">
        <f t="shared" si="14"/>
        <v/>
      </c>
      <c r="AE134" s="38" t="str">
        <f>IFERROR(__xludf.DUMMYFUNCTION("""COMPUTED_VALUE"""),"")</f>
        <v/>
      </c>
      <c r="AF134" s="144">
        <v>46125.0</v>
      </c>
      <c r="AG134" s="167" t="str">
        <f t="shared" si="54"/>
        <v/>
      </c>
      <c r="AH134" s="168" t="str">
        <f t="shared" si="322"/>
        <v/>
      </c>
      <c r="AI134" s="169" t="str">
        <f t="shared" si="323"/>
        <v/>
      </c>
      <c r="AJ134" s="172" t="str">
        <f t="shared" si="324"/>
        <v/>
      </c>
      <c r="AK134" s="171" t="str">
        <f t="array" ref="AK134">IFERROR(IF(AE134="ac"+ISNUMBER(SEARCH("'",AJ134))+AI134="","", IF(ISNUMBER(SEARCH("lw",AJ134)), W134 + SUBSTITUTE(AJ134,"lw+",""), MROUND(SWITCH(AE134,"sq",AI$7,"bn",AJ$7,"dl",AK$7,"")*IF(AJ134&gt;10, AJ134/100, VLOOKUP(AJ134, _rpe,SUBSTITUTE(AI134,"+","")+1,0)), IF( SWITCH(AE134,"sq",AI$7,"bn",AJ$7,"dl", AK$7,"")&lt; IF(_uom="lbs", 175, 80), 1.25, IF(_uom="lbs",5,2.5))))), "")</f>
        <v/>
      </c>
      <c r="AL134" s="148"/>
      <c r="AM134" s="33"/>
      <c r="AN134" s="171"/>
      <c r="AO134" s="124" t="str">
        <f>IFERROR(__xludf.DUMMYFUNCTION("IF(AK134=MAX(FILTER(AK$10:AK$199,LOOKUP(ROW(AE$10:AE$199),FILTER(ROW(AE$10:AE$199),AE$10:AE$199&lt;&gt;AE$9:AE$198))=LOOKUP(ROW(AE134),FILTER(ROW(AE$10:AE$199),AE$10:AE$199&lt;&gt;AE$9:AE$198)))),AL134,)"),"")</f>
        <v/>
      </c>
      <c r="AP134" s="122"/>
      <c r="AQ134" s="33"/>
      <c r="AR134" s="143" t="str">
        <f t="shared" si="16"/>
        <v/>
      </c>
      <c r="AS134" s="38" t="str">
        <f>IFERROR(__xludf.DUMMYFUNCTION("""COMPUTED_VALUE"""),"")</f>
        <v/>
      </c>
      <c r="AT134" s="144">
        <v>46132.0</v>
      </c>
      <c r="AU134" s="167" t="str">
        <f t="shared" si="26"/>
        <v/>
      </c>
      <c r="AV134" s="168" t="str">
        <f t="shared" si="325"/>
        <v/>
      </c>
      <c r="AW134" s="169" t="str">
        <f t="shared" si="326"/>
        <v/>
      </c>
      <c r="AX134" s="172" t="str">
        <f t="shared" si="327"/>
        <v/>
      </c>
      <c r="AY134" s="171" t="str">
        <f t="array" ref="AY134">IFERROR(IF(AS134="ac"+ISNUMBER(SEARCH("'",AX134))+AW134="","", IF(ISNUMBER(SEARCH("lw",AX134)), AK134 + SUBSTITUTE(AX134,"lw+",""), MROUND(SWITCH(AS134,"sq",AW$7,"bn",AX$7,"dl",AY$7,"")*IF(AX134&gt;10, AX134/100, VLOOKUP(AX134, _rpe,SUBSTITUTE(AW134,"+","")+1,0)), IF( SWITCH(AS134,"sq",AW$7,"bn",AX$7,"dl", AY$7,"")&lt; IF(_uom="lbs", 175, 80), 1.25, IF(_uom="lbs",5,2.5))))), "")</f>
        <v/>
      </c>
      <c r="AZ134" s="148"/>
      <c r="BA134" s="33"/>
      <c r="BB134" s="171"/>
      <c r="BC134" s="124" t="str">
        <f>IFERROR(__xludf.DUMMYFUNCTION("IF(AY134=MAX(FILTER(AY$10:AY$199,LOOKUP(ROW(AS$10:AS$199),FILTER(ROW(AS$10:AS$199),AS$10:AS$199&lt;&gt;AS$9:AS$198))=LOOKUP(ROW(AS134),FILTER(ROW(AS$10:AS$199),AS$10:AS$199&lt;&gt;AS$9:AS$198)))),AZ134,)"),"")</f>
        <v/>
      </c>
      <c r="BD134" s="122"/>
      <c r="BE134" s="33"/>
      <c r="BF134" s="143" t="str">
        <f t="shared" si="17"/>
        <v/>
      </c>
      <c r="BG134" s="38" t="str">
        <f>IFERROR(__xludf.DUMMYFUNCTION("""COMPUTED_VALUE"""),"")</f>
        <v/>
      </c>
      <c r="BH134" s="144">
        <v>46139.0</v>
      </c>
      <c r="BI134" s="167" t="str">
        <f t="shared" si="18"/>
        <v/>
      </c>
      <c r="BJ134" s="168" t="str">
        <f t="shared" si="328"/>
        <v/>
      </c>
      <c r="BK134" s="169" t="str">
        <f t="shared" si="329"/>
        <v/>
      </c>
      <c r="BL134" s="172" t="str">
        <f t="shared" si="330"/>
        <v/>
      </c>
      <c r="BM134" s="171" t="str">
        <f t="array" ref="BM134">IFERROR(IF(BG134="ac"+ISNUMBER(SEARCH("'",BL134))+BK134="","", IF(ISNUMBER(SEARCH("lw",BL134)), AY134 + SUBSTITUTE(BL134,"lw+",""), MROUND(SWITCH(BG134,"sq",BK$7,"bn",BL$7,"dl",BM$7,"")*IF(BL134&gt;10, BL134/100, VLOOKUP(BL134, _rpe,SUBSTITUTE(BK134,"+","")+1,0)), IF( SWITCH(BG134,"sq",BK$7,"bn",BL$7,"dl", BM$7,"")&lt; IF(_uom="lbs", 175, 80), 1.25, IF(_uom="lbs",5,2.5))))), "")</f>
        <v/>
      </c>
      <c r="BN134" s="148"/>
      <c r="BO134" s="33"/>
      <c r="BP134" s="171"/>
      <c r="BQ134" s="124" t="str">
        <f>IFERROR(__xludf.DUMMYFUNCTION("IF(BM134=MAX(FILTER(BM$10:BM$199,LOOKUP(ROW(BG$10:BG$199),FILTER(ROW(BG$10:BG$199),BG$10:BG$199&lt;&gt;BG$9:BG$198))=LOOKUP(ROW(BG134),FILTER(ROW(BG$10:BG$199),BG$10:BG$199&lt;&gt;BG$9:BG$198)))),BN134,)"),"")</f>
        <v/>
      </c>
      <c r="BR134" s="122"/>
      <c r="BS134" s="33"/>
      <c r="BT134" s="143" t="str">
        <f t="shared" si="19"/>
        <v/>
      </c>
      <c r="BU134" s="38" t="str">
        <f>IFERROR(__xludf.DUMMYFUNCTION("""COMPUTED_VALUE"""),"")</f>
        <v/>
      </c>
      <c r="BV134" s="144">
        <v>46146.0</v>
      </c>
      <c r="BW134" s="167" t="str">
        <f t="shared" si="20"/>
        <v/>
      </c>
      <c r="BX134" s="168" t="str">
        <f t="shared" si="331"/>
        <v/>
      </c>
      <c r="BY134" s="169" t="str">
        <f t="shared" si="332"/>
        <v/>
      </c>
      <c r="BZ134" s="172" t="str">
        <f t="shared" si="333"/>
        <v/>
      </c>
      <c r="CA134" s="171" t="str">
        <f t="array" ref="CA134">IFERROR(IF(BU134="ac"+ISNUMBER(SEARCH("'",BZ134))+BY134="","", IF(ISNUMBER(SEARCH("lw",BZ134)), BM134 + SUBSTITUTE(BZ134,"lw+",""), MROUND(SWITCH(BU134,"sq",BY$7,"bn",BZ$7,"dl",CA$7,"")*IF(BZ134&gt;10, BZ134/100, VLOOKUP(BZ134, _rpe,SUBSTITUTE(BY134,"+","")+1,0)), IF( SWITCH(BU134,"sq",BY$7,"bn",BZ$7,"dl", CA$7,"")&lt; IF(_uom="lbs", 175, 80), 1.25, IF(_uom="lbs",5,2.5))))), "")</f>
        <v/>
      </c>
      <c r="CB134" s="148"/>
      <c r="CC134" s="33"/>
      <c r="CD134" s="171"/>
      <c r="CE134" s="124" t="str">
        <f>IFERROR(__xludf.DUMMYFUNCTION("IF(CA134=MAX(FILTER(CA$10:CA$199,LOOKUP(ROW(BU$10:BU$199),FILTER(ROW(BU$10:BU$199),BU$10:BU$199&lt;&gt;BU$9:BU$198))=LOOKUP(ROW(BU134),FILTER(ROW(BU$10:BU$199),BU$10:BU$199&lt;&gt;BU$9:BU$198)))),CB134,)"),"")</f>
        <v/>
      </c>
      <c r="CF134" s="122"/>
      <c r="CG134" s="33"/>
      <c r="CH134" s="143" t="str">
        <f t="shared" si="21"/>
        <v/>
      </c>
      <c r="CI134" s="38" t="str">
        <f>IFERROR(__xludf.DUMMYFUNCTION("""COMPUTED_VALUE"""),"")</f>
        <v/>
      </c>
      <c r="CJ134" s="144">
        <v>46153.0</v>
      </c>
      <c r="CK134" s="167" t="str">
        <f t="shared" si="27"/>
        <v/>
      </c>
      <c r="CL134" s="168" t="str">
        <f t="shared" si="334"/>
        <v/>
      </c>
      <c r="CM134" s="169" t="str">
        <f t="shared" si="335"/>
        <v/>
      </c>
      <c r="CN134" s="172" t="str">
        <f t="shared" si="336"/>
        <v/>
      </c>
      <c r="CO134" s="171" t="str">
        <f t="array" ref="CO134">IFERROR(IF(CI134="ac"+ISNUMBER(SEARCH("'",CN134))+CM134="","", IF(ISNUMBER(SEARCH("lw",CN134)), CA134 + SUBSTITUTE(CN134,"lw+",""), MROUND(SWITCH(CI134,"sq",CM$7,"bn",CN$7,"dl",CO$7,"")*IF(CN134&gt;10, CN134/100, VLOOKUP(CN134, _rpe,SUBSTITUTE(CM134,"+","")+1,0)), IF( SWITCH(CI134,"sq",CM$7,"bn",CN$7,"dl", CO$7,"")&lt; IF(_uom="lbs", 175, 80), 1.25, IF(_uom="lbs",5,2.5))))), "")</f>
        <v/>
      </c>
      <c r="CP134" s="148"/>
      <c r="CQ134" s="33"/>
      <c r="CR134" s="171"/>
      <c r="CS134" s="124" t="str">
        <f>IFERROR(__xludf.DUMMYFUNCTION("IF(CO134=MAX(FILTER(CO$10:CO$199,LOOKUP(ROW(CI$10:CI$199),FILTER(ROW(CI$10:CI$199),CI$10:CI$199&lt;&gt;CI$9:CI$198))=LOOKUP(ROW(CI134),FILTER(ROW(CI$10:CI$199),CI$10:CI$199&lt;&gt;CI$9:CI$198)))),CP134,)"),"")</f>
        <v/>
      </c>
      <c r="CT134" s="122"/>
      <c r="CU134" s="33"/>
      <c r="CV134" s="143" t="str">
        <f t="shared" si="22"/>
        <v/>
      </c>
      <c r="CW134" s="38" t="str">
        <f>IFERROR(__xludf.DUMMYFUNCTION("""COMPUTED_VALUE"""),"")</f>
        <v/>
      </c>
      <c r="CX134" s="144">
        <v>46160.0</v>
      </c>
      <c r="CY134" s="167" t="str">
        <f t="shared" si="28"/>
        <v/>
      </c>
      <c r="CZ134" s="168" t="str">
        <f t="shared" si="337"/>
        <v/>
      </c>
      <c r="DA134" s="169" t="str">
        <f t="shared" si="338"/>
        <v/>
      </c>
      <c r="DB134" s="172" t="str">
        <f t="shared" si="339"/>
        <v/>
      </c>
      <c r="DC134" s="171" t="str">
        <f t="array" ref="DC134">IFERROR(IF(CW134="ac"+ISNUMBER(SEARCH("'",DB134))+DA134="","", IF(ISNUMBER(SEARCH("lw",DB134)), CO134 + SUBSTITUTE(DB134,"lw+",""), MROUND(SWITCH(CW134,"sq",DA$7,"bn",DB$7,"dl",DC$7,"")*IF(DB134&gt;10, DB134/100, VLOOKUP(DB134, _rpe,SUBSTITUTE(DA134,"+","")+1,0)), IF( SWITCH(CW134,"sq",DA$7,"bn",DB$7,"dl", DC$7,"")&lt; IF(_uom="lbs", 175, 80), 1.25, IF(_uom="lbs",5,2.5))))), "")</f>
        <v/>
      </c>
      <c r="DD134" s="148"/>
      <c r="DE134" s="33"/>
      <c r="DF134" s="171"/>
      <c r="DG134" s="124" t="str">
        <f>IFERROR(__xludf.DUMMYFUNCTION("IF(DC134=MAX(FILTER(DC$10:DC$199,LOOKUP(ROW(CW$10:CW$199),FILTER(ROW(CW$10:CW$199),CW$10:CW$199&lt;&gt;CW$9:CW$198))=LOOKUP(ROW(CW134),FILTER(ROW(CW$10:CW$199),CW$10:CW$199&lt;&gt;CW$9:CW$198)))),DD134,)"),"")</f>
        <v/>
      </c>
      <c r="DH134" s="122"/>
      <c r="DI134" s="33"/>
      <c r="DJ134" s="143" t="str">
        <f t="shared" si="23"/>
        <v/>
      </c>
      <c r="DK134" s="38" t="str">
        <f>IFERROR(__xludf.DUMMYFUNCTION("""COMPUTED_VALUE"""),"")</f>
        <v/>
      </c>
      <c r="DL134" s="144">
        <v>46167.0</v>
      </c>
      <c r="DM134" s="167" t="str">
        <f t="shared" ref="DM134:DN134" si="386">IF(ISBLANK(CY134),"",CY134)</f>
        <v/>
      </c>
      <c r="DN134" s="168" t="str">
        <f t="shared" si="386"/>
        <v/>
      </c>
      <c r="DO134" s="169" t="str">
        <f t="shared" si="341"/>
        <v/>
      </c>
      <c r="DP134" s="172" t="str">
        <f t="shared" si="342"/>
        <v/>
      </c>
      <c r="DQ134" s="171" t="str">
        <f t="array" ref="DQ134">IFERROR(IF(DK134="ac"+ISNUMBER(SEARCH("'",DP134))+DO134="","", IF(ISNUMBER(SEARCH("lw",DP134)), DC134 + SUBSTITUTE(DP134,"lw+",""), MROUND(SWITCH(DK134,"sq",DO$7,"bn",DP$7,"dl",DQ$7,"")*IF(DP134&gt;10, DP134/100, VLOOKUP(DP134, _rpe,SUBSTITUTE(DO134,"+","")+1,0)), IF( SWITCH(DK134,"sq",DO$7,"bn",DP$7,"dl", DQ$7,"")&lt; IF(_uom="lbs", 175, 80), 1.25, IF(_uom="lbs",5,2.5))))), "")</f>
        <v/>
      </c>
      <c r="DR134" s="148"/>
      <c r="DS134" s="33"/>
      <c r="DT134" s="171"/>
      <c r="DU134" s="124" t="str">
        <f>IFERROR(__xludf.DUMMYFUNCTION("IF(DQ134=MAX(FILTER(DQ$10:DQ$199,LOOKUP(ROW(DK$10:DK$199),FILTER(ROW(DK$10:DK$199),DK$10:DK$199&lt;&gt;DK$9:DK$198))=LOOKUP(ROW(DK134),FILTER(ROW(DK$10:DK$199),DK$10:DK$199&lt;&gt;DK$9:DK$198)))),DR134,)"),"")</f>
        <v/>
      </c>
      <c r="DV134" s="122"/>
      <c r="DW134" s="33"/>
      <c r="DX134" s="143"/>
      <c r="DY134" s="38"/>
      <c r="DZ134" s="144"/>
      <c r="EA134" s="150"/>
      <c r="EB134" s="174"/>
      <c r="EC134" s="175"/>
      <c r="ED134" s="176"/>
      <c r="EE134" s="155"/>
      <c r="EF134" s="148"/>
      <c r="EG134" s="33"/>
      <c r="EH134" s="155"/>
      <c r="EI134" s="148"/>
      <c r="EJ134" s="33"/>
      <c r="EK134" s="33"/>
      <c r="EL134" s="143"/>
      <c r="EM134" s="38"/>
      <c r="EN134" s="144"/>
      <c r="EO134" s="150"/>
      <c r="EP134" s="174"/>
      <c r="EQ134" s="175"/>
      <c r="ER134" s="176"/>
      <c r="ES134" s="155"/>
      <c r="ET134" s="148"/>
      <c r="EU134" s="33"/>
      <c r="EV134" s="155"/>
      <c r="EW134" s="148"/>
      <c r="EX134" s="33"/>
      <c r="EY134" s="33"/>
      <c r="EZ134" s="143"/>
      <c r="FA134" s="38"/>
      <c r="FB134" s="144"/>
      <c r="FC134" s="150"/>
      <c r="FD134" s="174"/>
      <c r="FE134" s="175"/>
      <c r="FF134" s="176"/>
      <c r="FG134" s="155"/>
      <c r="FH134" s="148"/>
      <c r="FI134" s="33"/>
      <c r="FJ134" s="155"/>
      <c r="FK134" s="148"/>
      <c r="FL134" s="33"/>
      <c r="FM134" s="33"/>
      <c r="FN134" s="143"/>
      <c r="FO134" s="38"/>
      <c r="FP134" s="144"/>
      <c r="FQ134" s="150"/>
      <c r="FR134" s="174"/>
      <c r="FS134" s="175"/>
      <c r="FT134" s="176"/>
      <c r="FU134" s="155"/>
      <c r="FV134" s="148"/>
      <c r="FW134" s="33"/>
      <c r="FX134" s="155"/>
      <c r="FY134" s="148"/>
      <c r="FZ134" s="33"/>
      <c r="GA134" s="33"/>
      <c r="GB134" s="143"/>
      <c r="GC134" s="38"/>
      <c r="GD134" s="144"/>
      <c r="GE134" s="150"/>
      <c r="GF134" s="174"/>
      <c r="GG134" s="175"/>
      <c r="GH134" s="176"/>
      <c r="GI134" s="155"/>
      <c r="GJ134" s="148"/>
      <c r="GK134" s="33"/>
      <c r="GL134" s="155"/>
      <c r="GM134" s="148"/>
      <c r="GN134" s="33"/>
      <c r="GO134" s="33"/>
      <c r="GP134" s="143"/>
      <c r="GQ134" s="38"/>
      <c r="GR134" s="144"/>
      <c r="GS134" s="150"/>
      <c r="GT134" s="174"/>
      <c r="GU134" s="175"/>
      <c r="GV134" s="176"/>
      <c r="GW134" s="155"/>
      <c r="GX134" s="148"/>
      <c r="GY134" s="33"/>
      <c r="GZ134" s="155"/>
      <c r="HA134" s="148"/>
      <c r="HB134" s="33"/>
      <c r="HC134" s="33"/>
      <c r="HD134" s="143"/>
      <c r="HE134" s="38"/>
      <c r="HF134" s="144"/>
      <c r="HG134" s="150"/>
      <c r="HH134" s="174"/>
      <c r="HI134" s="175"/>
      <c r="HJ134" s="176"/>
      <c r="HK134" s="155"/>
      <c r="HL134" s="148"/>
      <c r="HM134" s="33"/>
      <c r="HN134" s="155"/>
      <c r="HO134" s="148"/>
      <c r="HP134" s="33"/>
      <c r="HQ134" s="33"/>
      <c r="HR134" s="143"/>
      <c r="HS134" s="38"/>
      <c r="HT134" s="144"/>
      <c r="HU134" s="150"/>
      <c r="HV134" s="174"/>
      <c r="HW134" s="175"/>
      <c r="HX134" s="176"/>
      <c r="HY134" s="155"/>
      <c r="HZ134" s="148"/>
      <c r="IA134" s="33"/>
      <c r="IB134" s="155"/>
      <c r="IC134" s="148"/>
      <c r="ID134" s="33"/>
      <c r="IE134" s="33"/>
      <c r="IF134" s="143"/>
      <c r="IG134" s="38"/>
      <c r="IH134" s="144"/>
      <c r="II134" s="150"/>
      <c r="IJ134" s="174"/>
      <c r="IK134" s="175"/>
      <c r="IL134" s="176"/>
      <c r="IM134" s="155"/>
      <c r="IN134" s="148"/>
      <c r="IO134" s="33"/>
      <c r="IP134" s="155"/>
      <c r="IQ134" s="148"/>
      <c r="IR134" s="33"/>
      <c r="IS134" s="33"/>
      <c r="IT134" s="143"/>
      <c r="IU134" s="38"/>
      <c r="IV134" s="144"/>
      <c r="IW134" s="143"/>
      <c r="IX134" s="38"/>
      <c r="IY134" s="144" t="e">
        <v>#REF!</v>
      </c>
    </row>
    <row r="135">
      <c r="A135" s="33"/>
      <c r="B135" s="181"/>
      <c r="C135" s="38" t="str">
        <f>IFERROR(__xludf.DUMMYFUNCTION("""COMPUTED_VALUE"""),"")</f>
        <v/>
      </c>
      <c r="D135" s="144">
        <v>46111.0</v>
      </c>
      <c r="E135" s="167"/>
      <c r="F135" s="168"/>
      <c r="G135" s="169"/>
      <c r="H135" s="170"/>
      <c r="I135" s="171" t="str">
        <f t="array" ref="I135">IFERROR(IF(C135="ac"+ISNUMBER(SEARCH("'",H135))+G135="","", MROUND(SWITCH(C135,"sq",'Personal Info'!$O$15,"bn",'Personal Info'!$S$15,"dl",'Personal Info'!$W$15,"")*IF(H135&gt;10, H135/100, VLOOKUP(H135, _rpe,SUBSTITUTE(G135,"+","")+1,0)), IF( SWITCH(C135:C210,"sq",'Personal Info'!$O$15,"bn",'Personal Info'!$S$15,"dl", 'Personal Info'!$W$15,"")&lt; IF(_uom="lbs", 175, 80), 1.25, IF(_uom="lbs",5,2.5)))),"")</f>
        <v/>
      </c>
      <c r="J135" s="148"/>
      <c r="K135" s="33"/>
      <c r="L135" s="171"/>
      <c r="M135" s="124" t="str">
        <f>IFERROR(__xludf.DUMMYFUNCTION("IF(I135=MAX(FILTER(I$10:I$199,LOOKUP(ROW(C$10:C$199),FILTER(ROW(C$10:C$199),C$10:C$199&lt;&gt;C$9:C$198))=LOOKUP(ROW(C135),FILTER(ROW(C$10:C$199),C$10:C$199&lt;&gt;C$9:C$198)))),J135,)"),"")</f>
        <v/>
      </c>
      <c r="N135" s="122"/>
      <c r="O135" s="33"/>
      <c r="P135" s="143" t="str">
        <f t="shared" si="12"/>
        <v/>
      </c>
      <c r="Q135" s="38" t="str">
        <f>IFERROR(__xludf.DUMMYFUNCTION("""COMPUTED_VALUE"""),"")</f>
        <v/>
      </c>
      <c r="R135" s="144">
        <v>46118.0</v>
      </c>
      <c r="S135" s="167" t="str">
        <f t="shared" si="13"/>
        <v/>
      </c>
      <c r="T135" s="168" t="str">
        <f t="shared" si="319"/>
        <v/>
      </c>
      <c r="U135" s="169" t="str">
        <f t="shared" si="320"/>
        <v/>
      </c>
      <c r="V135" s="172" t="str">
        <f t="shared" si="321"/>
        <v/>
      </c>
      <c r="W135" s="171" t="str">
        <f t="array" ref="W135">IFERROR(IF(Q135="ac"+ISNUMBER(SEARCH("'",V135))+U135="","", IF(ISNUMBER(SEARCH("lw",V135)), I135 + SUBSTITUTE(V135,"lw+",""), MROUND(SWITCH(Q135,"sq",U$7,"bn",V$7,"dl",W$7,"")*IF(V135&gt;10, V135/100, VLOOKUP(V135, _rpe,SUBSTITUTE(U135,"+","")+1,0)), IF( SWITCH(Q135,"sq",U$7,"bn",V$7,"dl", W$7,"")&lt; IF(_uom="lbs", 175, 80), 1.25, IF(_uom="lbs",5,2.5))))), "")</f>
        <v/>
      </c>
      <c r="X135" s="148"/>
      <c r="Y135" s="33"/>
      <c r="Z135" s="171"/>
      <c r="AA135" s="124" t="str">
        <f>IFERROR(__xludf.DUMMYFUNCTION("IF(W135=MAX(FILTER(W$10:W$199,LOOKUP(ROW(Q$10:Q$199),FILTER(ROW(Q$10:Q$199),Q$10:Q$199&lt;&gt;Q$9:Q$198))=LOOKUP(ROW(Q135),FILTER(ROW(Q$10:Q$199),Q$10:Q$199&lt;&gt;Q$9:Q$198)))),X135,)"),"")</f>
        <v/>
      </c>
      <c r="AB135" s="122"/>
      <c r="AC135" s="33"/>
      <c r="AD135" s="143" t="str">
        <f t="shared" si="14"/>
        <v/>
      </c>
      <c r="AE135" s="38" t="str">
        <f>IFERROR(__xludf.DUMMYFUNCTION("""COMPUTED_VALUE"""),"")</f>
        <v/>
      </c>
      <c r="AF135" s="144">
        <v>46125.0</v>
      </c>
      <c r="AG135" s="167" t="str">
        <f t="shared" si="54"/>
        <v/>
      </c>
      <c r="AH135" s="168" t="str">
        <f t="shared" si="322"/>
        <v/>
      </c>
      <c r="AI135" s="169" t="str">
        <f t="shared" si="323"/>
        <v/>
      </c>
      <c r="AJ135" s="172" t="str">
        <f t="shared" si="324"/>
        <v/>
      </c>
      <c r="AK135" s="171" t="str">
        <f t="array" ref="AK135">IFERROR(IF(AE135="ac"+ISNUMBER(SEARCH("'",AJ135))+AI135="","", IF(ISNUMBER(SEARCH("lw",AJ135)), W135 + SUBSTITUTE(AJ135,"lw+",""), MROUND(SWITCH(AE135,"sq",AI$7,"bn",AJ$7,"dl",AK$7,"")*IF(AJ135&gt;10, AJ135/100, VLOOKUP(AJ135, _rpe,SUBSTITUTE(AI135,"+","")+1,0)), IF( SWITCH(AE135,"sq",AI$7,"bn",AJ$7,"dl", AK$7,"")&lt; IF(_uom="lbs", 175, 80), 1.25, IF(_uom="lbs",5,2.5))))), "")</f>
        <v/>
      </c>
      <c r="AL135" s="148"/>
      <c r="AM135" s="33"/>
      <c r="AN135" s="171"/>
      <c r="AO135" s="124" t="str">
        <f>IFERROR(__xludf.DUMMYFUNCTION("IF(AK135=MAX(FILTER(AK$10:AK$199,LOOKUP(ROW(AE$10:AE$199),FILTER(ROW(AE$10:AE$199),AE$10:AE$199&lt;&gt;AE$9:AE$198))=LOOKUP(ROW(AE135),FILTER(ROW(AE$10:AE$199),AE$10:AE$199&lt;&gt;AE$9:AE$198)))),AL135,)"),"")</f>
        <v/>
      </c>
      <c r="AP135" s="122"/>
      <c r="AQ135" s="33"/>
      <c r="AR135" s="143" t="str">
        <f t="shared" si="16"/>
        <v/>
      </c>
      <c r="AS135" s="38" t="str">
        <f>IFERROR(__xludf.DUMMYFUNCTION("""COMPUTED_VALUE"""),"")</f>
        <v/>
      </c>
      <c r="AT135" s="144">
        <v>46132.0</v>
      </c>
      <c r="AU135" s="167" t="str">
        <f t="shared" si="26"/>
        <v/>
      </c>
      <c r="AV135" s="168" t="str">
        <f t="shared" si="325"/>
        <v/>
      </c>
      <c r="AW135" s="169" t="str">
        <f t="shared" si="326"/>
        <v/>
      </c>
      <c r="AX135" s="172" t="str">
        <f t="shared" si="327"/>
        <v/>
      </c>
      <c r="AY135" s="171" t="str">
        <f t="array" ref="AY135">IFERROR(IF(AS135="ac"+ISNUMBER(SEARCH("'",AX135))+AW135="","", IF(ISNUMBER(SEARCH("lw",AX135)), AK135 + SUBSTITUTE(AX135,"lw+",""), MROUND(SWITCH(AS135,"sq",AW$7,"bn",AX$7,"dl",AY$7,"")*IF(AX135&gt;10, AX135/100, VLOOKUP(AX135, _rpe,SUBSTITUTE(AW135,"+","")+1,0)), IF( SWITCH(AS135,"sq",AW$7,"bn",AX$7,"dl", AY$7,"")&lt; IF(_uom="lbs", 175, 80), 1.25, IF(_uom="lbs",5,2.5))))), "")</f>
        <v/>
      </c>
      <c r="AZ135" s="148"/>
      <c r="BA135" s="33"/>
      <c r="BB135" s="171"/>
      <c r="BC135" s="124" t="str">
        <f>IFERROR(__xludf.DUMMYFUNCTION("IF(AY135=MAX(FILTER(AY$10:AY$199,LOOKUP(ROW(AS$10:AS$199),FILTER(ROW(AS$10:AS$199),AS$10:AS$199&lt;&gt;AS$9:AS$198))=LOOKUP(ROW(AS135),FILTER(ROW(AS$10:AS$199),AS$10:AS$199&lt;&gt;AS$9:AS$198)))),AZ135,)"),"")</f>
        <v/>
      </c>
      <c r="BD135" s="122"/>
      <c r="BE135" s="33"/>
      <c r="BF135" s="143" t="str">
        <f t="shared" si="17"/>
        <v/>
      </c>
      <c r="BG135" s="38" t="str">
        <f>IFERROR(__xludf.DUMMYFUNCTION("""COMPUTED_VALUE"""),"")</f>
        <v/>
      </c>
      <c r="BH135" s="144">
        <v>46139.0</v>
      </c>
      <c r="BI135" s="167" t="str">
        <f t="shared" si="18"/>
        <v/>
      </c>
      <c r="BJ135" s="168" t="str">
        <f t="shared" si="328"/>
        <v/>
      </c>
      <c r="BK135" s="169" t="str">
        <f t="shared" si="329"/>
        <v/>
      </c>
      <c r="BL135" s="172" t="str">
        <f t="shared" si="330"/>
        <v/>
      </c>
      <c r="BM135" s="171" t="str">
        <f t="array" ref="BM135">IFERROR(IF(BG135="ac"+ISNUMBER(SEARCH("'",BL135))+BK135="","", IF(ISNUMBER(SEARCH("lw",BL135)), AY135 + SUBSTITUTE(BL135,"lw+",""), MROUND(SWITCH(BG135,"sq",BK$7,"bn",BL$7,"dl",BM$7,"")*IF(BL135&gt;10, BL135/100, VLOOKUP(BL135, _rpe,SUBSTITUTE(BK135,"+","")+1,0)), IF( SWITCH(BG135,"sq",BK$7,"bn",BL$7,"dl", BM$7,"")&lt; IF(_uom="lbs", 175, 80), 1.25, IF(_uom="lbs",5,2.5))))), "")</f>
        <v/>
      </c>
      <c r="BN135" s="148"/>
      <c r="BO135" s="33"/>
      <c r="BP135" s="171"/>
      <c r="BQ135" s="124" t="str">
        <f>IFERROR(__xludf.DUMMYFUNCTION("IF(BM135=MAX(FILTER(BM$10:BM$199,LOOKUP(ROW(BG$10:BG$199),FILTER(ROW(BG$10:BG$199),BG$10:BG$199&lt;&gt;BG$9:BG$198))=LOOKUP(ROW(BG135),FILTER(ROW(BG$10:BG$199),BG$10:BG$199&lt;&gt;BG$9:BG$198)))),BN135,)"),"")</f>
        <v/>
      </c>
      <c r="BR135" s="122"/>
      <c r="BS135" s="33"/>
      <c r="BT135" s="143" t="str">
        <f t="shared" si="19"/>
        <v/>
      </c>
      <c r="BU135" s="38" t="str">
        <f>IFERROR(__xludf.DUMMYFUNCTION("""COMPUTED_VALUE"""),"")</f>
        <v/>
      </c>
      <c r="BV135" s="144">
        <v>46146.0</v>
      </c>
      <c r="BW135" s="167" t="str">
        <f t="shared" si="20"/>
        <v/>
      </c>
      <c r="BX135" s="168" t="str">
        <f t="shared" si="331"/>
        <v/>
      </c>
      <c r="BY135" s="169" t="str">
        <f t="shared" si="332"/>
        <v/>
      </c>
      <c r="BZ135" s="172" t="str">
        <f t="shared" si="333"/>
        <v/>
      </c>
      <c r="CA135" s="171" t="str">
        <f t="array" ref="CA135">IFERROR(IF(BU135="ac"+ISNUMBER(SEARCH("'",BZ135))+BY135="","", IF(ISNUMBER(SEARCH("lw",BZ135)), BM135 + SUBSTITUTE(BZ135,"lw+",""), MROUND(SWITCH(BU135,"sq",BY$7,"bn",BZ$7,"dl",CA$7,"")*IF(BZ135&gt;10, BZ135/100, VLOOKUP(BZ135, _rpe,SUBSTITUTE(BY135,"+","")+1,0)), IF( SWITCH(BU135,"sq",BY$7,"bn",BZ$7,"dl", CA$7,"")&lt; IF(_uom="lbs", 175, 80), 1.25, IF(_uom="lbs",5,2.5))))), "")</f>
        <v/>
      </c>
      <c r="CB135" s="148"/>
      <c r="CC135" s="33"/>
      <c r="CD135" s="171"/>
      <c r="CE135" s="124" t="str">
        <f>IFERROR(__xludf.DUMMYFUNCTION("IF(CA135=MAX(FILTER(CA$10:CA$199,LOOKUP(ROW(BU$10:BU$199),FILTER(ROW(BU$10:BU$199),BU$10:BU$199&lt;&gt;BU$9:BU$198))=LOOKUP(ROW(BU135),FILTER(ROW(BU$10:BU$199),BU$10:BU$199&lt;&gt;BU$9:BU$198)))),CB135,)"),"")</f>
        <v/>
      </c>
      <c r="CF135" s="122"/>
      <c r="CG135" s="33"/>
      <c r="CH135" s="143" t="str">
        <f t="shared" si="21"/>
        <v/>
      </c>
      <c r="CI135" s="38" t="str">
        <f>IFERROR(__xludf.DUMMYFUNCTION("""COMPUTED_VALUE"""),"")</f>
        <v/>
      </c>
      <c r="CJ135" s="144">
        <v>46153.0</v>
      </c>
      <c r="CK135" s="167" t="str">
        <f t="shared" si="27"/>
        <v/>
      </c>
      <c r="CL135" s="168" t="str">
        <f t="shared" si="334"/>
        <v/>
      </c>
      <c r="CM135" s="169" t="str">
        <f t="shared" si="335"/>
        <v/>
      </c>
      <c r="CN135" s="172" t="str">
        <f t="shared" si="336"/>
        <v/>
      </c>
      <c r="CO135" s="171" t="str">
        <f t="array" ref="CO135">IFERROR(IF(CI135="ac"+ISNUMBER(SEARCH("'",CN135))+CM135="","", IF(ISNUMBER(SEARCH("lw",CN135)), CA135 + SUBSTITUTE(CN135,"lw+",""), MROUND(SWITCH(CI135,"sq",CM$7,"bn",CN$7,"dl",CO$7,"")*IF(CN135&gt;10, CN135/100, VLOOKUP(CN135, _rpe,SUBSTITUTE(CM135,"+","")+1,0)), IF( SWITCH(CI135,"sq",CM$7,"bn",CN$7,"dl", CO$7,"")&lt; IF(_uom="lbs", 175, 80), 1.25, IF(_uom="lbs",5,2.5))))), "")</f>
        <v/>
      </c>
      <c r="CP135" s="148"/>
      <c r="CQ135" s="33"/>
      <c r="CR135" s="171"/>
      <c r="CS135" s="124" t="str">
        <f>IFERROR(__xludf.DUMMYFUNCTION("IF(CO135=MAX(FILTER(CO$10:CO$199,LOOKUP(ROW(CI$10:CI$199),FILTER(ROW(CI$10:CI$199),CI$10:CI$199&lt;&gt;CI$9:CI$198))=LOOKUP(ROW(CI135),FILTER(ROW(CI$10:CI$199),CI$10:CI$199&lt;&gt;CI$9:CI$198)))),CP135,)"),"")</f>
        <v/>
      </c>
      <c r="CT135" s="122"/>
      <c r="CU135" s="33"/>
      <c r="CV135" s="143" t="str">
        <f t="shared" si="22"/>
        <v/>
      </c>
      <c r="CW135" s="38" t="str">
        <f>IFERROR(__xludf.DUMMYFUNCTION("""COMPUTED_VALUE"""),"")</f>
        <v/>
      </c>
      <c r="CX135" s="144">
        <v>46160.0</v>
      </c>
      <c r="CY135" s="167" t="str">
        <f t="shared" si="28"/>
        <v/>
      </c>
      <c r="CZ135" s="168" t="str">
        <f t="shared" si="337"/>
        <v/>
      </c>
      <c r="DA135" s="169" t="str">
        <f t="shared" si="338"/>
        <v/>
      </c>
      <c r="DB135" s="172" t="str">
        <f t="shared" si="339"/>
        <v/>
      </c>
      <c r="DC135" s="171" t="str">
        <f t="array" ref="DC135">IFERROR(IF(CW135="ac"+ISNUMBER(SEARCH("'",DB135))+DA135="","", IF(ISNUMBER(SEARCH("lw",DB135)), CO135 + SUBSTITUTE(DB135,"lw+",""), MROUND(SWITCH(CW135,"sq",DA$7,"bn",DB$7,"dl",DC$7,"")*IF(DB135&gt;10, DB135/100, VLOOKUP(DB135, _rpe,SUBSTITUTE(DA135,"+","")+1,0)), IF( SWITCH(CW135,"sq",DA$7,"bn",DB$7,"dl", DC$7,"")&lt; IF(_uom="lbs", 175, 80), 1.25, IF(_uom="lbs",5,2.5))))), "")</f>
        <v/>
      </c>
      <c r="DD135" s="148"/>
      <c r="DE135" s="33"/>
      <c r="DF135" s="171"/>
      <c r="DG135" s="124" t="str">
        <f>IFERROR(__xludf.DUMMYFUNCTION("IF(DC135=MAX(FILTER(DC$10:DC$199,LOOKUP(ROW(CW$10:CW$199),FILTER(ROW(CW$10:CW$199),CW$10:CW$199&lt;&gt;CW$9:CW$198))=LOOKUP(ROW(CW135),FILTER(ROW(CW$10:CW$199),CW$10:CW$199&lt;&gt;CW$9:CW$198)))),DD135,)"),"")</f>
        <v/>
      </c>
      <c r="DH135" s="122"/>
      <c r="DI135" s="33"/>
      <c r="DJ135" s="143" t="str">
        <f t="shared" si="23"/>
        <v/>
      </c>
      <c r="DK135" s="38" t="str">
        <f>IFERROR(__xludf.DUMMYFUNCTION("""COMPUTED_VALUE"""),"")</f>
        <v/>
      </c>
      <c r="DL135" s="144">
        <v>46167.0</v>
      </c>
      <c r="DM135" s="167" t="str">
        <f t="shared" ref="DM135:DN135" si="387">IF(ISBLANK(CY135),"",CY135)</f>
        <v/>
      </c>
      <c r="DN135" s="168" t="str">
        <f t="shared" si="387"/>
        <v/>
      </c>
      <c r="DO135" s="169" t="str">
        <f t="shared" si="341"/>
        <v/>
      </c>
      <c r="DP135" s="172" t="str">
        <f t="shared" si="342"/>
        <v/>
      </c>
      <c r="DQ135" s="171" t="str">
        <f t="array" ref="DQ135">IFERROR(IF(DK135="ac"+ISNUMBER(SEARCH("'",DP135))+DO135="","", IF(ISNUMBER(SEARCH("lw",DP135)), DC135 + SUBSTITUTE(DP135,"lw+",""), MROUND(SWITCH(DK135,"sq",DO$7,"bn",DP$7,"dl",DQ$7,"")*IF(DP135&gt;10, DP135/100, VLOOKUP(DP135, _rpe,SUBSTITUTE(DO135,"+","")+1,0)), IF( SWITCH(DK135,"sq",DO$7,"bn",DP$7,"dl", DQ$7,"")&lt; IF(_uom="lbs", 175, 80), 1.25, IF(_uom="lbs",5,2.5))))), "")</f>
        <v/>
      </c>
      <c r="DR135" s="148"/>
      <c r="DS135" s="33"/>
      <c r="DT135" s="171"/>
      <c r="DU135" s="124" t="str">
        <f>IFERROR(__xludf.DUMMYFUNCTION("IF(DQ135=MAX(FILTER(DQ$10:DQ$199,LOOKUP(ROW(DK$10:DK$199),FILTER(ROW(DK$10:DK$199),DK$10:DK$199&lt;&gt;DK$9:DK$198))=LOOKUP(ROW(DK135),FILTER(ROW(DK$10:DK$199),DK$10:DK$199&lt;&gt;DK$9:DK$198)))),DR135,)"),"")</f>
        <v/>
      </c>
      <c r="DV135" s="122"/>
      <c r="DW135" s="33"/>
      <c r="DX135" s="143"/>
      <c r="DY135" s="38"/>
      <c r="DZ135" s="144"/>
      <c r="EA135" s="150"/>
      <c r="EB135" s="174"/>
      <c r="EC135" s="175"/>
      <c r="ED135" s="176"/>
      <c r="EE135" s="155"/>
      <c r="EF135" s="148"/>
      <c r="EG135" s="33"/>
      <c r="EH135" s="155"/>
      <c r="EI135" s="148"/>
      <c r="EJ135" s="33"/>
      <c r="EK135" s="33"/>
      <c r="EL135" s="143"/>
      <c r="EM135" s="38"/>
      <c r="EN135" s="144"/>
      <c r="EO135" s="150"/>
      <c r="EP135" s="174"/>
      <c r="EQ135" s="175"/>
      <c r="ER135" s="176"/>
      <c r="ES135" s="155"/>
      <c r="ET135" s="148"/>
      <c r="EU135" s="33"/>
      <c r="EV135" s="155"/>
      <c r="EW135" s="148"/>
      <c r="EX135" s="33"/>
      <c r="EY135" s="33"/>
      <c r="EZ135" s="143"/>
      <c r="FA135" s="38"/>
      <c r="FB135" s="144"/>
      <c r="FC135" s="150"/>
      <c r="FD135" s="174"/>
      <c r="FE135" s="175"/>
      <c r="FF135" s="176"/>
      <c r="FG135" s="155"/>
      <c r="FH135" s="148"/>
      <c r="FI135" s="33"/>
      <c r="FJ135" s="155"/>
      <c r="FK135" s="148"/>
      <c r="FL135" s="33"/>
      <c r="FM135" s="33"/>
      <c r="FN135" s="143"/>
      <c r="FO135" s="38"/>
      <c r="FP135" s="144"/>
      <c r="FQ135" s="150"/>
      <c r="FR135" s="174"/>
      <c r="FS135" s="175"/>
      <c r="FT135" s="176"/>
      <c r="FU135" s="155"/>
      <c r="FV135" s="148"/>
      <c r="FW135" s="33"/>
      <c r="FX135" s="155"/>
      <c r="FY135" s="148"/>
      <c r="FZ135" s="33"/>
      <c r="GA135" s="33"/>
      <c r="GB135" s="143"/>
      <c r="GC135" s="38"/>
      <c r="GD135" s="144"/>
      <c r="GE135" s="150"/>
      <c r="GF135" s="174"/>
      <c r="GG135" s="175"/>
      <c r="GH135" s="176"/>
      <c r="GI135" s="155"/>
      <c r="GJ135" s="148"/>
      <c r="GK135" s="33"/>
      <c r="GL135" s="155"/>
      <c r="GM135" s="148"/>
      <c r="GN135" s="33"/>
      <c r="GO135" s="33"/>
      <c r="GP135" s="143"/>
      <c r="GQ135" s="38"/>
      <c r="GR135" s="144"/>
      <c r="GS135" s="150"/>
      <c r="GT135" s="174"/>
      <c r="GU135" s="175"/>
      <c r="GV135" s="176"/>
      <c r="GW135" s="155"/>
      <c r="GX135" s="148"/>
      <c r="GY135" s="33"/>
      <c r="GZ135" s="155"/>
      <c r="HA135" s="148"/>
      <c r="HB135" s="33"/>
      <c r="HC135" s="33"/>
      <c r="HD135" s="143"/>
      <c r="HE135" s="38"/>
      <c r="HF135" s="144"/>
      <c r="HG135" s="150"/>
      <c r="HH135" s="174"/>
      <c r="HI135" s="175"/>
      <c r="HJ135" s="176"/>
      <c r="HK135" s="155"/>
      <c r="HL135" s="148"/>
      <c r="HM135" s="33"/>
      <c r="HN135" s="155"/>
      <c r="HO135" s="148"/>
      <c r="HP135" s="33"/>
      <c r="HQ135" s="33"/>
      <c r="HR135" s="143"/>
      <c r="HS135" s="38"/>
      <c r="HT135" s="144"/>
      <c r="HU135" s="150"/>
      <c r="HV135" s="174"/>
      <c r="HW135" s="175"/>
      <c r="HX135" s="176"/>
      <c r="HY135" s="155"/>
      <c r="HZ135" s="148"/>
      <c r="IA135" s="33"/>
      <c r="IB135" s="155"/>
      <c r="IC135" s="148"/>
      <c r="ID135" s="33"/>
      <c r="IE135" s="33"/>
      <c r="IF135" s="143"/>
      <c r="IG135" s="38"/>
      <c r="IH135" s="144"/>
      <c r="II135" s="150"/>
      <c r="IJ135" s="174"/>
      <c r="IK135" s="175"/>
      <c r="IL135" s="176"/>
      <c r="IM135" s="155"/>
      <c r="IN135" s="148"/>
      <c r="IO135" s="33"/>
      <c r="IP135" s="155"/>
      <c r="IQ135" s="148"/>
      <c r="IR135" s="33"/>
      <c r="IS135" s="33"/>
      <c r="IT135" s="143"/>
      <c r="IU135" s="38"/>
      <c r="IV135" s="144"/>
      <c r="IW135" s="143"/>
      <c r="IX135" s="38"/>
      <c r="IY135" s="144" t="e">
        <v>#REF!</v>
      </c>
    </row>
    <row r="136">
      <c r="A136" s="33"/>
      <c r="B136" s="181"/>
      <c r="C136" s="38" t="str">
        <f>IFERROR(__xludf.DUMMYFUNCTION("""COMPUTED_VALUE"""),"")</f>
        <v/>
      </c>
      <c r="D136" s="144">
        <v>46111.0</v>
      </c>
      <c r="E136" s="167"/>
      <c r="F136" s="168"/>
      <c r="G136" s="169"/>
      <c r="H136" s="170"/>
      <c r="I136" s="171" t="str">
        <f t="array" ref="I136">IFERROR(IF(C136="ac"+ISNUMBER(SEARCH("'",H136))+G136="","", MROUND(SWITCH(C136,"sq",'Personal Info'!$O$15,"bn",'Personal Info'!$S$15,"dl",'Personal Info'!$W$15,"")*IF(H136&gt;10, H136/100, VLOOKUP(H136, _rpe,SUBSTITUTE(G136,"+","")+1,0)), IF( SWITCH(C136:C210,"sq",'Personal Info'!$O$15,"bn",'Personal Info'!$S$15,"dl", 'Personal Info'!$W$15,"")&lt; IF(_uom="lbs", 175, 80), 1.25, IF(_uom="lbs",5,2.5)))),"")</f>
        <v/>
      </c>
      <c r="J136" s="148"/>
      <c r="K136" s="33"/>
      <c r="L136" s="171"/>
      <c r="M136" s="124" t="str">
        <f>IFERROR(__xludf.DUMMYFUNCTION("IF(I136=MAX(FILTER(I$10:I$199,LOOKUP(ROW(C$10:C$199),FILTER(ROW(C$10:C$199),C$10:C$199&lt;&gt;C$9:C$198))=LOOKUP(ROW(C136),FILTER(ROW(C$10:C$199),C$10:C$199&lt;&gt;C$9:C$198)))),J136,)"),"")</f>
        <v/>
      </c>
      <c r="N136" s="122"/>
      <c r="O136" s="33"/>
      <c r="P136" s="143" t="str">
        <f t="shared" si="12"/>
        <v/>
      </c>
      <c r="Q136" s="38" t="str">
        <f>IFERROR(__xludf.DUMMYFUNCTION("""COMPUTED_VALUE"""),"")</f>
        <v/>
      </c>
      <c r="R136" s="144">
        <v>46118.0</v>
      </c>
      <c r="S136" s="167" t="str">
        <f t="shared" si="13"/>
        <v/>
      </c>
      <c r="T136" s="168" t="str">
        <f t="shared" si="319"/>
        <v/>
      </c>
      <c r="U136" s="169" t="str">
        <f t="shared" si="320"/>
        <v/>
      </c>
      <c r="V136" s="172" t="str">
        <f t="shared" si="321"/>
        <v/>
      </c>
      <c r="W136" s="171" t="str">
        <f t="array" ref="W136">IFERROR(IF(Q136="ac"+ISNUMBER(SEARCH("'",V136))+U136="","", IF(ISNUMBER(SEARCH("lw",V136)), I136 + SUBSTITUTE(V136,"lw+",""), MROUND(SWITCH(Q136,"sq",U$7,"bn",V$7,"dl",W$7,"")*IF(V136&gt;10, V136/100, VLOOKUP(V136, _rpe,SUBSTITUTE(U136,"+","")+1,0)), IF( SWITCH(Q136,"sq",U$7,"bn",V$7,"dl", W$7,"")&lt; IF(_uom="lbs", 175, 80), 1.25, IF(_uom="lbs",5,2.5))))), "")</f>
        <v/>
      </c>
      <c r="X136" s="148"/>
      <c r="Y136" s="33"/>
      <c r="Z136" s="171"/>
      <c r="AA136" s="124" t="str">
        <f>IFERROR(__xludf.DUMMYFUNCTION("IF(W136=MAX(FILTER(W$10:W$199,LOOKUP(ROW(Q$10:Q$199),FILTER(ROW(Q$10:Q$199),Q$10:Q$199&lt;&gt;Q$9:Q$198))=LOOKUP(ROW(Q136),FILTER(ROW(Q$10:Q$199),Q$10:Q$199&lt;&gt;Q$9:Q$198)))),X136,)"),"")</f>
        <v/>
      </c>
      <c r="AB136" s="122"/>
      <c r="AC136" s="33"/>
      <c r="AD136" s="143" t="str">
        <f t="shared" si="14"/>
        <v/>
      </c>
      <c r="AE136" s="38" t="str">
        <f>IFERROR(__xludf.DUMMYFUNCTION("""COMPUTED_VALUE"""),"")</f>
        <v/>
      </c>
      <c r="AF136" s="144">
        <v>46125.0</v>
      </c>
      <c r="AG136" s="167" t="str">
        <f t="shared" si="54"/>
        <v/>
      </c>
      <c r="AH136" s="168" t="str">
        <f t="shared" si="322"/>
        <v/>
      </c>
      <c r="AI136" s="169" t="str">
        <f t="shared" si="323"/>
        <v/>
      </c>
      <c r="AJ136" s="172" t="str">
        <f t="shared" si="324"/>
        <v/>
      </c>
      <c r="AK136" s="171" t="str">
        <f t="array" ref="AK136">IFERROR(IF(AE136="ac"+ISNUMBER(SEARCH("'",AJ136))+AI136="","", IF(ISNUMBER(SEARCH("lw",AJ136)), W136 + SUBSTITUTE(AJ136,"lw+",""), MROUND(SWITCH(AE136,"sq",AI$7,"bn",AJ$7,"dl",AK$7,"")*IF(AJ136&gt;10, AJ136/100, VLOOKUP(AJ136, _rpe,SUBSTITUTE(AI136,"+","")+1,0)), IF( SWITCH(AE136,"sq",AI$7,"bn",AJ$7,"dl", AK$7,"")&lt; IF(_uom="lbs", 175, 80), 1.25, IF(_uom="lbs",5,2.5))))), "")</f>
        <v/>
      </c>
      <c r="AL136" s="148"/>
      <c r="AM136" s="33"/>
      <c r="AN136" s="171"/>
      <c r="AO136" s="124" t="str">
        <f>IFERROR(__xludf.DUMMYFUNCTION("IF(AK136=MAX(FILTER(AK$10:AK$199,LOOKUP(ROW(AE$10:AE$199),FILTER(ROW(AE$10:AE$199),AE$10:AE$199&lt;&gt;AE$9:AE$198))=LOOKUP(ROW(AE136),FILTER(ROW(AE$10:AE$199),AE$10:AE$199&lt;&gt;AE$9:AE$198)))),AL136,)"),"")</f>
        <v/>
      </c>
      <c r="AP136" s="122"/>
      <c r="AQ136" s="33"/>
      <c r="AR136" s="143" t="str">
        <f t="shared" si="16"/>
        <v/>
      </c>
      <c r="AS136" s="38" t="str">
        <f>IFERROR(__xludf.DUMMYFUNCTION("""COMPUTED_VALUE"""),"")</f>
        <v/>
      </c>
      <c r="AT136" s="144">
        <v>46132.0</v>
      </c>
      <c r="AU136" s="167" t="str">
        <f t="shared" si="26"/>
        <v/>
      </c>
      <c r="AV136" s="168" t="str">
        <f t="shared" si="325"/>
        <v/>
      </c>
      <c r="AW136" s="169" t="str">
        <f t="shared" si="326"/>
        <v/>
      </c>
      <c r="AX136" s="172" t="str">
        <f t="shared" si="327"/>
        <v/>
      </c>
      <c r="AY136" s="171" t="str">
        <f t="array" ref="AY136">IFERROR(IF(AS136="ac"+ISNUMBER(SEARCH("'",AX136))+AW136="","", IF(ISNUMBER(SEARCH("lw",AX136)), AK136 + SUBSTITUTE(AX136,"lw+",""), MROUND(SWITCH(AS136,"sq",AW$7,"bn",AX$7,"dl",AY$7,"")*IF(AX136&gt;10, AX136/100, VLOOKUP(AX136, _rpe,SUBSTITUTE(AW136,"+","")+1,0)), IF( SWITCH(AS136,"sq",AW$7,"bn",AX$7,"dl", AY$7,"")&lt; IF(_uom="lbs", 175, 80), 1.25, IF(_uom="lbs",5,2.5))))), "")</f>
        <v/>
      </c>
      <c r="AZ136" s="148"/>
      <c r="BA136" s="33"/>
      <c r="BB136" s="171"/>
      <c r="BC136" s="124" t="str">
        <f>IFERROR(__xludf.DUMMYFUNCTION("IF(AY136=MAX(FILTER(AY$10:AY$199,LOOKUP(ROW(AS$10:AS$199),FILTER(ROW(AS$10:AS$199),AS$10:AS$199&lt;&gt;AS$9:AS$198))=LOOKUP(ROW(AS136),FILTER(ROW(AS$10:AS$199),AS$10:AS$199&lt;&gt;AS$9:AS$198)))),AZ136,)"),"")</f>
        <v/>
      </c>
      <c r="BD136" s="122"/>
      <c r="BE136" s="33"/>
      <c r="BF136" s="143" t="str">
        <f t="shared" si="17"/>
        <v/>
      </c>
      <c r="BG136" s="38" t="str">
        <f>IFERROR(__xludf.DUMMYFUNCTION("""COMPUTED_VALUE"""),"")</f>
        <v/>
      </c>
      <c r="BH136" s="144">
        <v>46139.0</v>
      </c>
      <c r="BI136" s="167" t="str">
        <f t="shared" si="18"/>
        <v/>
      </c>
      <c r="BJ136" s="168" t="str">
        <f t="shared" si="328"/>
        <v/>
      </c>
      <c r="BK136" s="169" t="str">
        <f t="shared" si="329"/>
        <v/>
      </c>
      <c r="BL136" s="172" t="str">
        <f t="shared" si="330"/>
        <v/>
      </c>
      <c r="BM136" s="171" t="str">
        <f t="array" ref="BM136">IFERROR(IF(BG136="ac"+ISNUMBER(SEARCH("'",BL136))+BK136="","", IF(ISNUMBER(SEARCH("lw",BL136)), AY136 + SUBSTITUTE(BL136,"lw+",""), MROUND(SWITCH(BG136,"sq",BK$7,"bn",BL$7,"dl",BM$7,"")*IF(BL136&gt;10, BL136/100, VLOOKUP(BL136, _rpe,SUBSTITUTE(BK136,"+","")+1,0)), IF( SWITCH(BG136,"sq",BK$7,"bn",BL$7,"dl", BM$7,"")&lt; IF(_uom="lbs", 175, 80), 1.25, IF(_uom="lbs",5,2.5))))), "")</f>
        <v/>
      </c>
      <c r="BN136" s="148"/>
      <c r="BO136" s="33"/>
      <c r="BP136" s="171"/>
      <c r="BQ136" s="124" t="str">
        <f>IFERROR(__xludf.DUMMYFUNCTION("IF(BM136=MAX(FILTER(BM$10:BM$199,LOOKUP(ROW(BG$10:BG$199),FILTER(ROW(BG$10:BG$199),BG$10:BG$199&lt;&gt;BG$9:BG$198))=LOOKUP(ROW(BG136),FILTER(ROW(BG$10:BG$199),BG$10:BG$199&lt;&gt;BG$9:BG$198)))),BN136,)"),"")</f>
        <v/>
      </c>
      <c r="BR136" s="122"/>
      <c r="BS136" s="33"/>
      <c r="BT136" s="143" t="str">
        <f t="shared" si="19"/>
        <v/>
      </c>
      <c r="BU136" s="38" t="str">
        <f>IFERROR(__xludf.DUMMYFUNCTION("""COMPUTED_VALUE"""),"")</f>
        <v/>
      </c>
      <c r="BV136" s="144">
        <v>46146.0</v>
      </c>
      <c r="BW136" s="167" t="str">
        <f t="shared" si="20"/>
        <v/>
      </c>
      <c r="BX136" s="168" t="str">
        <f t="shared" si="331"/>
        <v/>
      </c>
      <c r="BY136" s="169" t="str">
        <f t="shared" si="332"/>
        <v/>
      </c>
      <c r="BZ136" s="172" t="str">
        <f t="shared" si="333"/>
        <v/>
      </c>
      <c r="CA136" s="171" t="str">
        <f t="array" ref="CA136">IFERROR(IF(BU136="ac"+ISNUMBER(SEARCH("'",BZ136))+BY136="","", IF(ISNUMBER(SEARCH("lw",BZ136)), BM136 + SUBSTITUTE(BZ136,"lw+",""), MROUND(SWITCH(BU136,"sq",BY$7,"bn",BZ$7,"dl",CA$7,"")*IF(BZ136&gt;10, BZ136/100, VLOOKUP(BZ136, _rpe,SUBSTITUTE(BY136,"+","")+1,0)), IF( SWITCH(BU136,"sq",BY$7,"bn",BZ$7,"dl", CA$7,"")&lt; IF(_uom="lbs", 175, 80), 1.25, IF(_uom="lbs",5,2.5))))), "")</f>
        <v/>
      </c>
      <c r="CB136" s="148"/>
      <c r="CC136" s="33"/>
      <c r="CD136" s="171"/>
      <c r="CE136" s="124" t="str">
        <f>IFERROR(__xludf.DUMMYFUNCTION("IF(CA136=MAX(FILTER(CA$10:CA$199,LOOKUP(ROW(BU$10:BU$199),FILTER(ROW(BU$10:BU$199),BU$10:BU$199&lt;&gt;BU$9:BU$198))=LOOKUP(ROW(BU136),FILTER(ROW(BU$10:BU$199),BU$10:BU$199&lt;&gt;BU$9:BU$198)))),CB136,)"),"")</f>
        <v/>
      </c>
      <c r="CF136" s="122"/>
      <c r="CG136" s="33"/>
      <c r="CH136" s="143" t="str">
        <f t="shared" si="21"/>
        <v/>
      </c>
      <c r="CI136" s="38" t="str">
        <f>IFERROR(__xludf.DUMMYFUNCTION("""COMPUTED_VALUE"""),"")</f>
        <v/>
      </c>
      <c r="CJ136" s="144">
        <v>46153.0</v>
      </c>
      <c r="CK136" s="167" t="str">
        <f t="shared" si="27"/>
        <v/>
      </c>
      <c r="CL136" s="168" t="str">
        <f t="shared" si="334"/>
        <v/>
      </c>
      <c r="CM136" s="169" t="str">
        <f t="shared" si="335"/>
        <v/>
      </c>
      <c r="CN136" s="172" t="str">
        <f t="shared" si="336"/>
        <v/>
      </c>
      <c r="CO136" s="171" t="str">
        <f t="array" ref="CO136">IFERROR(IF(CI136="ac"+ISNUMBER(SEARCH("'",CN136))+CM136="","", IF(ISNUMBER(SEARCH("lw",CN136)), CA136 + SUBSTITUTE(CN136,"lw+",""), MROUND(SWITCH(CI136,"sq",CM$7,"bn",CN$7,"dl",CO$7,"")*IF(CN136&gt;10, CN136/100, VLOOKUP(CN136, _rpe,SUBSTITUTE(CM136,"+","")+1,0)), IF( SWITCH(CI136,"sq",CM$7,"bn",CN$7,"dl", CO$7,"")&lt; IF(_uom="lbs", 175, 80), 1.25, IF(_uom="lbs",5,2.5))))), "")</f>
        <v/>
      </c>
      <c r="CP136" s="148"/>
      <c r="CQ136" s="33"/>
      <c r="CR136" s="171"/>
      <c r="CS136" s="124" t="str">
        <f>IFERROR(__xludf.DUMMYFUNCTION("IF(CO136=MAX(FILTER(CO$10:CO$199,LOOKUP(ROW(CI$10:CI$199),FILTER(ROW(CI$10:CI$199),CI$10:CI$199&lt;&gt;CI$9:CI$198))=LOOKUP(ROW(CI136),FILTER(ROW(CI$10:CI$199),CI$10:CI$199&lt;&gt;CI$9:CI$198)))),CP136,)"),"")</f>
        <v/>
      </c>
      <c r="CT136" s="122"/>
      <c r="CU136" s="33"/>
      <c r="CV136" s="143" t="str">
        <f t="shared" si="22"/>
        <v/>
      </c>
      <c r="CW136" s="38" t="str">
        <f>IFERROR(__xludf.DUMMYFUNCTION("""COMPUTED_VALUE"""),"")</f>
        <v/>
      </c>
      <c r="CX136" s="144">
        <v>46160.0</v>
      </c>
      <c r="CY136" s="167" t="str">
        <f t="shared" si="28"/>
        <v/>
      </c>
      <c r="CZ136" s="168" t="str">
        <f t="shared" si="337"/>
        <v/>
      </c>
      <c r="DA136" s="169" t="str">
        <f t="shared" si="338"/>
        <v/>
      </c>
      <c r="DB136" s="172" t="str">
        <f t="shared" si="339"/>
        <v/>
      </c>
      <c r="DC136" s="171" t="str">
        <f t="array" ref="DC136">IFERROR(IF(CW136="ac"+ISNUMBER(SEARCH("'",DB136))+DA136="","", IF(ISNUMBER(SEARCH("lw",DB136)), CO136 + SUBSTITUTE(DB136,"lw+",""), MROUND(SWITCH(CW136,"sq",DA$7,"bn",DB$7,"dl",DC$7,"")*IF(DB136&gt;10, DB136/100, VLOOKUP(DB136, _rpe,SUBSTITUTE(DA136,"+","")+1,0)), IF( SWITCH(CW136,"sq",DA$7,"bn",DB$7,"dl", DC$7,"")&lt; IF(_uom="lbs", 175, 80), 1.25, IF(_uom="lbs",5,2.5))))), "")</f>
        <v/>
      </c>
      <c r="DD136" s="148"/>
      <c r="DE136" s="33"/>
      <c r="DF136" s="171"/>
      <c r="DG136" s="124" t="str">
        <f>IFERROR(__xludf.DUMMYFUNCTION("IF(DC136=MAX(FILTER(DC$10:DC$199,LOOKUP(ROW(CW$10:CW$199),FILTER(ROW(CW$10:CW$199),CW$10:CW$199&lt;&gt;CW$9:CW$198))=LOOKUP(ROW(CW136),FILTER(ROW(CW$10:CW$199),CW$10:CW$199&lt;&gt;CW$9:CW$198)))),DD136,)"),"")</f>
        <v/>
      </c>
      <c r="DH136" s="122"/>
      <c r="DI136" s="33"/>
      <c r="DJ136" s="143" t="str">
        <f t="shared" si="23"/>
        <v/>
      </c>
      <c r="DK136" s="38" t="str">
        <f>IFERROR(__xludf.DUMMYFUNCTION("""COMPUTED_VALUE"""),"")</f>
        <v/>
      </c>
      <c r="DL136" s="144">
        <v>46167.0</v>
      </c>
      <c r="DM136" s="167" t="str">
        <f t="shared" ref="DM136:DN136" si="388">IF(ISBLANK(CY136),"",CY136)</f>
        <v/>
      </c>
      <c r="DN136" s="168" t="str">
        <f t="shared" si="388"/>
        <v/>
      </c>
      <c r="DO136" s="169" t="str">
        <f t="shared" si="341"/>
        <v/>
      </c>
      <c r="DP136" s="172" t="str">
        <f t="shared" si="342"/>
        <v/>
      </c>
      <c r="DQ136" s="171" t="str">
        <f t="array" ref="DQ136">IFERROR(IF(DK136="ac"+ISNUMBER(SEARCH("'",DP136))+DO136="","", IF(ISNUMBER(SEARCH("lw",DP136)), DC136 + SUBSTITUTE(DP136,"lw+",""), MROUND(SWITCH(DK136,"sq",DO$7,"bn",DP$7,"dl",DQ$7,"")*IF(DP136&gt;10, DP136/100, VLOOKUP(DP136, _rpe,SUBSTITUTE(DO136,"+","")+1,0)), IF( SWITCH(DK136,"sq",DO$7,"bn",DP$7,"dl", DQ$7,"")&lt; IF(_uom="lbs", 175, 80), 1.25, IF(_uom="lbs",5,2.5))))), "")</f>
        <v/>
      </c>
      <c r="DR136" s="148"/>
      <c r="DS136" s="33"/>
      <c r="DT136" s="171"/>
      <c r="DU136" s="124" t="str">
        <f>IFERROR(__xludf.DUMMYFUNCTION("IF(DQ136=MAX(FILTER(DQ$10:DQ$199,LOOKUP(ROW(DK$10:DK$199),FILTER(ROW(DK$10:DK$199),DK$10:DK$199&lt;&gt;DK$9:DK$198))=LOOKUP(ROW(DK136),FILTER(ROW(DK$10:DK$199),DK$10:DK$199&lt;&gt;DK$9:DK$198)))),DR136,)"),"")</f>
        <v/>
      </c>
      <c r="DV136" s="122"/>
      <c r="DW136" s="33"/>
      <c r="DX136" s="143"/>
      <c r="DY136" s="38"/>
      <c r="DZ136" s="144"/>
      <c r="EA136" s="150"/>
      <c r="EB136" s="174"/>
      <c r="EC136" s="175"/>
      <c r="ED136" s="176"/>
      <c r="EE136" s="155"/>
      <c r="EF136" s="148"/>
      <c r="EG136" s="33"/>
      <c r="EH136" s="155"/>
      <c r="EI136" s="148"/>
      <c r="EJ136" s="33"/>
      <c r="EK136" s="33"/>
      <c r="EL136" s="143"/>
      <c r="EM136" s="38"/>
      <c r="EN136" s="144"/>
      <c r="EO136" s="150"/>
      <c r="EP136" s="174"/>
      <c r="EQ136" s="175"/>
      <c r="ER136" s="176"/>
      <c r="ES136" s="155"/>
      <c r="ET136" s="148"/>
      <c r="EU136" s="33"/>
      <c r="EV136" s="155"/>
      <c r="EW136" s="148"/>
      <c r="EX136" s="33"/>
      <c r="EY136" s="33"/>
      <c r="EZ136" s="143"/>
      <c r="FA136" s="38"/>
      <c r="FB136" s="144"/>
      <c r="FC136" s="150"/>
      <c r="FD136" s="174"/>
      <c r="FE136" s="175"/>
      <c r="FF136" s="176"/>
      <c r="FG136" s="155"/>
      <c r="FH136" s="148"/>
      <c r="FI136" s="33"/>
      <c r="FJ136" s="155"/>
      <c r="FK136" s="148"/>
      <c r="FL136" s="33"/>
      <c r="FM136" s="33"/>
      <c r="FN136" s="143"/>
      <c r="FO136" s="38"/>
      <c r="FP136" s="144"/>
      <c r="FQ136" s="150"/>
      <c r="FR136" s="174"/>
      <c r="FS136" s="175"/>
      <c r="FT136" s="176"/>
      <c r="FU136" s="155"/>
      <c r="FV136" s="148"/>
      <c r="FW136" s="33"/>
      <c r="FX136" s="155"/>
      <c r="FY136" s="148"/>
      <c r="FZ136" s="33"/>
      <c r="GA136" s="33"/>
      <c r="GB136" s="143"/>
      <c r="GC136" s="38"/>
      <c r="GD136" s="144"/>
      <c r="GE136" s="150"/>
      <c r="GF136" s="174"/>
      <c r="GG136" s="175"/>
      <c r="GH136" s="176"/>
      <c r="GI136" s="155"/>
      <c r="GJ136" s="148"/>
      <c r="GK136" s="33"/>
      <c r="GL136" s="155"/>
      <c r="GM136" s="148"/>
      <c r="GN136" s="33"/>
      <c r="GO136" s="33"/>
      <c r="GP136" s="143"/>
      <c r="GQ136" s="38"/>
      <c r="GR136" s="144"/>
      <c r="GS136" s="150"/>
      <c r="GT136" s="174"/>
      <c r="GU136" s="175"/>
      <c r="GV136" s="176"/>
      <c r="GW136" s="155"/>
      <c r="GX136" s="148"/>
      <c r="GY136" s="33"/>
      <c r="GZ136" s="155"/>
      <c r="HA136" s="148"/>
      <c r="HB136" s="33"/>
      <c r="HC136" s="33"/>
      <c r="HD136" s="143"/>
      <c r="HE136" s="38"/>
      <c r="HF136" s="144"/>
      <c r="HG136" s="150"/>
      <c r="HH136" s="174"/>
      <c r="HI136" s="175"/>
      <c r="HJ136" s="176"/>
      <c r="HK136" s="155"/>
      <c r="HL136" s="148"/>
      <c r="HM136" s="33"/>
      <c r="HN136" s="155"/>
      <c r="HO136" s="148"/>
      <c r="HP136" s="33"/>
      <c r="HQ136" s="33"/>
      <c r="HR136" s="143"/>
      <c r="HS136" s="38"/>
      <c r="HT136" s="144"/>
      <c r="HU136" s="150"/>
      <c r="HV136" s="174"/>
      <c r="HW136" s="175"/>
      <c r="HX136" s="176"/>
      <c r="HY136" s="155"/>
      <c r="HZ136" s="148"/>
      <c r="IA136" s="33"/>
      <c r="IB136" s="155"/>
      <c r="IC136" s="148"/>
      <c r="ID136" s="33"/>
      <c r="IE136" s="33"/>
      <c r="IF136" s="143"/>
      <c r="IG136" s="38"/>
      <c r="IH136" s="144"/>
      <c r="II136" s="150"/>
      <c r="IJ136" s="174"/>
      <c r="IK136" s="175"/>
      <c r="IL136" s="176"/>
      <c r="IM136" s="155"/>
      <c r="IN136" s="148"/>
      <c r="IO136" s="33"/>
      <c r="IP136" s="155"/>
      <c r="IQ136" s="148"/>
      <c r="IR136" s="33"/>
      <c r="IS136" s="33"/>
      <c r="IT136" s="143"/>
      <c r="IU136" s="38"/>
      <c r="IV136" s="144"/>
      <c r="IW136" s="143"/>
      <c r="IX136" s="38"/>
      <c r="IY136" s="144" t="e">
        <v>#REF!</v>
      </c>
    </row>
    <row r="137">
      <c r="A137" s="33"/>
      <c r="B137" s="181"/>
      <c r="C137" s="38" t="str">
        <f>IFERROR(__xludf.DUMMYFUNCTION("""COMPUTED_VALUE"""),"")</f>
        <v/>
      </c>
      <c r="D137" s="144">
        <v>46111.0</v>
      </c>
      <c r="E137" s="167"/>
      <c r="F137" s="168"/>
      <c r="G137" s="169"/>
      <c r="H137" s="170"/>
      <c r="I137" s="171" t="str">
        <f t="array" ref="I137">IFERROR(IF(C137="ac"+ISNUMBER(SEARCH("'",H137))+G137="","", MROUND(SWITCH(C137,"sq",'Personal Info'!$O$15,"bn",'Personal Info'!$S$15,"dl",'Personal Info'!$W$15,"")*IF(H137&gt;10, H137/100, VLOOKUP(H137, _rpe,SUBSTITUTE(G137,"+","")+1,0)), IF( SWITCH(C137:C210,"sq",'Personal Info'!$O$15,"bn",'Personal Info'!$S$15,"dl", 'Personal Info'!$W$15,"")&lt; IF(_uom="lbs", 175, 80), 1.25, IF(_uom="lbs",5,2.5)))),"")</f>
        <v/>
      </c>
      <c r="J137" s="148"/>
      <c r="K137" s="33"/>
      <c r="L137" s="171"/>
      <c r="M137" s="124" t="str">
        <f>IFERROR(__xludf.DUMMYFUNCTION("IF(I137=MAX(FILTER(I$10:I$199,LOOKUP(ROW(C$10:C$199),FILTER(ROW(C$10:C$199),C$10:C$199&lt;&gt;C$9:C$198))=LOOKUP(ROW(C137),FILTER(ROW(C$10:C$199),C$10:C$199&lt;&gt;C$9:C$198)))),J137,)"),"")</f>
        <v/>
      </c>
      <c r="N137" s="122"/>
      <c r="O137" s="33"/>
      <c r="P137" s="143" t="str">
        <f t="shared" si="12"/>
        <v/>
      </c>
      <c r="Q137" s="38" t="str">
        <f>IFERROR(__xludf.DUMMYFUNCTION("""COMPUTED_VALUE"""),"")</f>
        <v/>
      </c>
      <c r="R137" s="144">
        <v>46118.0</v>
      </c>
      <c r="S137" s="167" t="str">
        <f t="shared" si="13"/>
        <v/>
      </c>
      <c r="T137" s="168" t="str">
        <f t="shared" si="319"/>
        <v/>
      </c>
      <c r="U137" s="169" t="str">
        <f t="shared" si="320"/>
        <v/>
      </c>
      <c r="V137" s="172" t="str">
        <f t="shared" si="321"/>
        <v/>
      </c>
      <c r="W137" s="171" t="str">
        <f t="array" ref="W137">IFERROR(IF(Q137="ac"+ISNUMBER(SEARCH("'",V137))+U137="","", IF(ISNUMBER(SEARCH("lw",V137)), I137 + SUBSTITUTE(V137,"lw+",""), MROUND(SWITCH(Q137,"sq",U$7,"bn",V$7,"dl",W$7,"")*IF(V137&gt;10, V137/100, VLOOKUP(V137, _rpe,SUBSTITUTE(U137,"+","")+1,0)), IF( SWITCH(Q137,"sq",U$7,"bn",V$7,"dl", W$7,"")&lt; IF(_uom="lbs", 175, 80), 1.25, IF(_uom="lbs",5,2.5))))), "")</f>
        <v/>
      </c>
      <c r="X137" s="148"/>
      <c r="Y137" s="33"/>
      <c r="Z137" s="171"/>
      <c r="AA137" s="124" t="str">
        <f>IFERROR(__xludf.DUMMYFUNCTION("IF(W137=MAX(FILTER(W$10:W$199,LOOKUP(ROW(Q$10:Q$199),FILTER(ROW(Q$10:Q$199),Q$10:Q$199&lt;&gt;Q$9:Q$198))=LOOKUP(ROW(Q137),FILTER(ROW(Q$10:Q$199),Q$10:Q$199&lt;&gt;Q$9:Q$198)))),X137,)"),"")</f>
        <v/>
      </c>
      <c r="AB137" s="122"/>
      <c r="AC137" s="33"/>
      <c r="AD137" s="143" t="str">
        <f t="shared" si="14"/>
        <v/>
      </c>
      <c r="AE137" s="38" t="str">
        <f>IFERROR(__xludf.DUMMYFUNCTION("""COMPUTED_VALUE"""),"")</f>
        <v/>
      </c>
      <c r="AF137" s="144">
        <v>46125.0</v>
      </c>
      <c r="AG137" s="167" t="str">
        <f t="shared" si="54"/>
        <v/>
      </c>
      <c r="AH137" s="168" t="str">
        <f t="shared" si="322"/>
        <v/>
      </c>
      <c r="AI137" s="169" t="str">
        <f t="shared" si="323"/>
        <v/>
      </c>
      <c r="AJ137" s="172" t="str">
        <f t="shared" si="324"/>
        <v/>
      </c>
      <c r="AK137" s="171" t="str">
        <f t="array" ref="AK137">IFERROR(IF(AE137="ac"+ISNUMBER(SEARCH("'",AJ137))+AI137="","", IF(ISNUMBER(SEARCH("lw",AJ137)), W137 + SUBSTITUTE(AJ137,"lw+",""), MROUND(SWITCH(AE137,"sq",AI$7,"bn",AJ$7,"dl",AK$7,"")*IF(AJ137&gt;10, AJ137/100, VLOOKUP(AJ137, _rpe,SUBSTITUTE(AI137,"+","")+1,0)), IF( SWITCH(AE137,"sq",AI$7,"bn",AJ$7,"dl", AK$7,"")&lt; IF(_uom="lbs", 175, 80), 1.25, IF(_uom="lbs",5,2.5))))), "")</f>
        <v/>
      </c>
      <c r="AL137" s="148"/>
      <c r="AM137" s="33"/>
      <c r="AN137" s="171"/>
      <c r="AO137" s="124" t="str">
        <f>IFERROR(__xludf.DUMMYFUNCTION("IF(AK137=MAX(FILTER(AK$10:AK$199,LOOKUP(ROW(AE$10:AE$199),FILTER(ROW(AE$10:AE$199),AE$10:AE$199&lt;&gt;AE$9:AE$198))=LOOKUP(ROW(AE137),FILTER(ROW(AE$10:AE$199),AE$10:AE$199&lt;&gt;AE$9:AE$198)))),AL137,)"),"")</f>
        <v/>
      </c>
      <c r="AP137" s="122"/>
      <c r="AQ137" s="33"/>
      <c r="AR137" s="143" t="str">
        <f t="shared" si="16"/>
        <v/>
      </c>
      <c r="AS137" s="38" t="str">
        <f>IFERROR(__xludf.DUMMYFUNCTION("""COMPUTED_VALUE"""),"")</f>
        <v/>
      </c>
      <c r="AT137" s="144">
        <v>46132.0</v>
      </c>
      <c r="AU137" s="167" t="str">
        <f t="shared" si="26"/>
        <v/>
      </c>
      <c r="AV137" s="168" t="str">
        <f t="shared" si="325"/>
        <v/>
      </c>
      <c r="AW137" s="169" t="str">
        <f t="shared" si="326"/>
        <v/>
      </c>
      <c r="AX137" s="172" t="str">
        <f t="shared" si="327"/>
        <v/>
      </c>
      <c r="AY137" s="171" t="str">
        <f t="array" ref="AY137">IFERROR(IF(AS137="ac"+ISNUMBER(SEARCH("'",AX137))+AW137="","", IF(ISNUMBER(SEARCH("lw",AX137)), AK137 + SUBSTITUTE(AX137,"lw+",""), MROUND(SWITCH(AS137,"sq",AW$7,"bn",AX$7,"dl",AY$7,"")*IF(AX137&gt;10, AX137/100, VLOOKUP(AX137, _rpe,SUBSTITUTE(AW137,"+","")+1,0)), IF( SWITCH(AS137,"sq",AW$7,"bn",AX$7,"dl", AY$7,"")&lt; IF(_uom="lbs", 175, 80), 1.25, IF(_uom="lbs",5,2.5))))), "")</f>
        <v/>
      </c>
      <c r="AZ137" s="148"/>
      <c r="BA137" s="33"/>
      <c r="BB137" s="171"/>
      <c r="BC137" s="124" t="str">
        <f>IFERROR(__xludf.DUMMYFUNCTION("IF(AY137=MAX(FILTER(AY$10:AY$199,LOOKUP(ROW(AS$10:AS$199),FILTER(ROW(AS$10:AS$199),AS$10:AS$199&lt;&gt;AS$9:AS$198))=LOOKUP(ROW(AS137),FILTER(ROW(AS$10:AS$199),AS$10:AS$199&lt;&gt;AS$9:AS$198)))),AZ137,)"),"")</f>
        <v/>
      </c>
      <c r="BD137" s="122"/>
      <c r="BE137" s="33"/>
      <c r="BF137" s="143" t="str">
        <f t="shared" si="17"/>
        <v/>
      </c>
      <c r="BG137" s="38" t="str">
        <f>IFERROR(__xludf.DUMMYFUNCTION("""COMPUTED_VALUE"""),"")</f>
        <v/>
      </c>
      <c r="BH137" s="144">
        <v>46139.0</v>
      </c>
      <c r="BI137" s="167" t="str">
        <f t="shared" si="18"/>
        <v/>
      </c>
      <c r="BJ137" s="168" t="str">
        <f t="shared" si="328"/>
        <v/>
      </c>
      <c r="BK137" s="169" t="str">
        <f t="shared" si="329"/>
        <v/>
      </c>
      <c r="BL137" s="172" t="str">
        <f t="shared" si="330"/>
        <v/>
      </c>
      <c r="BM137" s="171" t="str">
        <f t="array" ref="BM137">IFERROR(IF(BG137="ac"+ISNUMBER(SEARCH("'",BL137))+BK137="","", IF(ISNUMBER(SEARCH("lw",BL137)), AY137 + SUBSTITUTE(BL137,"lw+",""), MROUND(SWITCH(BG137,"sq",BK$7,"bn",BL$7,"dl",BM$7,"")*IF(BL137&gt;10, BL137/100, VLOOKUP(BL137, _rpe,SUBSTITUTE(BK137,"+","")+1,0)), IF( SWITCH(BG137,"sq",BK$7,"bn",BL$7,"dl", BM$7,"")&lt; IF(_uom="lbs", 175, 80), 1.25, IF(_uom="lbs",5,2.5))))), "")</f>
        <v/>
      </c>
      <c r="BN137" s="148"/>
      <c r="BO137" s="33"/>
      <c r="BP137" s="171"/>
      <c r="BQ137" s="124" t="str">
        <f>IFERROR(__xludf.DUMMYFUNCTION("IF(BM137=MAX(FILTER(BM$10:BM$199,LOOKUP(ROW(BG$10:BG$199),FILTER(ROW(BG$10:BG$199),BG$10:BG$199&lt;&gt;BG$9:BG$198))=LOOKUP(ROW(BG137),FILTER(ROW(BG$10:BG$199),BG$10:BG$199&lt;&gt;BG$9:BG$198)))),BN137,)"),"")</f>
        <v/>
      </c>
      <c r="BR137" s="122"/>
      <c r="BS137" s="33"/>
      <c r="BT137" s="143" t="str">
        <f t="shared" si="19"/>
        <v/>
      </c>
      <c r="BU137" s="38" t="str">
        <f>IFERROR(__xludf.DUMMYFUNCTION("""COMPUTED_VALUE"""),"")</f>
        <v/>
      </c>
      <c r="BV137" s="144">
        <v>46146.0</v>
      </c>
      <c r="BW137" s="167" t="str">
        <f t="shared" si="20"/>
        <v/>
      </c>
      <c r="BX137" s="168" t="str">
        <f t="shared" si="331"/>
        <v/>
      </c>
      <c r="BY137" s="169" t="str">
        <f t="shared" si="332"/>
        <v/>
      </c>
      <c r="BZ137" s="172" t="str">
        <f t="shared" si="333"/>
        <v/>
      </c>
      <c r="CA137" s="171" t="str">
        <f t="array" ref="CA137">IFERROR(IF(BU137="ac"+ISNUMBER(SEARCH("'",BZ137))+BY137="","", IF(ISNUMBER(SEARCH("lw",BZ137)), BM137 + SUBSTITUTE(BZ137,"lw+",""), MROUND(SWITCH(BU137,"sq",BY$7,"bn",BZ$7,"dl",CA$7,"")*IF(BZ137&gt;10, BZ137/100, VLOOKUP(BZ137, _rpe,SUBSTITUTE(BY137,"+","")+1,0)), IF( SWITCH(BU137,"sq",BY$7,"bn",BZ$7,"dl", CA$7,"")&lt; IF(_uom="lbs", 175, 80), 1.25, IF(_uom="lbs",5,2.5))))), "")</f>
        <v/>
      </c>
      <c r="CB137" s="148"/>
      <c r="CC137" s="33"/>
      <c r="CD137" s="171"/>
      <c r="CE137" s="124" t="str">
        <f>IFERROR(__xludf.DUMMYFUNCTION("IF(CA137=MAX(FILTER(CA$10:CA$199,LOOKUP(ROW(BU$10:BU$199),FILTER(ROW(BU$10:BU$199),BU$10:BU$199&lt;&gt;BU$9:BU$198))=LOOKUP(ROW(BU137),FILTER(ROW(BU$10:BU$199),BU$10:BU$199&lt;&gt;BU$9:BU$198)))),CB137,)"),"")</f>
        <v/>
      </c>
      <c r="CF137" s="122"/>
      <c r="CG137" s="33"/>
      <c r="CH137" s="143" t="str">
        <f t="shared" si="21"/>
        <v/>
      </c>
      <c r="CI137" s="38" t="str">
        <f>IFERROR(__xludf.DUMMYFUNCTION("""COMPUTED_VALUE"""),"")</f>
        <v/>
      </c>
      <c r="CJ137" s="144">
        <v>46153.0</v>
      </c>
      <c r="CK137" s="167" t="str">
        <f t="shared" si="27"/>
        <v/>
      </c>
      <c r="CL137" s="168" t="str">
        <f t="shared" si="334"/>
        <v/>
      </c>
      <c r="CM137" s="169" t="str">
        <f t="shared" si="335"/>
        <v/>
      </c>
      <c r="CN137" s="172" t="str">
        <f t="shared" si="336"/>
        <v/>
      </c>
      <c r="CO137" s="171" t="str">
        <f t="array" ref="CO137">IFERROR(IF(CI137="ac"+ISNUMBER(SEARCH("'",CN137))+CM137="","", IF(ISNUMBER(SEARCH("lw",CN137)), CA137 + SUBSTITUTE(CN137,"lw+",""), MROUND(SWITCH(CI137,"sq",CM$7,"bn",CN$7,"dl",CO$7,"")*IF(CN137&gt;10, CN137/100, VLOOKUP(CN137, _rpe,SUBSTITUTE(CM137,"+","")+1,0)), IF( SWITCH(CI137,"sq",CM$7,"bn",CN$7,"dl", CO$7,"")&lt; IF(_uom="lbs", 175, 80), 1.25, IF(_uom="lbs",5,2.5))))), "")</f>
        <v/>
      </c>
      <c r="CP137" s="148"/>
      <c r="CQ137" s="33"/>
      <c r="CR137" s="171"/>
      <c r="CS137" s="124" t="str">
        <f>IFERROR(__xludf.DUMMYFUNCTION("IF(CO137=MAX(FILTER(CO$10:CO$199,LOOKUP(ROW(CI$10:CI$199),FILTER(ROW(CI$10:CI$199),CI$10:CI$199&lt;&gt;CI$9:CI$198))=LOOKUP(ROW(CI137),FILTER(ROW(CI$10:CI$199),CI$10:CI$199&lt;&gt;CI$9:CI$198)))),CP137,)"),"")</f>
        <v/>
      </c>
      <c r="CT137" s="122"/>
      <c r="CU137" s="33"/>
      <c r="CV137" s="143" t="str">
        <f t="shared" si="22"/>
        <v/>
      </c>
      <c r="CW137" s="38" t="str">
        <f>IFERROR(__xludf.DUMMYFUNCTION("""COMPUTED_VALUE"""),"")</f>
        <v/>
      </c>
      <c r="CX137" s="144">
        <v>46160.0</v>
      </c>
      <c r="CY137" s="167" t="str">
        <f t="shared" si="28"/>
        <v/>
      </c>
      <c r="CZ137" s="168" t="str">
        <f t="shared" si="337"/>
        <v/>
      </c>
      <c r="DA137" s="169" t="str">
        <f t="shared" si="338"/>
        <v/>
      </c>
      <c r="DB137" s="172" t="str">
        <f t="shared" si="339"/>
        <v/>
      </c>
      <c r="DC137" s="171" t="str">
        <f t="array" ref="DC137">IFERROR(IF(CW137="ac"+ISNUMBER(SEARCH("'",DB137))+DA137="","", IF(ISNUMBER(SEARCH("lw",DB137)), CO137 + SUBSTITUTE(DB137,"lw+",""), MROUND(SWITCH(CW137,"sq",DA$7,"bn",DB$7,"dl",DC$7,"")*IF(DB137&gt;10, DB137/100, VLOOKUP(DB137, _rpe,SUBSTITUTE(DA137,"+","")+1,0)), IF( SWITCH(CW137,"sq",DA$7,"bn",DB$7,"dl", DC$7,"")&lt; IF(_uom="lbs", 175, 80), 1.25, IF(_uom="lbs",5,2.5))))), "")</f>
        <v/>
      </c>
      <c r="DD137" s="148"/>
      <c r="DE137" s="33"/>
      <c r="DF137" s="171"/>
      <c r="DG137" s="124" t="str">
        <f>IFERROR(__xludf.DUMMYFUNCTION("IF(DC137=MAX(FILTER(DC$10:DC$199,LOOKUP(ROW(CW$10:CW$199),FILTER(ROW(CW$10:CW$199),CW$10:CW$199&lt;&gt;CW$9:CW$198))=LOOKUP(ROW(CW137),FILTER(ROW(CW$10:CW$199),CW$10:CW$199&lt;&gt;CW$9:CW$198)))),DD137,)"),"")</f>
        <v/>
      </c>
      <c r="DH137" s="122"/>
      <c r="DI137" s="33"/>
      <c r="DJ137" s="143" t="str">
        <f t="shared" si="23"/>
        <v/>
      </c>
      <c r="DK137" s="38" t="str">
        <f>IFERROR(__xludf.DUMMYFUNCTION("""COMPUTED_VALUE"""),"")</f>
        <v/>
      </c>
      <c r="DL137" s="144">
        <v>46167.0</v>
      </c>
      <c r="DM137" s="167" t="str">
        <f t="shared" ref="DM137:DN137" si="389">IF(ISBLANK(CY137),"",CY137)</f>
        <v/>
      </c>
      <c r="DN137" s="168" t="str">
        <f t="shared" si="389"/>
        <v/>
      </c>
      <c r="DO137" s="169" t="str">
        <f t="shared" si="341"/>
        <v/>
      </c>
      <c r="DP137" s="172" t="str">
        <f t="shared" si="342"/>
        <v/>
      </c>
      <c r="DQ137" s="171" t="str">
        <f t="array" ref="DQ137">IFERROR(IF(DK137="ac"+ISNUMBER(SEARCH("'",DP137))+DO137="","", IF(ISNUMBER(SEARCH("lw",DP137)), DC137 + SUBSTITUTE(DP137,"lw+",""), MROUND(SWITCH(DK137,"sq",DO$7,"bn",DP$7,"dl",DQ$7,"")*IF(DP137&gt;10, DP137/100, VLOOKUP(DP137, _rpe,SUBSTITUTE(DO137,"+","")+1,0)), IF( SWITCH(DK137,"sq",DO$7,"bn",DP$7,"dl", DQ$7,"")&lt; IF(_uom="lbs", 175, 80), 1.25, IF(_uom="lbs",5,2.5))))), "")</f>
        <v/>
      </c>
      <c r="DR137" s="148"/>
      <c r="DS137" s="33"/>
      <c r="DT137" s="171"/>
      <c r="DU137" s="124" t="str">
        <f>IFERROR(__xludf.DUMMYFUNCTION("IF(DQ137=MAX(FILTER(DQ$10:DQ$199,LOOKUP(ROW(DK$10:DK$199),FILTER(ROW(DK$10:DK$199),DK$10:DK$199&lt;&gt;DK$9:DK$198))=LOOKUP(ROW(DK137),FILTER(ROW(DK$10:DK$199),DK$10:DK$199&lt;&gt;DK$9:DK$198)))),DR137,)"),"")</f>
        <v/>
      </c>
      <c r="DV137" s="122"/>
      <c r="DW137" s="33"/>
      <c r="DX137" s="143"/>
      <c r="DY137" s="38"/>
      <c r="DZ137" s="144"/>
      <c r="EA137" s="150"/>
      <c r="EB137" s="174"/>
      <c r="EC137" s="175"/>
      <c r="ED137" s="176"/>
      <c r="EE137" s="155"/>
      <c r="EF137" s="148"/>
      <c r="EG137" s="33"/>
      <c r="EH137" s="155"/>
      <c r="EI137" s="148"/>
      <c r="EJ137" s="33"/>
      <c r="EK137" s="33"/>
      <c r="EL137" s="143"/>
      <c r="EM137" s="38"/>
      <c r="EN137" s="144"/>
      <c r="EO137" s="150"/>
      <c r="EP137" s="174"/>
      <c r="EQ137" s="175"/>
      <c r="ER137" s="176"/>
      <c r="ES137" s="155"/>
      <c r="ET137" s="148"/>
      <c r="EU137" s="33"/>
      <c r="EV137" s="155"/>
      <c r="EW137" s="148"/>
      <c r="EX137" s="33"/>
      <c r="EY137" s="33"/>
      <c r="EZ137" s="143"/>
      <c r="FA137" s="38"/>
      <c r="FB137" s="144"/>
      <c r="FC137" s="150"/>
      <c r="FD137" s="174"/>
      <c r="FE137" s="175"/>
      <c r="FF137" s="176"/>
      <c r="FG137" s="155"/>
      <c r="FH137" s="148"/>
      <c r="FI137" s="33"/>
      <c r="FJ137" s="155"/>
      <c r="FK137" s="148"/>
      <c r="FL137" s="33"/>
      <c r="FM137" s="33"/>
      <c r="FN137" s="143"/>
      <c r="FO137" s="38"/>
      <c r="FP137" s="144"/>
      <c r="FQ137" s="150"/>
      <c r="FR137" s="174"/>
      <c r="FS137" s="175"/>
      <c r="FT137" s="176"/>
      <c r="FU137" s="155"/>
      <c r="FV137" s="148"/>
      <c r="FW137" s="33"/>
      <c r="FX137" s="155"/>
      <c r="FY137" s="148"/>
      <c r="FZ137" s="33"/>
      <c r="GA137" s="33"/>
      <c r="GB137" s="143"/>
      <c r="GC137" s="38"/>
      <c r="GD137" s="144"/>
      <c r="GE137" s="150"/>
      <c r="GF137" s="174"/>
      <c r="GG137" s="175"/>
      <c r="GH137" s="176"/>
      <c r="GI137" s="155"/>
      <c r="GJ137" s="148"/>
      <c r="GK137" s="33"/>
      <c r="GL137" s="155"/>
      <c r="GM137" s="148"/>
      <c r="GN137" s="33"/>
      <c r="GO137" s="33"/>
      <c r="GP137" s="143"/>
      <c r="GQ137" s="38"/>
      <c r="GR137" s="144"/>
      <c r="GS137" s="150"/>
      <c r="GT137" s="174"/>
      <c r="GU137" s="175"/>
      <c r="GV137" s="176"/>
      <c r="GW137" s="155"/>
      <c r="GX137" s="148"/>
      <c r="GY137" s="33"/>
      <c r="GZ137" s="155"/>
      <c r="HA137" s="148"/>
      <c r="HB137" s="33"/>
      <c r="HC137" s="33"/>
      <c r="HD137" s="143"/>
      <c r="HE137" s="38"/>
      <c r="HF137" s="144"/>
      <c r="HG137" s="150"/>
      <c r="HH137" s="174"/>
      <c r="HI137" s="175"/>
      <c r="HJ137" s="176"/>
      <c r="HK137" s="155"/>
      <c r="HL137" s="148"/>
      <c r="HM137" s="33"/>
      <c r="HN137" s="155"/>
      <c r="HO137" s="148"/>
      <c r="HP137" s="33"/>
      <c r="HQ137" s="33"/>
      <c r="HR137" s="143"/>
      <c r="HS137" s="38"/>
      <c r="HT137" s="144"/>
      <c r="HU137" s="150"/>
      <c r="HV137" s="174"/>
      <c r="HW137" s="175"/>
      <c r="HX137" s="176"/>
      <c r="HY137" s="155"/>
      <c r="HZ137" s="148"/>
      <c r="IA137" s="33"/>
      <c r="IB137" s="155"/>
      <c r="IC137" s="148"/>
      <c r="ID137" s="33"/>
      <c r="IE137" s="33"/>
      <c r="IF137" s="143"/>
      <c r="IG137" s="38"/>
      <c r="IH137" s="144"/>
      <c r="II137" s="150"/>
      <c r="IJ137" s="174"/>
      <c r="IK137" s="175"/>
      <c r="IL137" s="176"/>
      <c r="IM137" s="155"/>
      <c r="IN137" s="148"/>
      <c r="IO137" s="33"/>
      <c r="IP137" s="155"/>
      <c r="IQ137" s="148"/>
      <c r="IR137" s="33"/>
      <c r="IS137" s="33"/>
      <c r="IT137" s="143"/>
      <c r="IU137" s="38"/>
      <c r="IV137" s="144"/>
      <c r="IW137" s="143"/>
      <c r="IX137" s="38"/>
      <c r="IY137" s="144" t="e">
        <v>#REF!</v>
      </c>
    </row>
    <row r="138">
      <c r="A138" s="33"/>
      <c r="B138" s="181"/>
      <c r="C138" s="38" t="str">
        <f>IFERROR(__xludf.DUMMYFUNCTION("""COMPUTED_VALUE"""),"")</f>
        <v/>
      </c>
      <c r="D138" s="144">
        <v>46111.0</v>
      </c>
      <c r="E138" s="167"/>
      <c r="F138" s="168"/>
      <c r="G138" s="169"/>
      <c r="H138" s="170"/>
      <c r="I138" s="171" t="str">
        <f t="array" ref="I138">IFERROR(IF(C138="ac"+ISNUMBER(SEARCH("'",H138))+G138="","", MROUND(SWITCH(C138,"sq",'Personal Info'!$O$15,"bn",'Personal Info'!$S$15,"dl",'Personal Info'!$W$15,"")*IF(H138&gt;10, H138/100, VLOOKUP(H138, _rpe,SUBSTITUTE(G138,"+","")+1,0)), IF( SWITCH(C138:C210,"sq",'Personal Info'!$O$15,"bn",'Personal Info'!$S$15,"dl", 'Personal Info'!$W$15,"")&lt; IF(_uom="lbs", 175, 80), 1.25, IF(_uom="lbs",5,2.5)))),"")</f>
        <v/>
      </c>
      <c r="J138" s="148"/>
      <c r="K138" s="33"/>
      <c r="L138" s="171"/>
      <c r="M138" s="124" t="str">
        <f>IFERROR(__xludf.DUMMYFUNCTION("IF(I138=MAX(FILTER(I$10:I$199,LOOKUP(ROW(C$10:C$199),FILTER(ROW(C$10:C$199),C$10:C$199&lt;&gt;C$9:C$198))=LOOKUP(ROW(C138),FILTER(ROW(C$10:C$199),C$10:C$199&lt;&gt;C$9:C$198)))),J138,)"),"")</f>
        <v/>
      </c>
      <c r="N138" s="122"/>
      <c r="O138" s="33"/>
      <c r="P138" s="143" t="str">
        <f t="shared" si="12"/>
        <v/>
      </c>
      <c r="Q138" s="38" t="str">
        <f>IFERROR(__xludf.DUMMYFUNCTION("""COMPUTED_VALUE"""),"")</f>
        <v/>
      </c>
      <c r="R138" s="144">
        <v>46118.0</v>
      </c>
      <c r="S138" s="167" t="str">
        <f t="shared" si="13"/>
        <v/>
      </c>
      <c r="T138" s="168" t="str">
        <f t="shared" si="319"/>
        <v/>
      </c>
      <c r="U138" s="169" t="str">
        <f t="shared" si="320"/>
        <v/>
      </c>
      <c r="V138" s="172" t="str">
        <f t="shared" si="321"/>
        <v/>
      </c>
      <c r="W138" s="171" t="str">
        <f t="array" ref="W138">IFERROR(IF(Q138="ac"+ISNUMBER(SEARCH("'",V138))+U138="","", IF(ISNUMBER(SEARCH("lw",V138)), I138 + SUBSTITUTE(V138,"lw+",""), MROUND(SWITCH(Q138,"sq",U$7,"bn",V$7,"dl",W$7,"")*IF(V138&gt;10, V138/100, VLOOKUP(V138, _rpe,SUBSTITUTE(U138,"+","")+1,0)), IF( SWITCH(Q138,"sq",U$7,"bn",V$7,"dl", W$7,"")&lt; IF(_uom="lbs", 175, 80), 1.25, IF(_uom="lbs",5,2.5))))), "")</f>
        <v/>
      </c>
      <c r="X138" s="148"/>
      <c r="Y138" s="33"/>
      <c r="Z138" s="171"/>
      <c r="AA138" s="124" t="str">
        <f>IFERROR(__xludf.DUMMYFUNCTION("IF(W138=MAX(FILTER(W$10:W$199,LOOKUP(ROW(Q$10:Q$199),FILTER(ROW(Q$10:Q$199),Q$10:Q$199&lt;&gt;Q$9:Q$198))=LOOKUP(ROW(Q138),FILTER(ROW(Q$10:Q$199),Q$10:Q$199&lt;&gt;Q$9:Q$198)))),X138,)"),"")</f>
        <v/>
      </c>
      <c r="AB138" s="122"/>
      <c r="AC138" s="33"/>
      <c r="AD138" s="143" t="str">
        <f t="shared" si="14"/>
        <v/>
      </c>
      <c r="AE138" s="38" t="str">
        <f>IFERROR(__xludf.DUMMYFUNCTION("""COMPUTED_VALUE"""),"")</f>
        <v/>
      </c>
      <c r="AF138" s="144">
        <v>46125.0</v>
      </c>
      <c r="AG138" s="167" t="str">
        <f t="shared" si="54"/>
        <v/>
      </c>
      <c r="AH138" s="168" t="str">
        <f t="shared" si="322"/>
        <v/>
      </c>
      <c r="AI138" s="169" t="str">
        <f t="shared" si="323"/>
        <v/>
      </c>
      <c r="AJ138" s="172" t="str">
        <f t="shared" si="324"/>
        <v/>
      </c>
      <c r="AK138" s="171" t="str">
        <f t="array" ref="AK138">IFERROR(IF(AE138="ac"+ISNUMBER(SEARCH("'",AJ138))+AI138="","", IF(ISNUMBER(SEARCH("lw",AJ138)), W138 + SUBSTITUTE(AJ138,"lw+",""), MROUND(SWITCH(AE138,"sq",AI$7,"bn",AJ$7,"dl",AK$7,"")*IF(AJ138&gt;10, AJ138/100, VLOOKUP(AJ138, _rpe,SUBSTITUTE(AI138,"+","")+1,0)), IF( SWITCH(AE138,"sq",AI$7,"bn",AJ$7,"dl", AK$7,"")&lt; IF(_uom="lbs", 175, 80), 1.25, IF(_uom="lbs",5,2.5))))), "")</f>
        <v/>
      </c>
      <c r="AL138" s="148"/>
      <c r="AM138" s="33"/>
      <c r="AN138" s="171"/>
      <c r="AO138" s="124" t="str">
        <f>IFERROR(__xludf.DUMMYFUNCTION("IF(AK138=MAX(FILTER(AK$10:AK$199,LOOKUP(ROW(AE$10:AE$199),FILTER(ROW(AE$10:AE$199),AE$10:AE$199&lt;&gt;AE$9:AE$198))=LOOKUP(ROW(AE138),FILTER(ROW(AE$10:AE$199),AE$10:AE$199&lt;&gt;AE$9:AE$198)))),AL138,)"),"")</f>
        <v/>
      </c>
      <c r="AP138" s="122"/>
      <c r="AQ138" s="33"/>
      <c r="AR138" s="143" t="str">
        <f t="shared" si="16"/>
        <v/>
      </c>
      <c r="AS138" s="38" t="str">
        <f>IFERROR(__xludf.DUMMYFUNCTION("""COMPUTED_VALUE"""),"")</f>
        <v/>
      </c>
      <c r="AT138" s="144">
        <v>46132.0</v>
      </c>
      <c r="AU138" s="167" t="str">
        <f t="shared" si="26"/>
        <v/>
      </c>
      <c r="AV138" s="168" t="str">
        <f t="shared" si="325"/>
        <v/>
      </c>
      <c r="AW138" s="169" t="str">
        <f t="shared" si="326"/>
        <v/>
      </c>
      <c r="AX138" s="172" t="str">
        <f t="shared" si="327"/>
        <v/>
      </c>
      <c r="AY138" s="171" t="str">
        <f t="array" ref="AY138">IFERROR(IF(AS138="ac"+ISNUMBER(SEARCH("'",AX138))+AW138="","", IF(ISNUMBER(SEARCH("lw",AX138)), AK138 + SUBSTITUTE(AX138,"lw+",""), MROUND(SWITCH(AS138,"sq",AW$7,"bn",AX$7,"dl",AY$7,"")*IF(AX138&gt;10, AX138/100, VLOOKUP(AX138, _rpe,SUBSTITUTE(AW138,"+","")+1,0)), IF( SWITCH(AS138,"sq",AW$7,"bn",AX$7,"dl", AY$7,"")&lt; IF(_uom="lbs", 175, 80), 1.25, IF(_uom="lbs",5,2.5))))), "")</f>
        <v/>
      </c>
      <c r="AZ138" s="148"/>
      <c r="BA138" s="33"/>
      <c r="BB138" s="171"/>
      <c r="BC138" s="124" t="str">
        <f>IFERROR(__xludf.DUMMYFUNCTION("IF(AY138=MAX(FILTER(AY$10:AY$199,LOOKUP(ROW(AS$10:AS$199),FILTER(ROW(AS$10:AS$199),AS$10:AS$199&lt;&gt;AS$9:AS$198))=LOOKUP(ROW(AS138),FILTER(ROW(AS$10:AS$199),AS$10:AS$199&lt;&gt;AS$9:AS$198)))),AZ138,)"),"")</f>
        <v/>
      </c>
      <c r="BD138" s="122"/>
      <c r="BE138" s="33"/>
      <c r="BF138" s="143" t="str">
        <f t="shared" si="17"/>
        <v/>
      </c>
      <c r="BG138" s="38" t="str">
        <f>IFERROR(__xludf.DUMMYFUNCTION("""COMPUTED_VALUE"""),"")</f>
        <v/>
      </c>
      <c r="BH138" s="144">
        <v>46139.0</v>
      </c>
      <c r="BI138" s="167" t="str">
        <f t="shared" si="18"/>
        <v/>
      </c>
      <c r="BJ138" s="168" t="str">
        <f t="shared" si="328"/>
        <v/>
      </c>
      <c r="BK138" s="169" t="str">
        <f t="shared" si="329"/>
        <v/>
      </c>
      <c r="BL138" s="172" t="str">
        <f t="shared" si="330"/>
        <v/>
      </c>
      <c r="BM138" s="171" t="str">
        <f t="array" ref="BM138">IFERROR(IF(BG138="ac"+ISNUMBER(SEARCH("'",BL138))+BK138="","", IF(ISNUMBER(SEARCH("lw",BL138)), AY138 + SUBSTITUTE(BL138,"lw+",""), MROUND(SWITCH(BG138,"sq",BK$7,"bn",BL$7,"dl",BM$7,"")*IF(BL138&gt;10, BL138/100, VLOOKUP(BL138, _rpe,SUBSTITUTE(BK138,"+","")+1,0)), IF( SWITCH(BG138,"sq",BK$7,"bn",BL$7,"dl", BM$7,"")&lt; IF(_uom="lbs", 175, 80), 1.25, IF(_uom="lbs",5,2.5))))), "")</f>
        <v/>
      </c>
      <c r="BN138" s="148"/>
      <c r="BO138" s="33"/>
      <c r="BP138" s="171"/>
      <c r="BQ138" s="124" t="str">
        <f>IFERROR(__xludf.DUMMYFUNCTION("IF(BM138=MAX(FILTER(BM$10:BM$199,LOOKUP(ROW(BG$10:BG$199),FILTER(ROW(BG$10:BG$199),BG$10:BG$199&lt;&gt;BG$9:BG$198))=LOOKUP(ROW(BG138),FILTER(ROW(BG$10:BG$199),BG$10:BG$199&lt;&gt;BG$9:BG$198)))),BN138,)"),"")</f>
        <v/>
      </c>
      <c r="BR138" s="122"/>
      <c r="BS138" s="33"/>
      <c r="BT138" s="143" t="str">
        <f t="shared" si="19"/>
        <v/>
      </c>
      <c r="BU138" s="38" t="str">
        <f>IFERROR(__xludf.DUMMYFUNCTION("""COMPUTED_VALUE"""),"")</f>
        <v/>
      </c>
      <c r="BV138" s="144">
        <v>46146.0</v>
      </c>
      <c r="BW138" s="167" t="str">
        <f t="shared" si="20"/>
        <v/>
      </c>
      <c r="BX138" s="168" t="str">
        <f t="shared" si="331"/>
        <v/>
      </c>
      <c r="BY138" s="169" t="str">
        <f t="shared" si="332"/>
        <v/>
      </c>
      <c r="BZ138" s="172" t="str">
        <f t="shared" si="333"/>
        <v/>
      </c>
      <c r="CA138" s="171" t="str">
        <f t="array" ref="CA138">IFERROR(IF(BU138="ac"+ISNUMBER(SEARCH("'",BZ138))+BY138="","", IF(ISNUMBER(SEARCH("lw",BZ138)), BM138 + SUBSTITUTE(BZ138,"lw+",""), MROUND(SWITCH(BU138,"sq",BY$7,"bn",BZ$7,"dl",CA$7,"")*IF(BZ138&gt;10, BZ138/100, VLOOKUP(BZ138, _rpe,SUBSTITUTE(BY138,"+","")+1,0)), IF( SWITCH(BU138,"sq",BY$7,"bn",BZ$7,"dl", CA$7,"")&lt; IF(_uom="lbs", 175, 80), 1.25, IF(_uom="lbs",5,2.5))))), "")</f>
        <v/>
      </c>
      <c r="CB138" s="148"/>
      <c r="CC138" s="33"/>
      <c r="CD138" s="171"/>
      <c r="CE138" s="124" t="str">
        <f>IFERROR(__xludf.DUMMYFUNCTION("IF(CA138=MAX(FILTER(CA$10:CA$199,LOOKUP(ROW(BU$10:BU$199),FILTER(ROW(BU$10:BU$199),BU$10:BU$199&lt;&gt;BU$9:BU$198))=LOOKUP(ROW(BU138),FILTER(ROW(BU$10:BU$199),BU$10:BU$199&lt;&gt;BU$9:BU$198)))),CB138,)"),"")</f>
        <v/>
      </c>
      <c r="CF138" s="122"/>
      <c r="CG138" s="33"/>
      <c r="CH138" s="143" t="str">
        <f t="shared" si="21"/>
        <v/>
      </c>
      <c r="CI138" s="38" t="str">
        <f>IFERROR(__xludf.DUMMYFUNCTION("""COMPUTED_VALUE"""),"")</f>
        <v/>
      </c>
      <c r="CJ138" s="144">
        <v>46153.0</v>
      </c>
      <c r="CK138" s="167" t="str">
        <f t="shared" si="27"/>
        <v/>
      </c>
      <c r="CL138" s="168" t="str">
        <f t="shared" si="334"/>
        <v/>
      </c>
      <c r="CM138" s="169" t="str">
        <f t="shared" si="335"/>
        <v/>
      </c>
      <c r="CN138" s="172" t="str">
        <f t="shared" si="336"/>
        <v/>
      </c>
      <c r="CO138" s="171" t="str">
        <f t="array" ref="CO138">IFERROR(IF(CI138="ac"+ISNUMBER(SEARCH("'",CN138))+CM138="","", IF(ISNUMBER(SEARCH("lw",CN138)), CA138 + SUBSTITUTE(CN138,"lw+",""), MROUND(SWITCH(CI138,"sq",CM$7,"bn",CN$7,"dl",CO$7,"")*IF(CN138&gt;10, CN138/100, VLOOKUP(CN138, _rpe,SUBSTITUTE(CM138,"+","")+1,0)), IF( SWITCH(CI138,"sq",CM$7,"bn",CN$7,"dl", CO$7,"")&lt; IF(_uom="lbs", 175, 80), 1.25, IF(_uom="lbs",5,2.5))))), "")</f>
        <v/>
      </c>
      <c r="CP138" s="148"/>
      <c r="CQ138" s="33"/>
      <c r="CR138" s="171"/>
      <c r="CS138" s="124" t="str">
        <f>IFERROR(__xludf.DUMMYFUNCTION("IF(CO138=MAX(FILTER(CO$10:CO$199,LOOKUP(ROW(CI$10:CI$199),FILTER(ROW(CI$10:CI$199),CI$10:CI$199&lt;&gt;CI$9:CI$198))=LOOKUP(ROW(CI138),FILTER(ROW(CI$10:CI$199),CI$10:CI$199&lt;&gt;CI$9:CI$198)))),CP138,)"),"")</f>
        <v/>
      </c>
      <c r="CT138" s="122"/>
      <c r="CU138" s="33"/>
      <c r="CV138" s="143" t="str">
        <f t="shared" si="22"/>
        <v/>
      </c>
      <c r="CW138" s="38" t="str">
        <f>IFERROR(__xludf.DUMMYFUNCTION("""COMPUTED_VALUE"""),"")</f>
        <v/>
      </c>
      <c r="CX138" s="144">
        <v>46160.0</v>
      </c>
      <c r="CY138" s="167" t="str">
        <f t="shared" si="28"/>
        <v/>
      </c>
      <c r="CZ138" s="168" t="str">
        <f t="shared" si="337"/>
        <v/>
      </c>
      <c r="DA138" s="169" t="str">
        <f t="shared" si="338"/>
        <v/>
      </c>
      <c r="DB138" s="172" t="str">
        <f t="shared" si="339"/>
        <v/>
      </c>
      <c r="DC138" s="171" t="str">
        <f t="array" ref="DC138">IFERROR(IF(CW138="ac"+ISNUMBER(SEARCH("'",DB138))+DA138="","", IF(ISNUMBER(SEARCH("lw",DB138)), CO138 + SUBSTITUTE(DB138,"lw+",""), MROUND(SWITCH(CW138,"sq",DA$7,"bn",DB$7,"dl",DC$7,"")*IF(DB138&gt;10, DB138/100, VLOOKUP(DB138, _rpe,SUBSTITUTE(DA138,"+","")+1,0)), IF( SWITCH(CW138,"sq",DA$7,"bn",DB$7,"dl", DC$7,"")&lt; IF(_uom="lbs", 175, 80), 1.25, IF(_uom="lbs",5,2.5))))), "")</f>
        <v/>
      </c>
      <c r="DD138" s="148"/>
      <c r="DE138" s="33"/>
      <c r="DF138" s="171"/>
      <c r="DG138" s="124" t="str">
        <f>IFERROR(__xludf.DUMMYFUNCTION("IF(DC138=MAX(FILTER(DC$10:DC$199,LOOKUP(ROW(CW$10:CW$199),FILTER(ROW(CW$10:CW$199),CW$10:CW$199&lt;&gt;CW$9:CW$198))=LOOKUP(ROW(CW138),FILTER(ROW(CW$10:CW$199),CW$10:CW$199&lt;&gt;CW$9:CW$198)))),DD138,)"),"")</f>
        <v/>
      </c>
      <c r="DH138" s="122"/>
      <c r="DI138" s="33"/>
      <c r="DJ138" s="143" t="str">
        <f t="shared" si="23"/>
        <v/>
      </c>
      <c r="DK138" s="38" t="str">
        <f>IFERROR(__xludf.DUMMYFUNCTION("""COMPUTED_VALUE"""),"")</f>
        <v/>
      </c>
      <c r="DL138" s="144">
        <v>46167.0</v>
      </c>
      <c r="DM138" s="167" t="str">
        <f t="shared" ref="DM138:DN138" si="390">IF(ISBLANK(CY138),"",CY138)</f>
        <v/>
      </c>
      <c r="DN138" s="168" t="str">
        <f t="shared" si="390"/>
        <v/>
      </c>
      <c r="DO138" s="169" t="str">
        <f t="shared" si="341"/>
        <v/>
      </c>
      <c r="DP138" s="172" t="str">
        <f t="shared" si="342"/>
        <v/>
      </c>
      <c r="DQ138" s="171" t="str">
        <f t="array" ref="DQ138">IFERROR(IF(DK138="ac"+ISNUMBER(SEARCH("'",DP138))+DO138="","", IF(ISNUMBER(SEARCH("lw",DP138)), DC138 + SUBSTITUTE(DP138,"lw+",""), MROUND(SWITCH(DK138,"sq",DO$7,"bn",DP$7,"dl",DQ$7,"")*IF(DP138&gt;10, DP138/100, VLOOKUP(DP138, _rpe,SUBSTITUTE(DO138,"+","")+1,0)), IF( SWITCH(DK138,"sq",DO$7,"bn",DP$7,"dl", DQ$7,"")&lt; IF(_uom="lbs", 175, 80), 1.25, IF(_uom="lbs",5,2.5))))), "")</f>
        <v/>
      </c>
      <c r="DR138" s="148"/>
      <c r="DS138" s="33"/>
      <c r="DT138" s="171"/>
      <c r="DU138" s="124" t="str">
        <f>IFERROR(__xludf.DUMMYFUNCTION("IF(DQ138=MAX(FILTER(DQ$10:DQ$199,LOOKUP(ROW(DK$10:DK$199),FILTER(ROW(DK$10:DK$199),DK$10:DK$199&lt;&gt;DK$9:DK$198))=LOOKUP(ROW(DK138),FILTER(ROW(DK$10:DK$199),DK$10:DK$199&lt;&gt;DK$9:DK$198)))),DR138,)"),"")</f>
        <v/>
      </c>
      <c r="DV138" s="122"/>
      <c r="DW138" s="33"/>
      <c r="DX138" s="143"/>
      <c r="DY138" s="38"/>
      <c r="DZ138" s="144"/>
      <c r="EA138" s="150"/>
      <c r="EB138" s="174"/>
      <c r="EC138" s="175"/>
      <c r="ED138" s="176"/>
      <c r="EE138" s="155"/>
      <c r="EF138" s="148"/>
      <c r="EG138" s="33"/>
      <c r="EH138" s="155"/>
      <c r="EI138" s="148"/>
      <c r="EJ138" s="33"/>
      <c r="EK138" s="33"/>
      <c r="EL138" s="143"/>
      <c r="EM138" s="38"/>
      <c r="EN138" s="144"/>
      <c r="EO138" s="150"/>
      <c r="EP138" s="174"/>
      <c r="EQ138" s="175"/>
      <c r="ER138" s="176"/>
      <c r="ES138" s="155"/>
      <c r="ET138" s="148"/>
      <c r="EU138" s="33"/>
      <c r="EV138" s="155"/>
      <c r="EW138" s="148"/>
      <c r="EX138" s="33"/>
      <c r="EY138" s="33"/>
      <c r="EZ138" s="143"/>
      <c r="FA138" s="38"/>
      <c r="FB138" s="144"/>
      <c r="FC138" s="150"/>
      <c r="FD138" s="174"/>
      <c r="FE138" s="175"/>
      <c r="FF138" s="176"/>
      <c r="FG138" s="155"/>
      <c r="FH138" s="148"/>
      <c r="FI138" s="33"/>
      <c r="FJ138" s="155"/>
      <c r="FK138" s="148"/>
      <c r="FL138" s="33"/>
      <c r="FM138" s="33"/>
      <c r="FN138" s="143"/>
      <c r="FO138" s="38"/>
      <c r="FP138" s="144"/>
      <c r="FQ138" s="150"/>
      <c r="FR138" s="174"/>
      <c r="FS138" s="175"/>
      <c r="FT138" s="176"/>
      <c r="FU138" s="155"/>
      <c r="FV138" s="148"/>
      <c r="FW138" s="33"/>
      <c r="FX138" s="155"/>
      <c r="FY138" s="148"/>
      <c r="FZ138" s="33"/>
      <c r="GA138" s="33"/>
      <c r="GB138" s="143"/>
      <c r="GC138" s="38"/>
      <c r="GD138" s="144"/>
      <c r="GE138" s="150"/>
      <c r="GF138" s="174"/>
      <c r="GG138" s="175"/>
      <c r="GH138" s="176"/>
      <c r="GI138" s="155"/>
      <c r="GJ138" s="148"/>
      <c r="GK138" s="33"/>
      <c r="GL138" s="155"/>
      <c r="GM138" s="148"/>
      <c r="GN138" s="33"/>
      <c r="GO138" s="33"/>
      <c r="GP138" s="143"/>
      <c r="GQ138" s="38"/>
      <c r="GR138" s="144"/>
      <c r="GS138" s="150"/>
      <c r="GT138" s="174"/>
      <c r="GU138" s="175"/>
      <c r="GV138" s="176"/>
      <c r="GW138" s="155"/>
      <c r="GX138" s="148"/>
      <c r="GY138" s="33"/>
      <c r="GZ138" s="155"/>
      <c r="HA138" s="148"/>
      <c r="HB138" s="33"/>
      <c r="HC138" s="33"/>
      <c r="HD138" s="143"/>
      <c r="HE138" s="38"/>
      <c r="HF138" s="144"/>
      <c r="HG138" s="150"/>
      <c r="HH138" s="174"/>
      <c r="HI138" s="175"/>
      <c r="HJ138" s="176"/>
      <c r="HK138" s="155"/>
      <c r="HL138" s="148"/>
      <c r="HM138" s="33"/>
      <c r="HN138" s="155"/>
      <c r="HO138" s="148"/>
      <c r="HP138" s="33"/>
      <c r="HQ138" s="33"/>
      <c r="HR138" s="143"/>
      <c r="HS138" s="38"/>
      <c r="HT138" s="144"/>
      <c r="HU138" s="150"/>
      <c r="HV138" s="174"/>
      <c r="HW138" s="175"/>
      <c r="HX138" s="176"/>
      <c r="HY138" s="155"/>
      <c r="HZ138" s="148"/>
      <c r="IA138" s="33"/>
      <c r="IB138" s="155"/>
      <c r="IC138" s="148"/>
      <c r="ID138" s="33"/>
      <c r="IE138" s="33"/>
      <c r="IF138" s="143"/>
      <c r="IG138" s="38"/>
      <c r="IH138" s="144"/>
      <c r="II138" s="150"/>
      <c r="IJ138" s="174"/>
      <c r="IK138" s="175"/>
      <c r="IL138" s="176"/>
      <c r="IM138" s="155"/>
      <c r="IN138" s="148"/>
      <c r="IO138" s="33"/>
      <c r="IP138" s="155"/>
      <c r="IQ138" s="148"/>
      <c r="IR138" s="33"/>
      <c r="IS138" s="33"/>
      <c r="IT138" s="143"/>
      <c r="IU138" s="38"/>
      <c r="IV138" s="144"/>
      <c r="IW138" s="143"/>
      <c r="IX138" s="38"/>
      <c r="IY138" s="144" t="e">
        <v>#REF!</v>
      </c>
    </row>
    <row r="139">
      <c r="A139" s="33"/>
      <c r="B139" s="181"/>
      <c r="C139" s="38" t="str">
        <f>IFERROR(__xludf.DUMMYFUNCTION("""COMPUTED_VALUE"""),"")</f>
        <v/>
      </c>
      <c r="D139" s="144">
        <v>46111.0</v>
      </c>
      <c r="E139" s="167"/>
      <c r="F139" s="168"/>
      <c r="G139" s="169"/>
      <c r="H139" s="170"/>
      <c r="I139" s="171" t="str">
        <f t="array" ref="I139">IFERROR(IF(C139="ac"+ISNUMBER(SEARCH("'",H139))+G139="","", MROUND(SWITCH(C139,"sq",'Personal Info'!$O$15,"bn",'Personal Info'!$S$15,"dl",'Personal Info'!$W$15,"")*IF(H139&gt;10, H139/100, VLOOKUP(H139, _rpe,SUBSTITUTE(G139,"+","")+1,0)), IF( SWITCH(C139:C210,"sq",'Personal Info'!$O$15,"bn",'Personal Info'!$S$15,"dl", 'Personal Info'!$W$15,"")&lt; IF(_uom="lbs", 175, 80), 1.25, IF(_uom="lbs",5,2.5)))),"")</f>
        <v/>
      </c>
      <c r="J139" s="148"/>
      <c r="K139" s="33"/>
      <c r="L139" s="171"/>
      <c r="M139" s="124" t="str">
        <f>IFERROR(__xludf.DUMMYFUNCTION("IF(I139=MAX(FILTER(I$10:I$199,LOOKUP(ROW(C$10:C$199),FILTER(ROW(C$10:C$199),C$10:C$199&lt;&gt;C$9:C$198))=LOOKUP(ROW(C139),FILTER(ROW(C$10:C$199),C$10:C$199&lt;&gt;C$9:C$198)))),J139,)"),"")</f>
        <v/>
      </c>
      <c r="N139" s="122"/>
      <c r="O139" s="33"/>
      <c r="P139" s="143" t="str">
        <f t="shared" si="12"/>
        <v/>
      </c>
      <c r="Q139" s="38" t="str">
        <f>IFERROR(__xludf.DUMMYFUNCTION("""COMPUTED_VALUE"""),"")</f>
        <v/>
      </c>
      <c r="R139" s="144">
        <v>46118.0</v>
      </c>
      <c r="S139" s="167" t="str">
        <f t="shared" si="13"/>
        <v/>
      </c>
      <c r="T139" s="168" t="str">
        <f t="shared" si="319"/>
        <v/>
      </c>
      <c r="U139" s="169" t="str">
        <f t="shared" si="320"/>
        <v/>
      </c>
      <c r="V139" s="172" t="str">
        <f t="shared" si="321"/>
        <v/>
      </c>
      <c r="W139" s="171" t="str">
        <f t="array" ref="W139">IFERROR(IF(Q139="ac"+ISNUMBER(SEARCH("'",V139))+U139="","", IF(ISNUMBER(SEARCH("lw",V139)), I139 + SUBSTITUTE(V139,"lw+",""), MROUND(SWITCH(Q139,"sq",U$7,"bn",V$7,"dl",W$7,"")*IF(V139&gt;10, V139/100, VLOOKUP(V139, _rpe,SUBSTITUTE(U139,"+","")+1,0)), IF( SWITCH(Q139,"sq",U$7,"bn",V$7,"dl", W$7,"")&lt; IF(_uom="lbs", 175, 80), 1.25, IF(_uom="lbs",5,2.5))))), "")</f>
        <v/>
      </c>
      <c r="X139" s="148"/>
      <c r="Y139" s="33"/>
      <c r="Z139" s="171"/>
      <c r="AA139" s="124" t="str">
        <f>IFERROR(__xludf.DUMMYFUNCTION("IF(W139=MAX(FILTER(W$10:W$199,LOOKUP(ROW(Q$10:Q$199),FILTER(ROW(Q$10:Q$199),Q$10:Q$199&lt;&gt;Q$9:Q$198))=LOOKUP(ROW(Q139),FILTER(ROW(Q$10:Q$199),Q$10:Q$199&lt;&gt;Q$9:Q$198)))),X139,)"),"")</f>
        <v/>
      </c>
      <c r="AB139" s="122"/>
      <c r="AC139" s="33"/>
      <c r="AD139" s="143" t="str">
        <f t="shared" si="14"/>
        <v/>
      </c>
      <c r="AE139" s="38" t="str">
        <f>IFERROR(__xludf.DUMMYFUNCTION("""COMPUTED_VALUE"""),"")</f>
        <v/>
      </c>
      <c r="AF139" s="144">
        <v>46125.0</v>
      </c>
      <c r="AG139" s="167" t="str">
        <f t="shared" si="54"/>
        <v/>
      </c>
      <c r="AH139" s="168" t="str">
        <f t="shared" si="322"/>
        <v/>
      </c>
      <c r="AI139" s="169" t="str">
        <f t="shared" si="323"/>
        <v/>
      </c>
      <c r="AJ139" s="172" t="str">
        <f t="shared" si="324"/>
        <v/>
      </c>
      <c r="AK139" s="171" t="str">
        <f t="array" ref="AK139">IFERROR(IF(AE139="ac"+ISNUMBER(SEARCH("'",AJ139))+AI139="","", IF(ISNUMBER(SEARCH("lw",AJ139)), W139 + SUBSTITUTE(AJ139,"lw+",""), MROUND(SWITCH(AE139,"sq",AI$7,"bn",AJ$7,"dl",AK$7,"")*IF(AJ139&gt;10, AJ139/100, VLOOKUP(AJ139, _rpe,SUBSTITUTE(AI139,"+","")+1,0)), IF( SWITCH(AE139,"sq",AI$7,"bn",AJ$7,"dl", AK$7,"")&lt; IF(_uom="lbs", 175, 80), 1.25, IF(_uom="lbs",5,2.5))))), "")</f>
        <v/>
      </c>
      <c r="AL139" s="148"/>
      <c r="AM139" s="33"/>
      <c r="AN139" s="171"/>
      <c r="AO139" s="124" t="str">
        <f>IFERROR(__xludf.DUMMYFUNCTION("IF(AK139=MAX(FILTER(AK$10:AK$199,LOOKUP(ROW(AE$10:AE$199),FILTER(ROW(AE$10:AE$199),AE$10:AE$199&lt;&gt;AE$9:AE$198))=LOOKUP(ROW(AE139),FILTER(ROW(AE$10:AE$199),AE$10:AE$199&lt;&gt;AE$9:AE$198)))),AL139,)"),"")</f>
        <v/>
      </c>
      <c r="AP139" s="122"/>
      <c r="AQ139" s="33"/>
      <c r="AR139" s="143" t="str">
        <f t="shared" si="16"/>
        <v/>
      </c>
      <c r="AS139" s="38" t="str">
        <f>IFERROR(__xludf.DUMMYFUNCTION("""COMPUTED_VALUE"""),"")</f>
        <v/>
      </c>
      <c r="AT139" s="144">
        <v>46132.0</v>
      </c>
      <c r="AU139" s="167" t="str">
        <f t="shared" si="26"/>
        <v/>
      </c>
      <c r="AV139" s="168" t="str">
        <f t="shared" si="325"/>
        <v/>
      </c>
      <c r="AW139" s="169" t="str">
        <f t="shared" si="326"/>
        <v/>
      </c>
      <c r="AX139" s="172" t="str">
        <f t="shared" si="327"/>
        <v/>
      </c>
      <c r="AY139" s="171" t="str">
        <f t="array" ref="AY139">IFERROR(IF(AS139="ac"+ISNUMBER(SEARCH("'",AX139))+AW139="","", IF(ISNUMBER(SEARCH("lw",AX139)), AK139 + SUBSTITUTE(AX139,"lw+",""), MROUND(SWITCH(AS139,"sq",AW$7,"bn",AX$7,"dl",AY$7,"")*IF(AX139&gt;10, AX139/100, VLOOKUP(AX139, _rpe,SUBSTITUTE(AW139,"+","")+1,0)), IF( SWITCH(AS139,"sq",AW$7,"bn",AX$7,"dl", AY$7,"")&lt; IF(_uom="lbs", 175, 80), 1.25, IF(_uom="lbs",5,2.5))))), "")</f>
        <v/>
      </c>
      <c r="AZ139" s="148"/>
      <c r="BA139" s="33"/>
      <c r="BB139" s="171"/>
      <c r="BC139" s="124" t="str">
        <f>IFERROR(__xludf.DUMMYFUNCTION("IF(AY139=MAX(FILTER(AY$10:AY$199,LOOKUP(ROW(AS$10:AS$199),FILTER(ROW(AS$10:AS$199),AS$10:AS$199&lt;&gt;AS$9:AS$198))=LOOKUP(ROW(AS139),FILTER(ROW(AS$10:AS$199),AS$10:AS$199&lt;&gt;AS$9:AS$198)))),AZ139,)"),"")</f>
        <v/>
      </c>
      <c r="BD139" s="122"/>
      <c r="BE139" s="33"/>
      <c r="BF139" s="143" t="str">
        <f t="shared" si="17"/>
        <v/>
      </c>
      <c r="BG139" s="38" t="str">
        <f>IFERROR(__xludf.DUMMYFUNCTION("""COMPUTED_VALUE"""),"")</f>
        <v/>
      </c>
      <c r="BH139" s="144">
        <v>46139.0</v>
      </c>
      <c r="BI139" s="167" t="str">
        <f t="shared" si="18"/>
        <v/>
      </c>
      <c r="BJ139" s="168" t="str">
        <f t="shared" si="328"/>
        <v/>
      </c>
      <c r="BK139" s="169" t="str">
        <f t="shared" si="329"/>
        <v/>
      </c>
      <c r="BL139" s="172" t="str">
        <f t="shared" si="330"/>
        <v/>
      </c>
      <c r="BM139" s="171" t="str">
        <f t="array" ref="BM139">IFERROR(IF(BG139="ac"+ISNUMBER(SEARCH("'",BL139))+BK139="","", IF(ISNUMBER(SEARCH("lw",BL139)), AY139 + SUBSTITUTE(BL139,"lw+",""), MROUND(SWITCH(BG139,"sq",BK$7,"bn",BL$7,"dl",BM$7,"")*IF(BL139&gt;10, BL139/100, VLOOKUP(BL139, _rpe,SUBSTITUTE(BK139,"+","")+1,0)), IF( SWITCH(BG139,"sq",BK$7,"bn",BL$7,"dl", BM$7,"")&lt; IF(_uom="lbs", 175, 80), 1.25, IF(_uom="lbs",5,2.5))))), "")</f>
        <v/>
      </c>
      <c r="BN139" s="148"/>
      <c r="BO139" s="33"/>
      <c r="BP139" s="171"/>
      <c r="BQ139" s="124" t="str">
        <f>IFERROR(__xludf.DUMMYFUNCTION("IF(BM139=MAX(FILTER(BM$10:BM$199,LOOKUP(ROW(BG$10:BG$199),FILTER(ROW(BG$10:BG$199),BG$10:BG$199&lt;&gt;BG$9:BG$198))=LOOKUP(ROW(BG139),FILTER(ROW(BG$10:BG$199),BG$10:BG$199&lt;&gt;BG$9:BG$198)))),BN139,)"),"")</f>
        <v/>
      </c>
      <c r="BR139" s="122"/>
      <c r="BS139" s="33"/>
      <c r="BT139" s="143" t="str">
        <f t="shared" si="19"/>
        <v/>
      </c>
      <c r="BU139" s="38" t="str">
        <f>IFERROR(__xludf.DUMMYFUNCTION("""COMPUTED_VALUE"""),"")</f>
        <v/>
      </c>
      <c r="BV139" s="144">
        <v>46146.0</v>
      </c>
      <c r="BW139" s="167" t="str">
        <f t="shared" si="20"/>
        <v/>
      </c>
      <c r="BX139" s="168" t="str">
        <f t="shared" si="331"/>
        <v/>
      </c>
      <c r="BY139" s="169" t="str">
        <f t="shared" si="332"/>
        <v/>
      </c>
      <c r="BZ139" s="172" t="str">
        <f t="shared" si="333"/>
        <v/>
      </c>
      <c r="CA139" s="171" t="str">
        <f t="array" ref="CA139">IFERROR(IF(BU139="ac"+ISNUMBER(SEARCH("'",BZ139))+BY139="","", IF(ISNUMBER(SEARCH("lw",BZ139)), BM139 + SUBSTITUTE(BZ139,"lw+",""), MROUND(SWITCH(BU139,"sq",BY$7,"bn",BZ$7,"dl",CA$7,"")*IF(BZ139&gt;10, BZ139/100, VLOOKUP(BZ139, _rpe,SUBSTITUTE(BY139,"+","")+1,0)), IF( SWITCH(BU139,"sq",BY$7,"bn",BZ$7,"dl", CA$7,"")&lt; IF(_uom="lbs", 175, 80), 1.25, IF(_uom="lbs",5,2.5))))), "")</f>
        <v/>
      </c>
      <c r="CB139" s="148"/>
      <c r="CC139" s="33"/>
      <c r="CD139" s="171"/>
      <c r="CE139" s="124" t="str">
        <f>IFERROR(__xludf.DUMMYFUNCTION("IF(CA139=MAX(FILTER(CA$10:CA$199,LOOKUP(ROW(BU$10:BU$199),FILTER(ROW(BU$10:BU$199),BU$10:BU$199&lt;&gt;BU$9:BU$198))=LOOKUP(ROW(BU139),FILTER(ROW(BU$10:BU$199),BU$10:BU$199&lt;&gt;BU$9:BU$198)))),CB139,)"),"")</f>
        <v/>
      </c>
      <c r="CF139" s="122"/>
      <c r="CG139" s="33"/>
      <c r="CH139" s="143" t="str">
        <f t="shared" si="21"/>
        <v/>
      </c>
      <c r="CI139" s="38" t="str">
        <f>IFERROR(__xludf.DUMMYFUNCTION("""COMPUTED_VALUE"""),"")</f>
        <v/>
      </c>
      <c r="CJ139" s="144">
        <v>46153.0</v>
      </c>
      <c r="CK139" s="167" t="str">
        <f t="shared" si="27"/>
        <v/>
      </c>
      <c r="CL139" s="168" t="str">
        <f t="shared" si="334"/>
        <v/>
      </c>
      <c r="CM139" s="169" t="str">
        <f t="shared" si="335"/>
        <v/>
      </c>
      <c r="CN139" s="172" t="str">
        <f t="shared" si="336"/>
        <v/>
      </c>
      <c r="CO139" s="171" t="str">
        <f t="array" ref="CO139">IFERROR(IF(CI139="ac"+ISNUMBER(SEARCH("'",CN139))+CM139="","", IF(ISNUMBER(SEARCH("lw",CN139)), CA139 + SUBSTITUTE(CN139,"lw+",""), MROUND(SWITCH(CI139,"sq",CM$7,"bn",CN$7,"dl",CO$7,"")*IF(CN139&gt;10, CN139/100, VLOOKUP(CN139, _rpe,SUBSTITUTE(CM139,"+","")+1,0)), IF( SWITCH(CI139,"sq",CM$7,"bn",CN$7,"dl", CO$7,"")&lt; IF(_uom="lbs", 175, 80), 1.25, IF(_uom="lbs",5,2.5))))), "")</f>
        <v/>
      </c>
      <c r="CP139" s="148"/>
      <c r="CQ139" s="33"/>
      <c r="CR139" s="171"/>
      <c r="CS139" s="124" t="str">
        <f>IFERROR(__xludf.DUMMYFUNCTION("IF(CO139=MAX(FILTER(CO$10:CO$199,LOOKUP(ROW(CI$10:CI$199),FILTER(ROW(CI$10:CI$199),CI$10:CI$199&lt;&gt;CI$9:CI$198))=LOOKUP(ROW(CI139),FILTER(ROW(CI$10:CI$199),CI$10:CI$199&lt;&gt;CI$9:CI$198)))),CP139,)"),"")</f>
        <v/>
      </c>
      <c r="CT139" s="122"/>
      <c r="CU139" s="33"/>
      <c r="CV139" s="143" t="str">
        <f t="shared" si="22"/>
        <v/>
      </c>
      <c r="CW139" s="38" t="str">
        <f>IFERROR(__xludf.DUMMYFUNCTION("""COMPUTED_VALUE"""),"")</f>
        <v/>
      </c>
      <c r="CX139" s="144">
        <v>46160.0</v>
      </c>
      <c r="CY139" s="167" t="str">
        <f t="shared" si="28"/>
        <v/>
      </c>
      <c r="CZ139" s="168" t="str">
        <f t="shared" si="337"/>
        <v/>
      </c>
      <c r="DA139" s="169" t="str">
        <f t="shared" si="338"/>
        <v/>
      </c>
      <c r="DB139" s="172" t="str">
        <f t="shared" si="339"/>
        <v/>
      </c>
      <c r="DC139" s="171" t="str">
        <f t="array" ref="DC139">IFERROR(IF(CW139="ac"+ISNUMBER(SEARCH("'",DB139))+DA139="","", IF(ISNUMBER(SEARCH("lw",DB139)), CO139 + SUBSTITUTE(DB139,"lw+",""), MROUND(SWITCH(CW139,"sq",DA$7,"bn",DB$7,"dl",DC$7,"")*IF(DB139&gt;10, DB139/100, VLOOKUP(DB139, _rpe,SUBSTITUTE(DA139,"+","")+1,0)), IF( SWITCH(CW139,"sq",DA$7,"bn",DB$7,"dl", DC$7,"")&lt; IF(_uom="lbs", 175, 80), 1.25, IF(_uom="lbs",5,2.5))))), "")</f>
        <v/>
      </c>
      <c r="DD139" s="148"/>
      <c r="DE139" s="33"/>
      <c r="DF139" s="171"/>
      <c r="DG139" s="124" t="str">
        <f>IFERROR(__xludf.DUMMYFUNCTION("IF(DC139=MAX(FILTER(DC$10:DC$199,LOOKUP(ROW(CW$10:CW$199),FILTER(ROW(CW$10:CW$199),CW$10:CW$199&lt;&gt;CW$9:CW$198))=LOOKUP(ROW(CW139),FILTER(ROW(CW$10:CW$199),CW$10:CW$199&lt;&gt;CW$9:CW$198)))),DD139,)"),"")</f>
        <v/>
      </c>
      <c r="DH139" s="122"/>
      <c r="DI139" s="33"/>
      <c r="DJ139" s="143" t="str">
        <f t="shared" si="23"/>
        <v/>
      </c>
      <c r="DK139" s="38" t="str">
        <f>IFERROR(__xludf.DUMMYFUNCTION("""COMPUTED_VALUE"""),"")</f>
        <v/>
      </c>
      <c r="DL139" s="144">
        <v>46167.0</v>
      </c>
      <c r="DM139" s="167" t="str">
        <f t="shared" ref="DM139:DN139" si="391">IF(ISBLANK(CY139),"",CY139)</f>
        <v/>
      </c>
      <c r="DN139" s="168" t="str">
        <f t="shared" si="391"/>
        <v/>
      </c>
      <c r="DO139" s="169" t="str">
        <f t="shared" si="341"/>
        <v/>
      </c>
      <c r="DP139" s="172" t="str">
        <f t="shared" si="342"/>
        <v/>
      </c>
      <c r="DQ139" s="171" t="str">
        <f t="array" ref="DQ139">IFERROR(IF(DK139="ac"+ISNUMBER(SEARCH("'",DP139))+DO139="","", IF(ISNUMBER(SEARCH("lw",DP139)), DC139 + SUBSTITUTE(DP139,"lw+",""), MROUND(SWITCH(DK139,"sq",DO$7,"bn",DP$7,"dl",DQ$7,"")*IF(DP139&gt;10, DP139/100, VLOOKUP(DP139, _rpe,SUBSTITUTE(DO139,"+","")+1,0)), IF( SWITCH(DK139,"sq",DO$7,"bn",DP$7,"dl", DQ$7,"")&lt; IF(_uom="lbs", 175, 80), 1.25, IF(_uom="lbs",5,2.5))))), "")</f>
        <v/>
      </c>
      <c r="DR139" s="148"/>
      <c r="DS139" s="33"/>
      <c r="DT139" s="171"/>
      <c r="DU139" s="124" t="str">
        <f>IFERROR(__xludf.DUMMYFUNCTION("IF(DQ139=MAX(FILTER(DQ$10:DQ$199,LOOKUP(ROW(DK$10:DK$199),FILTER(ROW(DK$10:DK$199),DK$10:DK$199&lt;&gt;DK$9:DK$198))=LOOKUP(ROW(DK139),FILTER(ROW(DK$10:DK$199),DK$10:DK$199&lt;&gt;DK$9:DK$198)))),DR139,)"),"")</f>
        <v/>
      </c>
      <c r="DV139" s="122"/>
      <c r="DW139" s="33"/>
      <c r="DX139" s="143"/>
      <c r="DY139" s="38"/>
      <c r="DZ139" s="144"/>
      <c r="EA139" s="150"/>
      <c r="EB139" s="174"/>
      <c r="EC139" s="175"/>
      <c r="ED139" s="176"/>
      <c r="EE139" s="155"/>
      <c r="EF139" s="148"/>
      <c r="EG139" s="33"/>
      <c r="EH139" s="155"/>
      <c r="EI139" s="148"/>
      <c r="EJ139" s="33"/>
      <c r="EK139" s="33"/>
      <c r="EL139" s="143"/>
      <c r="EM139" s="38"/>
      <c r="EN139" s="144"/>
      <c r="EO139" s="150"/>
      <c r="EP139" s="174"/>
      <c r="EQ139" s="175"/>
      <c r="ER139" s="176"/>
      <c r="ES139" s="155"/>
      <c r="ET139" s="148"/>
      <c r="EU139" s="33"/>
      <c r="EV139" s="155"/>
      <c r="EW139" s="148"/>
      <c r="EX139" s="33"/>
      <c r="EY139" s="33"/>
      <c r="EZ139" s="143"/>
      <c r="FA139" s="38"/>
      <c r="FB139" s="144"/>
      <c r="FC139" s="150"/>
      <c r="FD139" s="174"/>
      <c r="FE139" s="175"/>
      <c r="FF139" s="176"/>
      <c r="FG139" s="155"/>
      <c r="FH139" s="148"/>
      <c r="FI139" s="33"/>
      <c r="FJ139" s="155"/>
      <c r="FK139" s="148"/>
      <c r="FL139" s="33"/>
      <c r="FM139" s="33"/>
      <c r="FN139" s="143"/>
      <c r="FO139" s="38"/>
      <c r="FP139" s="144"/>
      <c r="FQ139" s="150"/>
      <c r="FR139" s="174"/>
      <c r="FS139" s="175"/>
      <c r="FT139" s="176"/>
      <c r="FU139" s="155"/>
      <c r="FV139" s="148"/>
      <c r="FW139" s="33"/>
      <c r="FX139" s="155"/>
      <c r="FY139" s="148"/>
      <c r="FZ139" s="33"/>
      <c r="GA139" s="33"/>
      <c r="GB139" s="143"/>
      <c r="GC139" s="38"/>
      <c r="GD139" s="144"/>
      <c r="GE139" s="150"/>
      <c r="GF139" s="174"/>
      <c r="GG139" s="175"/>
      <c r="GH139" s="176"/>
      <c r="GI139" s="155"/>
      <c r="GJ139" s="148"/>
      <c r="GK139" s="33"/>
      <c r="GL139" s="155"/>
      <c r="GM139" s="148"/>
      <c r="GN139" s="33"/>
      <c r="GO139" s="33"/>
      <c r="GP139" s="143"/>
      <c r="GQ139" s="38"/>
      <c r="GR139" s="144"/>
      <c r="GS139" s="150"/>
      <c r="GT139" s="174"/>
      <c r="GU139" s="175"/>
      <c r="GV139" s="176"/>
      <c r="GW139" s="155"/>
      <c r="GX139" s="148"/>
      <c r="GY139" s="33"/>
      <c r="GZ139" s="155"/>
      <c r="HA139" s="148"/>
      <c r="HB139" s="33"/>
      <c r="HC139" s="33"/>
      <c r="HD139" s="143"/>
      <c r="HE139" s="38"/>
      <c r="HF139" s="144"/>
      <c r="HG139" s="150"/>
      <c r="HH139" s="174"/>
      <c r="HI139" s="175"/>
      <c r="HJ139" s="176"/>
      <c r="HK139" s="155"/>
      <c r="HL139" s="148"/>
      <c r="HM139" s="33"/>
      <c r="HN139" s="155"/>
      <c r="HO139" s="148"/>
      <c r="HP139" s="33"/>
      <c r="HQ139" s="33"/>
      <c r="HR139" s="143"/>
      <c r="HS139" s="38"/>
      <c r="HT139" s="144"/>
      <c r="HU139" s="150"/>
      <c r="HV139" s="174"/>
      <c r="HW139" s="175"/>
      <c r="HX139" s="176"/>
      <c r="HY139" s="155"/>
      <c r="HZ139" s="148"/>
      <c r="IA139" s="33"/>
      <c r="IB139" s="155"/>
      <c r="IC139" s="148"/>
      <c r="ID139" s="33"/>
      <c r="IE139" s="33"/>
      <c r="IF139" s="143"/>
      <c r="IG139" s="38"/>
      <c r="IH139" s="144"/>
      <c r="II139" s="150"/>
      <c r="IJ139" s="174"/>
      <c r="IK139" s="175"/>
      <c r="IL139" s="176"/>
      <c r="IM139" s="155"/>
      <c r="IN139" s="148"/>
      <c r="IO139" s="33"/>
      <c r="IP139" s="155"/>
      <c r="IQ139" s="148"/>
      <c r="IR139" s="33"/>
      <c r="IS139" s="33"/>
      <c r="IT139" s="143"/>
      <c r="IU139" s="38"/>
      <c r="IV139" s="144"/>
      <c r="IW139" s="143"/>
      <c r="IX139" s="38"/>
      <c r="IY139" s="144" t="e">
        <v>#REF!</v>
      </c>
    </row>
    <row r="140">
      <c r="A140" s="33"/>
      <c r="B140" s="181"/>
      <c r="C140" s="38" t="str">
        <f>IFERROR(__xludf.DUMMYFUNCTION("""COMPUTED_VALUE"""),"")</f>
        <v/>
      </c>
      <c r="D140" s="144">
        <v>46111.0</v>
      </c>
      <c r="E140" s="182"/>
      <c r="F140" s="168"/>
      <c r="G140" s="169"/>
      <c r="H140" s="170"/>
      <c r="I140" s="171" t="str">
        <f t="array" ref="I140">IFERROR(IF(C140="ac"+ISNUMBER(SEARCH("'",H140))+G140="","", MROUND(SWITCH(C140,"sq",'Personal Info'!$O$15,"bn",'Personal Info'!$S$15,"dl",'Personal Info'!$W$15,"")*IF(H140&gt;10, H140/100, VLOOKUP(H140, _rpe,SUBSTITUTE(G140,"+","")+1,0)), IF( SWITCH(C140:C210,"sq",'Personal Info'!$O$15,"bn",'Personal Info'!$S$15,"dl", 'Personal Info'!$W$15,"")&lt; IF(_uom="lbs", 175, 80), 1.25, IF(_uom="lbs",5,2.5)))),"")</f>
        <v/>
      </c>
      <c r="J140" s="148"/>
      <c r="K140" s="33"/>
      <c r="L140" s="171"/>
      <c r="M140" s="124" t="str">
        <f>IFERROR(__xludf.DUMMYFUNCTION("IF(I140=MAX(FILTER(I$10:I$199,LOOKUP(ROW(C$10:C$199),FILTER(ROW(C$10:C$199),C$10:C$199&lt;&gt;C$9:C$198))=LOOKUP(ROW(C140),FILTER(ROW(C$10:C$199),C$10:C$199&lt;&gt;C$9:C$198)))),J140,)"),"")</f>
        <v/>
      </c>
      <c r="N140" s="122"/>
      <c r="O140" s="33"/>
      <c r="P140" s="143" t="str">
        <f t="shared" si="12"/>
        <v/>
      </c>
      <c r="Q140" s="38" t="str">
        <f>IFERROR(__xludf.DUMMYFUNCTION("""COMPUTED_VALUE"""),"")</f>
        <v/>
      </c>
      <c r="R140" s="144">
        <v>46118.0</v>
      </c>
      <c r="S140" s="167" t="str">
        <f t="shared" si="13"/>
        <v/>
      </c>
      <c r="T140" s="168" t="str">
        <f t="shared" si="319"/>
        <v/>
      </c>
      <c r="U140" s="169" t="str">
        <f t="shared" si="320"/>
        <v/>
      </c>
      <c r="V140" s="172" t="str">
        <f t="shared" si="321"/>
        <v/>
      </c>
      <c r="W140" s="171" t="str">
        <f t="array" ref="W140">IFERROR(IF(Q140="ac"+ISNUMBER(SEARCH("'",V140))+U140="","", IF(ISNUMBER(SEARCH("lw",V140)), I140 + SUBSTITUTE(V140,"lw+",""), MROUND(SWITCH(Q140,"sq",U$7,"bn",V$7,"dl",W$7,"")*IF(V140&gt;10, V140/100, VLOOKUP(V140, _rpe,SUBSTITUTE(U140,"+","")+1,0)), IF( SWITCH(Q140,"sq",U$7,"bn",V$7,"dl", W$7,"")&lt; IF(_uom="lbs", 175, 80), 1.25, IF(_uom="lbs",5,2.5))))), "")</f>
        <v/>
      </c>
      <c r="X140" s="148"/>
      <c r="Y140" s="33"/>
      <c r="Z140" s="171"/>
      <c r="AA140" s="124" t="str">
        <f>IFERROR(__xludf.DUMMYFUNCTION("IF(W140=MAX(FILTER(W$10:W$199,LOOKUP(ROW(Q$10:Q$199),FILTER(ROW(Q$10:Q$199),Q$10:Q$199&lt;&gt;Q$9:Q$198))=LOOKUP(ROW(Q140),FILTER(ROW(Q$10:Q$199),Q$10:Q$199&lt;&gt;Q$9:Q$198)))),X140,)"),"")</f>
        <v/>
      </c>
      <c r="AB140" s="122"/>
      <c r="AC140" s="33"/>
      <c r="AD140" s="143" t="str">
        <f t="shared" si="14"/>
        <v/>
      </c>
      <c r="AE140" s="38" t="str">
        <f>IFERROR(__xludf.DUMMYFUNCTION("""COMPUTED_VALUE"""),"")</f>
        <v/>
      </c>
      <c r="AF140" s="144">
        <v>46125.0</v>
      </c>
      <c r="AG140" s="167" t="str">
        <f t="shared" si="54"/>
        <v/>
      </c>
      <c r="AH140" s="168" t="str">
        <f t="shared" si="322"/>
        <v/>
      </c>
      <c r="AI140" s="169" t="str">
        <f t="shared" si="323"/>
        <v/>
      </c>
      <c r="AJ140" s="172" t="str">
        <f t="shared" si="324"/>
        <v/>
      </c>
      <c r="AK140" s="171" t="str">
        <f t="array" ref="AK140">IFERROR(IF(AE140="ac"+ISNUMBER(SEARCH("'",AJ140))+AI140="","", IF(ISNUMBER(SEARCH("lw",AJ140)), W140 + SUBSTITUTE(AJ140,"lw+",""), MROUND(SWITCH(AE140,"sq",AI$7,"bn",AJ$7,"dl",AK$7,"")*IF(AJ140&gt;10, AJ140/100, VLOOKUP(AJ140, _rpe,SUBSTITUTE(AI140,"+","")+1,0)), IF( SWITCH(AE140,"sq",AI$7,"bn",AJ$7,"dl", AK$7,"")&lt; IF(_uom="lbs", 175, 80), 1.25, IF(_uom="lbs",5,2.5))))), "")</f>
        <v/>
      </c>
      <c r="AL140" s="148"/>
      <c r="AM140" s="33"/>
      <c r="AN140" s="171"/>
      <c r="AO140" s="124" t="str">
        <f>IFERROR(__xludf.DUMMYFUNCTION("IF(AK140=MAX(FILTER(AK$10:AK$199,LOOKUP(ROW(AE$10:AE$199),FILTER(ROW(AE$10:AE$199),AE$10:AE$199&lt;&gt;AE$9:AE$198))=LOOKUP(ROW(AE140),FILTER(ROW(AE$10:AE$199),AE$10:AE$199&lt;&gt;AE$9:AE$198)))),AL140,)"),"")</f>
        <v/>
      </c>
      <c r="AP140" s="122"/>
      <c r="AQ140" s="33"/>
      <c r="AR140" s="143" t="str">
        <f t="shared" si="16"/>
        <v/>
      </c>
      <c r="AS140" s="38" t="str">
        <f>IFERROR(__xludf.DUMMYFUNCTION("""COMPUTED_VALUE"""),"")</f>
        <v/>
      </c>
      <c r="AT140" s="144">
        <v>46132.0</v>
      </c>
      <c r="AU140" s="167" t="str">
        <f t="shared" si="26"/>
        <v/>
      </c>
      <c r="AV140" s="168" t="str">
        <f t="shared" si="325"/>
        <v/>
      </c>
      <c r="AW140" s="169" t="str">
        <f t="shared" si="326"/>
        <v/>
      </c>
      <c r="AX140" s="172" t="str">
        <f t="shared" si="327"/>
        <v/>
      </c>
      <c r="AY140" s="171" t="str">
        <f t="array" ref="AY140">IFERROR(IF(AS140="ac"+ISNUMBER(SEARCH("'",AX140))+AW140="","", IF(ISNUMBER(SEARCH("lw",AX140)), AK140 + SUBSTITUTE(AX140,"lw+",""), MROUND(SWITCH(AS140,"sq",AW$7,"bn",AX$7,"dl",AY$7,"")*IF(AX140&gt;10, AX140/100, VLOOKUP(AX140, _rpe,SUBSTITUTE(AW140,"+","")+1,0)), IF( SWITCH(AS140,"sq",AW$7,"bn",AX$7,"dl", AY$7,"")&lt; IF(_uom="lbs", 175, 80), 1.25, IF(_uom="lbs",5,2.5))))), "")</f>
        <v/>
      </c>
      <c r="AZ140" s="148"/>
      <c r="BA140" s="33"/>
      <c r="BB140" s="171"/>
      <c r="BC140" s="124" t="str">
        <f>IFERROR(__xludf.DUMMYFUNCTION("IF(AY140=MAX(FILTER(AY$10:AY$199,LOOKUP(ROW(AS$10:AS$199),FILTER(ROW(AS$10:AS$199),AS$10:AS$199&lt;&gt;AS$9:AS$198))=LOOKUP(ROW(AS140),FILTER(ROW(AS$10:AS$199),AS$10:AS$199&lt;&gt;AS$9:AS$198)))),AZ140,)"),"")</f>
        <v/>
      </c>
      <c r="BD140" s="122"/>
      <c r="BE140" s="33"/>
      <c r="BF140" s="143" t="str">
        <f t="shared" si="17"/>
        <v/>
      </c>
      <c r="BG140" s="38" t="str">
        <f>IFERROR(__xludf.DUMMYFUNCTION("""COMPUTED_VALUE"""),"")</f>
        <v/>
      </c>
      <c r="BH140" s="144">
        <v>46139.0</v>
      </c>
      <c r="BI140" s="167" t="str">
        <f t="shared" si="18"/>
        <v/>
      </c>
      <c r="BJ140" s="168" t="str">
        <f t="shared" si="328"/>
        <v/>
      </c>
      <c r="BK140" s="169" t="str">
        <f t="shared" si="329"/>
        <v/>
      </c>
      <c r="BL140" s="172" t="str">
        <f t="shared" si="330"/>
        <v/>
      </c>
      <c r="BM140" s="171" t="str">
        <f t="array" ref="BM140">IFERROR(IF(BG140="ac"+ISNUMBER(SEARCH("'",BL140))+BK140="","", IF(ISNUMBER(SEARCH("lw",BL140)), AY140 + SUBSTITUTE(BL140,"lw+",""), MROUND(SWITCH(BG140,"sq",BK$7,"bn",BL$7,"dl",BM$7,"")*IF(BL140&gt;10, BL140/100, VLOOKUP(BL140, _rpe,SUBSTITUTE(BK140,"+","")+1,0)), IF( SWITCH(BG140,"sq",BK$7,"bn",BL$7,"dl", BM$7,"")&lt; IF(_uom="lbs", 175, 80), 1.25, IF(_uom="lbs",5,2.5))))), "")</f>
        <v/>
      </c>
      <c r="BN140" s="148"/>
      <c r="BO140" s="33"/>
      <c r="BP140" s="171"/>
      <c r="BQ140" s="124" t="str">
        <f>IFERROR(__xludf.DUMMYFUNCTION("IF(BM140=MAX(FILTER(BM$10:BM$199,LOOKUP(ROW(BG$10:BG$199),FILTER(ROW(BG$10:BG$199),BG$10:BG$199&lt;&gt;BG$9:BG$198))=LOOKUP(ROW(BG140),FILTER(ROW(BG$10:BG$199),BG$10:BG$199&lt;&gt;BG$9:BG$198)))),BN140,)"),"")</f>
        <v/>
      </c>
      <c r="BR140" s="122"/>
      <c r="BS140" s="33"/>
      <c r="BT140" s="143" t="str">
        <f t="shared" si="19"/>
        <v/>
      </c>
      <c r="BU140" s="38" t="str">
        <f>IFERROR(__xludf.DUMMYFUNCTION("""COMPUTED_VALUE"""),"")</f>
        <v/>
      </c>
      <c r="BV140" s="144">
        <v>46146.0</v>
      </c>
      <c r="BW140" s="167" t="str">
        <f t="shared" si="20"/>
        <v/>
      </c>
      <c r="BX140" s="168" t="str">
        <f t="shared" si="331"/>
        <v/>
      </c>
      <c r="BY140" s="169" t="str">
        <f t="shared" si="332"/>
        <v/>
      </c>
      <c r="BZ140" s="172" t="str">
        <f t="shared" si="333"/>
        <v/>
      </c>
      <c r="CA140" s="171" t="str">
        <f t="array" ref="CA140">IFERROR(IF(BU140="ac"+ISNUMBER(SEARCH("'",BZ140))+BY140="","", IF(ISNUMBER(SEARCH("lw",BZ140)), BM140 + SUBSTITUTE(BZ140,"lw+",""), MROUND(SWITCH(BU140,"sq",BY$7,"bn",BZ$7,"dl",CA$7,"")*IF(BZ140&gt;10, BZ140/100, VLOOKUP(BZ140, _rpe,SUBSTITUTE(BY140,"+","")+1,0)), IF( SWITCH(BU140,"sq",BY$7,"bn",BZ$7,"dl", CA$7,"")&lt; IF(_uom="lbs", 175, 80), 1.25, IF(_uom="lbs",5,2.5))))), "")</f>
        <v/>
      </c>
      <c r="CB140" s="148"/>
      <c r="CC140" s="33"/>
      <c r="CD140" s="171"/>
      <c r="CE140" s="124" t="str">
        <f>IFERROR(__xludf.DUMMYFUNCTION("IF(CA140=MAX(FILTER(CA$10:CA$199,LOOKUP(ROW(BU$10:BU$199),FILTER(ROW(BU$10:BU$199),BU$10:BU$199&lt;&gt;BU$9:BU$198))=LOOKUP(ROW(BU140),FILTER(ROW(BU$10:BU$199),BU$10:BU$199&lt;&gt;BU$9:BU$198)))),CB140,)"),"")</f>
        <v/>
      </c>
      <c r="CF140" s="122"/>
      <c r="CG140" s="33"/>
      <c r="CH140" s="143" t="str">
        <f t="shared" si="21"/>
        <v/>
      </c>
      <c r="CI140" s="38" t="str">
        <f>IFERROR(__xludf.DUMMYFUNCTION("""COMPUTED_VALUE"""),"")</f>
        <v/>
      </c>
      <c r="CJ140" s="144">
        <v>46153.0</v>
      </c>
      <c r="CK140" s="167" t="str">
        <f t="shared" si="27"/>
        <v/>
      </c>
      <c r="CL140" s="168" t="str">
        <f t="shared" si="334"/>
        <v/>
      </c>
      <c r="CM140" s="169" t="str">
        <f t="shared" si="335"/>
        <v/>
      </c>
      <c r="CN140" s="172" t="str">
        <f t="shared" si="336"/>
        <v/>
      </c>
      <c r="CO140" s="171" t="str">
        <f t="array" ref="CO140">IFERROR(IF(CI140="ac"+ISNUMBER(SEARCH("'",CN140))+CM140="","", IF(ISNUMBER(SEARCH("lw",CN140)), CA140 + SUBSTITUTE(CN140,"lw+",""), MROUND(SWITCH(CI140,"sq",CM$7,"bn",CN$7,"dl",CO$7,"")*IF(CN140&gt;10, CN140/100, VLOOKUP(CN140, _rpe,SUBSTITUTE(CM140,"+","")+1,0)), IF( SWITCH(CI140,"sq",CM$7,"bn",CN$7,"dl", CO$7,"")&lt; IF(_uom="lbs", 175, 80), 1.25, IF(_uom="lbs",5,2.5))))), "")</f>
        <v/>
      </c>
      <c r="CP140" s="148"/>
      <c r="CQ140" s="33"/>
      <c r="CR140" s="171"/>
      <c r="CS140" s="124" t="str">
        <f>IFERROR(__xludf.DUMMYFUNCTION("IF(CO140=MAX(FILTER(CO$10:CO$199,LOOKUP(ROW(CI$10:CI$199),FILTER(ROW(CI$10:CI$199),CI$10:CI$199&lt;&gt;CI$9:CI$198))=LOOKUP(ROW(CI140),FILTER(ROW(CI$10:CI$199),CI$10:CI$199&lt;&gt;CI$9:CI$198)))),CP140,)"),"")</f>
        <v/>
      </c>
      <c r="CT140" s="122"/>
      <c r="CU140" s="33"/>
      <c r="CV140" s="143" t="str">
        <f t="shared" si="22"/>
        <v/>
      </c>
      <c r="CW140" s="38" t="str">
        <f>IFERROR(__xludf.DUMMYFUNCTION("""COMPUTED_VALUE"""),"")</f>
        <v/>
      </c>
      <c r="CX140" s="144">
        <v>46160.0</v>
      </c>
      <c r="CY140" s="167" t="str">
        <f t="shared" si="28"/>
        <v/>
      </c>
      <c r="CZ140" s="168" t="str">
        <f t="shared" si="337"/>
        <v/>
      </c>
      <c r="DA140" s="169" t="str">
        <f t="shared" si="338"/>
        <v/>
      </c>
      <c r="DB140" s="172" t="str">
        <f t="shared" si="339"/>
        <v/>
      </c>
      <c r="DC140" s="171" t="str">
        <f t="array" ref="DC140">IFERROR(IF(CW140="ac"+ISNUMBER(SEARCH("'",DB140))+DA140="","", IF(ISNUMBER(SEARCH("lw",DB140)), CO140 + SUBSTITUTE(DB140,"lw+",""), MROUND(SWITCH(CW140,"sq",DA$7,"bn",DB$7,"dl",DC$7,"")*IF(DB140&gt;10, DB140/100, VLOOKUP(DB140, _rpe,SUBSTITUTE(DA140,"+","")+1,0)), IF( SWITCH(CW140,"sq",DA$7,"bn",DB$7,"dl", DC$7,"")&lt; IF(_uom="lbs", 175, 80), 1.25, IF(_uom="lbs",5,2.5))))), "")</f>
        <v/>
      </c>
      <c r="DD140" s="148"/>
      <c r="DE140" s="33"/>
      <c r="DF140" s="171"/>
      <c r="DG140" s="124" t="str">
        <f>IFERROR(__xludf.DUMMYFUNCTION("IF(DC140=MAX(FILTER(DC$10:DC$199,LOOKUP(ROW(CW$10:CW$199),FILTER(ROW(CW$10:CW$199),CW$10:CW$199&lt;&gt;CW$9:CW$198))=LOOKUP(ROW(CW140),FILTER(ROW(CW$10:CW$199),CW$10:CW$199&lt;&gt;CW$9:CW$198)))),DD140,)"),"")</f>
        <v/>
      </c>
      <c r="DH140" s="122"/>
      <c r="DI140" s="33"/>
      <c r="DJ140" s="143" t="str">
        <f t="shared" si="23"/>
        <v/>
      </c>
      <c r="DK140" s="38" t="str">
        <f>IFERROR(__xludf.DUMMYFUNCTION("""COMPUTED_VALUE"""),"")</f>
        <v/>
      </c>
      <c r="DL140" s="144">
        <v>46167.0</v>
      </c>
      <c r="DM140" s="167" t="str">
        <f t="shared" ref="DM140:DN140" si="392">IF(ISBLANK(CY140),"",CY140)</f>
        <v/>
      </c>
      <c r="DN140" s="168" t="str">
        <f t="shared" si="392"/>
        <v/>
      </c>
      <c r="DO140" s="169" t="str">
        <f t="shared" si="341"/>
        <v/>
      </c>
      <c r="DP140" s="172" t="str">
        <f t="shared" si="342"/>
        <v/>
      </c>
      <c r="DQ140" s="171" t="str">
        <f t="array" ref="DQ140">IFERROR(IF(DK140="ac"+ISNUMBER(SEARCH("'",DP140))+DO140="","", IF(ISNUMBER(SEARCH("lw",DP140)), DC140 + SUBSTITUTE(DP140,"lw+",""), MROUND(SWITCH(DK140,"sq",DO$7,"bn",DP$7,"dl",DQ$7,"")*IF(DP140&gt;10, DP140/100, VLOOKUP(DP140, _rpe,SUBSTITUTE(DO140,"+","")+1,0)), IF( SWITCH(DK140,"sq",DO$7,"bn",DP$7,"dl", DQ$7,"")&lt; IF(_uom="lbs", 175, 80), 1.25, IF(_uom="lbs",5,2.5))))), "")</f>
        <v/>
      </c>
      <c r="DR140" s="148"/>
      <c r="DS140" s="33"/>
      <c r="DT140" s="171"/>
      <c r="DU140" s="124" t="str">
        <f>IFERROR(__xludf.DUMMYFUNCTION("IF(DQ140=MAX(FILTER(DQ$10:DQ$199,LOOKUP(ROW(DK$10:DK$199),FILTER(ROW(DK$10:DK$199),DK$10:DK$199&lt;&gt;DK$9:DK$198))=LOOKUP(ROW(DK140),FILTER(ROW(DK$10:DK$199),DK$10:DK$199&lt;&gt;DK$9:DK$198)))),DR140,)"),"")</f>
        <v/>
      </c>
      <c r="DV140" s="122"/>
      <c r="DW140" s="33"/>
      <c r="DX140" s="143"/>
      <c r="DY140" s="38"/>
      <c r="DZ140" s="144"/>
      <c r="EA140" s="150"/>
      <c r="EB140" s="174"/>
      <c r="EC140" s="175"/>
      <c r="ED140" s="176"/>
      <c r="EE140" s="155"/>
      <c r="EF140" s="148"/>
      <c r="EG140" s="33"/>
      <c r="EH140" s="155"/>
      <c r="EI140" s="148"/>
      <c r="EJ140" s="33"/>
      <c r="EK140" s="33"/>
      <c r="EL140" s="143"/>
      <c r="EM140" s="38"/>
      <c r="EN140" s="144"/>
      <c r="EO140" s="150"/>
      <c r="EP140" s="174"/>
      <c r="EQ140" s="175"/>
      <c r="ER140" s="176"/>
      <c r="ES140" s="155"/>
      <c r="ET140" s="148"/>
      <c r="EU140" s="33"/>
      <c r="EV140" s="155"/>
      <c r="EW140" s="148"/>
      <c r="EX140" s="33"/>
      <c r="EY140" s="33"/>
      <c r="EZ140" s="143"/>
      <c r="FA140" s="38"/>
      <c r="FB140" s="144"/>
      <c r="FC140" s="150"/>
      <c r="FD140" s="174"/>
      <c r="FE140" s="175"/>
      <c r="FF140" s="176"/>
      <c r="FG140" s="155"/>
      <c r="FH140" s="148"/>
      <c r="FI140" s="33"/>
      <c r="FJ140" s="155"/>
      <c r="FK140" s="148"/>
      <c r="FL140" s="33"/>
      <c r="FM140" s="33"/>
      <c r="FN140" s="143"/>
      <c r="FO140" s="38"/>
      <c r="FP140" s="144"/>
      <c r="FQ140" s="150"/>
      <c r="FR140" s="174"/>
      <c r="FS140" s="175"/>
      <c r="FT140" s="176"/>
      <c r="FU140" s="155"/>
      <c r="FV140" s="148"/>
      <c r="FW140" s="33"/>
      <c r="FX140" s="155"/>
      <c r="FY140" s="148"/>
      <c r="FZ140" s="33"/>
      <c r="GA140" s="33"/>
      <c r="GB140" s="143"/>
      <c r="GC140" s="38"/>
      <c r="GD140" s="144"/>
      <c r="GE140" s="150"/>
      <c r="GF140" s="174"/>
      <c r="GG140" s="175"/>
      <c r="GH140" s="176"/>
      <c r="GI140" s="155"/>
      <c r="GJ140" s="148"/>
      <c r="GK140" s="33"/>
      <c r="GL140" s="155"/>
      <c r="GM140" s="148"/>
      <c r="GN140" s="33"/>
      <c r="GO140" s="33"/>
      <c r="GP140" s="143"/>
      <c r="GQ140" s="38"/>
      <c r="GR140" s="144"/>
      <c r="GS140" s="150"/>
      <c r="GT140" s="174"/>
      <c r="GU140" s="175"/>
      <c r="GV140" s="176"/>
      <c r="GW140" s="155"/>
      <c r="GX140" s="148"/>
      <c r="GY140" s="33"/>
      <c r="GZ140" s="155"/>
      <c r="HA140" s="148"/>
      <c r="HB140" s="33"/>
      <c r="HC140" s="33"/>
      <c r="HD140" s="143"/>
      <c r="HE140" s="38"/>
      <c r="HF140" s="144"/>
      <c r="HG140" s="150"/>
      <c r="HH140" s="174"/>
      <c r="HI140" s="175"/>
      <c r="HJ140" s="176"/>
      <c r="HK140" s="155"/>
      <c r="HL140" s="148"/>
      <c r="HM140" s="33"/>
      <c r="HN140" s="155"/>
      <c r="HO140" s="148"/>
      <c r="HP140" s="33"/>
      <c r="HQ140" s="33"/>
      <c r="HR140" s="143"/>
      <c r="HS140" s="38"/>
      <c r="HT140" s="144"/>
      <c r="HU140" s="150"/>
      <c r="HV140" s="174"/>
      <c r="HW140" s="175"/>
      <c r="HX140" s="176"/>
      <c r="HY140" s="155"/>
      <c r="HZ140" s="148"/>
      <c r="IA140" s="33"/>
      <c r="IB140" s="155"/>
      <c r="IC140" s="148"/>
      <c r="ID140" s="33"/>
      <c r="IE140" s="33"/>
      <c r="IF140" s="143"/>
      <c r="IG140" s="38"/>
      <c r="IH140" s="144"/>
      <c r="II140" s="150"/>
      <c r="IJ140" s="174"/>
      <c r="IK140" s="175"/>
      <c r="IL140" s="176"/>
      <c r="IM140" s="155"/>
      <c r="IN140" s="148"/>
      <c r="IO140" s="33"/>
      <c r="IP140" s="155"/>
      <c r="IQ140" s="148"/>
      <c r="IR140" s="33"/>
      <c r="IS140" s="33"/>
      <c r="IT140" s="143"/>
      <c r="IU140" s="38"/>
      <c r="IV140" s="144"/>
      <c r="IW140" s="143"/>
      <c r="IX140" s="38"/>
      <c r="IY140" s="144" t="e">
        <v>#REF!</v>
      </c>
    </row>
    <row r="141">
      <c r="A141" s="33"/>
      <c r="B141" s="181"/>
      <c r="C141" s="38" t="str">
        <f>IFERROR(__xludf.DUMMYFUNCTION("""COMPUTED_VALUE"""),"")</f>
        <v/>
      </c>
      <c r="D141" s="144">
        <v>46111.0</v>
      </c>
      <c r="E141" s="182"/>
      <c r="F141" s="168"/>
      <c r="G141" s="169"/>
      <c r="H141" s="170"/>
      <c r="I141" s="171" t="str">
        <f t="array" ref="I141">IFERROR(IF(C141="ac"+ISNUMBER(SEARCH("'",H141))+G141="","", MROUND(SWITCH(C141,"sq",'Personal Info'!$O$15,"bn",'Personal Info'!$S$15,"dl",'Personal Info'!$W$15,"")*IF(H141&gt;10, H141/100, VLOOKUP(H141, _rpe,SUBSTITUTE(G141,"+","")+1,0)), IF( SWITCH(C141:C210,"sq",'Personal Info'!$O$15,"bn",'Personal Info'!$S$15,"dl", 'Personal Info'!$W$15,"")&lt; IF(_uom="lbs", 175, 80), 1.25, IF(_uom="lbs",5,2.5)))),"")</f>
        <v/>
      </c>
      <c r="J141" s="148"/>
      <c r="K141" s="33"/>
      <c r="L141" s="171"/>
      <c r="M141" s="124" t="str">
        <f>IFERROR(__xludf.DUMMYFUNCTION("IF(I141=MAX(FILTER(I$10:I$199,LOOKUP(ROW(C$10:C$199),FILTER(ROW(C$10:C$199),C$10:C$199&lt;&gt;C$9:C$198))=LOOKUP(ROW(C141),FILTER(ROW(C$10:C$199),C$10:C$199&lt;&gt;C$9:C$198)))),J141,)"),"")</f>
        <v/>
      </c>
      <c r="N141" s="122"/>
      <c r="O141" s="33"/>
      <c r="P141" s="143" t="str">
        <f t="shared" si="12"/>
        <v/>
      </c>
      <c r="Q141" s="38" t="str">
        <f>IFERROR(__xludf.DUMMYFUNCTION("""COMPUTED_VALUE"""),"")</f>
        <v/>
      </c>
      <c r="R141" s="144">
        <v>46118.0</v>
      </c>
      <c r="S141" s="167" t="str">
        <f t="shared" si="13"/>
        <v/>
      </c>
      <c r="T141" s="168" t="str">
        <f t="shared" si="319"/>
        <v/>
      </c>
      <c r="U141" s="169" t="str">
        <f t="shared" si="320"/>
        <v/>
      </c>
      <c r="V141" s="172" t="str">
        <f t="shared" si="321"/>
        <v/>
      </c>
      <c r="W141" s="171" t="str">
        <f t="array" ref="W141">IFERROR(IF(Q141="ac"+ISNUMBER(SEARCH("'",V141))+U141="","", IF(ISNUMBER(SEARCH("lw",V141)), I141 + SUBSTITUTE(V141,"lw+",""), MROUND(SWITCH(Q141,"sq",U$7,"bn",V$7,"dl",W$7,"")*IF(V141&gt;10, V141/100, VLOOKUP(V141, _rpe,SUBSTITUTE(U141,"+","")+1,0)), IF( SWITCH(Q141,"sq",U$7,"bn",V$7,"dl", W$7,"")&lt; IF(_uom="lbs", 175, 80), 1.25, IF(_uom="lbs",5,2.5))))), "")</f>
        <v/>
      </c>
      <c r="X141" s="148"/>
      <c r="Y141" s="33"/>
      <c r="Z141" s="171"/>
      <c r="AA141" s="124" t="str">
        <f>IFERROR(__xludf.DUMMYFUNCTION("IF(W141=MAX(FILTER(W$10:W$199,LOOKUP(ROW(Q$10:Q$199),FILTER(ROW(Q$10:Q$199),Q$10:Q$199&lt;&gt;Q$9:Q$198))=LOOKUP(ROW(Q141),FILTER(ROW(Q$10:Q$199),Q$10:Q$199&lt;&gt;Q$9:Q$198)))),X141,)"),"")</f>
        <v/>
      </c>
      <c r="AB141" s="122"/>
      <c r="AC141" s="33"/>
      <c r="AD141" s="143" t="str">
        <f t="shared" si="14"/>
        <v/>
      </c>
      <c r="AE141" s="38" t="str">
        <f>IFERROR(__xludf.DUMMYFUNCTION("""COMPUTED_VALUE"""),"")</f>
        <v/>
      </c>
      <c r="AF141" s="144">
        <v>46125.0</v>
      </c>
      <c r="AG141" s="167" t="str">
        <f t="shared" si="54"/>
        <v/>
      </c>
      <c r="AH141" s="168" t="str">
        <f t="shared" si="322"/>
        <v/>
      </c>
      <c r="AI141" s="169" t="str">
        <f t="shared" si="323"/>
        <v/>
      </c>
      <c r="AJ141" s="172" t="str">
        <f t="shared" si="324"/>
        <v/>
      </c>
      <c r="AK141" s="171" t="str">
        <f t="array" ref="AK141">IFERROR(IF(AE141="ac"+ISNUMBER(SEARCH("'",AJ141))+AI141="","", IF(ISNUMBER(SEARCH("lw",AJ141)), W141 + SUBSTITUTE(AJ141,"lw+",""), MROUND(SWITCH(AE141,"sq",AI$7,"bn",AJ$7,"dl",AK$7,"")*IF(AJ141&gt;10, AJ141/100, VLOOKUP(AJ141, _rpe,SUBSTITUTE(AI141,"+","")+1,0)), IF( SWITCH(AE141,"sq",AI$7,"bn",AJ$7,"dl", AK$7,"")&lt; IF(_uom="lbs", 175, 80), 1.25, IF(_uom="lbs",5,2.5))))), "")</f>
        <v/>
      </c>
      <c r="AL141" s="148"/>
      <c r="AM141" s="33"/>
      <c r="AN141" s="171"/>
      <c r="AO141" s="124" t="str">
        <f>IFERROR(__xludf.DUMMYFUNCTION("IF(AK141=MAX(FILTER(AK$10:AK$199,LOOKUP(ROW(AE$10:AE$199),FILTER(ROW(AE$10:AE$199),AE$10:AE$199&lt;&gt;AE$9:AE$198))=LOOKUP(ROW(AE141),FILTER(ROW(AE$10:AE$199),AE$10:AE$199&lt;&gt;AE$9:AE$198)))),AL141,)"),"")</f>
        <v/>
      </c>
      <c r="AP141" s="122"/>
      <c r="AQ141" s="33"/>
      <c r="AR141" s="143" t="str">
        <f t="shared" si="16"/>
        <v/>
      </c>
      <c r="AS141" s="38" t="str">
        <f>IFERROR(__xludf.DUMMYFUNCTION("""COMPUTED_VALUE"""),"")</f>
        <v/>
      </c>
      <c r="AT141" s="144">
        <v>46132.0</v>
      </c>
      <c r="AU141" s="167" t="str">
        <f t="shared" si="26"/>
        <v/>
      </c>
      <c r="AV141" s="168" t="str">
        <f t="shared" si="325"/>
        <v/>
      </c>
      <c r="AW141" s="169" t="str">
        <f t="shared" si="326"/>
        <v/>
      </c>
      <c r="AX141" s="172" t="str">
        <f t="shared" si="327"/>
        <v/>
      </c>
      <c r="AY141" s="171" t="str">
        <f t="array" ref="AY141">IFERROR(IF(AS141="ac"+ISNUMBER(SEARCH("'",AX141))+AW141="","", IF(ISNUMBER(SEARCH("lw",AX141)), AK141 + SUBSTITUTE(AX141,"lw+",""), MROUND(SWITCH(AS141,"sq",AW$7,"bn",AX$7,"dl",AY$7,"")*IF(AX141&gt;10, AX141/100, VLOOKUP(AX141, _rpe,SUBSTITUTE(AW141,"+","")+1,0)), IF( SWITCH(AS141,"sq",AW$7,"bn",AX$7,"dl", AY$7,"")&lt; IF(_uom="lbs", 175, 80), 1.25, IF(_uom="lbs",5,2.5))))), "")</f>
        <v/>
      </c>
      <c r="AZ141" s="148"/>
      <c r="BA141" s="33"/>
      <c r="BB141" s="171"/>
      <c r="BC141" s="124" t="str">
        <f>IFERROR(__xludf.DUMMYFUNCTION("IF(AY141=MAX(FILTER(AY$10:AY$199,LOOKUP(ROW(AS$10:AS$199),FILTER(ROW(AS$10:AS$199),AS$10:AS$199&lt;&gt;AS$9:AS$198))=LOOKUP(ROW(AS141),FILTER(ROW(AS$10:AS$199),AS$10:AS$199&lt;&gt;AS$9:AS$198)))),AZ141,)"),"")</f>
        <v/>
      </c>
      <c r="BD141" s="122"/>
      <c r="BE141" s="33"/>
      <c r="BF141" s="143" t="str">
        <f t="shared" si="17"/>
        <v/>
      </c>
      <c r="BG141" s="38" t="str">
        <f>IFERROR(__xludf.DUMMYFUNCTION("""COMPUTED_VALUE"""),"")</f>
        <v/>
      </c>
      <c r="BH141" s="144">
        <v>46139.0</v>
      </c>
      <c r="BI141" s="167" t="str">
        <f t="shared" si="18"/>
        <v/>
      </c>
      <c r="BJ141" s="168" t="str">
        <f t="shared" si="328"/>
        <v/>
      </c>
      <c r="BK141" s="169" t="str">
        <f t="shared" si="329"/>
        <v/>
      </c>
      <c r="BL141" s="172" t="str">
        <f t="shared" si="330"/>
        <v/>
      </c>
      <c r="BM141" s="171" t="str">
        <f t="array" ref="BM141">IFERROR(IF(BG141="ac"+ISNUMBER(SEARCH("'",BL141))+BK141="","", IF(ISNUMBER(SEARCH("lw",BL141)), AY141 + SUBSTITUTE(BL141,"lw+",""), MROUND(SWITCH(BG141,"sq",BK$7,"bn",BL$7,"dl",BM$7,"")*IF(BL141&gt;10, BL141/100, VLOOKUP(BL141, _rpe,SUBSTITUTE(BK141,"+","")+1,0)), IF( SWITCH(BG141,"sq",BK$7,"bn",BL$7,"dl", BM$7,"")&lt; IF(_uom="lbs", 175, 80), 1.25, IF(_uom="lbs",5,2.5))))), "")</f>
        <v/>
      </c>
      <c r="BN141" s="148"/>
      <c r="BO141" s="33"/>
      <c r="BP141" s="171"/>
      <c r="BQ141" s="124" t="str">
        <f>IFERROR(__xludf.DUMMYFUNCTION("IF(BM141=MAX(FILTER(BM$10:BM$199,LOOKUP(ROW(BG$10:BG$199),FILTER(ROW(BG$10:BG$199),BG$10:BG$199&lt;&gt;BG$9:BG$198))=LOOKUP(ROW(BG141),FILTER(ROW(BG$10:BG$199),BG$10:BG$199&lt;&gt;BG$9:BG$198)))),BN141,)"),"")</f>
        <v/>
      </c>
      <c r="BR141" s="122"/>
      <c r="BS141" s="33"/>
      <c r="BT141" s="143" t="str">
        <f t="shared" si="19"/>
        <v/>
      </c>
      <c r="BU141" s="38" t="str">
        <f>IFERROR(__xludf.DUMMYFUNCTION("""COMPUTED_VALUE"""),"")</f>
        <v/>
      </c>
      <c r="BV141" s="144">
        <v>46146.0</v>
      </c>
      <c r="BW141" s="167" t="str">
        <f t="shared" si="20"/>
        <v/>
      </c>
      <c r="BX141" s="168" t="str">
        <f t="shared" si="331"/>
        <v/>
      </c>
      <c r="BY141" s="169" t="str">
        <f t="shared" si="332"/>
        <v/>
      </c>
      <c r="BZ141" s="172" t="str">
        <f t="shared" si="333"/>
        <v/>
      </c>
      <c r="CA141" s="171" t="str">
        <f t="array" ref="CA141">IFERROR(IF(BU141="ac"+ISNUMBER(SEARCH("'",BZ141))+BY141="","", IF(ISNUMBER(SEARCH("lw",BZ141)), BM141 + SUBSTITUTE(BZ141,"lw+",""), MROUND(SWITCH(BU141,"sq",BY$7,"bn",BZ$7,"dl",CA$7,"")*IF(BZ141&gt;10, BZ141/100, VLOOKUP(BZ141, _rpe,SUBSTITUTE(BY141,"+","")+1,0)), IF( SWITCH(BU141,"sq",BY$7,"bn",BZ$7,"dl", CA$7,"")&lt; IF(_uom="lbs", 175, 80), 1.25, IF(_uom="lbs",5,2.5))))), "")</f>
        <v/>
      </c>
      <c r="CB141" s="148"/>
      <c r="CC141" s="33"/>
      <c r="CD141" s="171"/>
      <c r="CE141" s="124" t="str">
        <f>IFERROR(__xludf.DUMMYFUNCTION("IF(CA141=MAX(FILTER(CA$10:CA$199,LOOKUP(ROW(BU$10:BU$199),FILTER(ROW(BU$10:BU$199),BU$10:BU$199&lt;&gt;BU$9:BU$198))=LOOKUP(ROW(BU141),FILTER(ROW(BU$10:BU$199),BU$10:BU$199&lt;&gt;BU$9:BU$198)))),CB141,)"),"")</f>
        <v/>
      </c>
      <c r="CF141" s="122"/>
      <c r="CG141" s="33"/>
      <c r="CH141" s="143" t="str">
        <f t="shared" si="21"/>
        <v/>
      </c>
      <c r="CI141" s="38" t="str">
        <f>IFERROR(__xludf.DUMMYFUNCTION("""COMPUTED_VALUE"""),"")</f>
        <v/>
      </c>
      <c r="CJ141" s="144">
        <v>46153.0</v>
      </c>
      <c r="CK141" s="167" t="str">
        <f t="shared" si="27"/>
        <v/>
      </c>
      <c r="CL141" s="168" t="str">
        <f t="shared" si="334"/>
        <v/>
      </c>
      <c r="CM141" s="169" t="str">
        <f t="shared" si="335"/>
        <v/>
      </c>
      <c r="CN141" s="172" t="str">
        <f t="shared" si="336"/>
        <v/>
      </c>
      <c r="CO141" s="171" t="str">
        <f t="array" ref="CO141">IFERROR(IF(CI141="ac"+ISNUMBER(SEARCH("'",CN141))+CM141="","", IF(ISNUMBER(SEARCH("lw",CN141)), CA141 + SUBSTITUTE(CN141,"lw+",""), MROUND(SWITCH(CI141,"sq",CM$7,"bn",CN$7,"dl",CO$7,"")*IF(CN141&gt;10, CN141/100, VLOOKUP(CN141, _rpe,SUBSTITUTE(CM141,"+","")+1,0)), IF( SWITCH(CI141,"sq",CM$7,"bn",CN$7,"dl", CO$7,"")&lt; IF(_uom="lbs", 175, 80), 1.25, IF(_uom="lbs",5,2.5))))), "")</f>
        <v/>
      </c>
      <c r="CP141" s="148"/>
      <c r="CQ141" s="33"/>
      <c r="CR141" s="171"/>
      <c r="CS141" s="124" t="str">
        <f>IFERROR(__xludf.DUMMYFUNCTION("IF(CO141=MAX(FILTER(CO$10:CO$199,LOOKUP(ROW(CI$10:CI$199),FILTER(ROW(CI$10:CI$199),CI$10:CI$199&lt;&gt;CI$9:CI$198))=LOOKUP(ROW(CI141),FILTER(ROW(CI$10:CI$199),CI$10:CI$199&lt;&gt;CI$9:CI$198)))),CP141,)"),"")</f>
        <v/>
      </c>
      <c r="CT141" s="122"/>
      <c r="CU141" s="33"/>
      <c r="CV141" s="143" t="str">
        <f t="shared" si="22"/>
        <v/>
      </c>
      <c r="CW141" s="38" t="str">
        <f>IFERROR(__xludf.DUMMYFUNCTION("""COMPUTED_VALUE"""),"")</f>
        <v/>
      </c>
      <c r="CX141" s="144">
        <v>46160.0</v>
      </c>
      <c r="CY141" s="167" t="str">
        <f t="shared" si="28"/>
        <v/>
      </c>
      <c r="CZ141" s="168" t="str">
        <f t="shared" si="337"/>
        <v/>
      </c>
      <c r="DA141" s="169" t="str">
        <f t="shared" si="338"/>
        <v/>
      </c>
      <c r="DB141" s="172" t="str">
        <f t="shared" si="339"/>
        <v/>
      </c>
      <c r="DC141" s="171" t="str">
        <f t="array" ref="DC141">IFERROR(IF(CW141="ac"+ISNUMBER(SEARCH("'",DB141))+DA141="","", IF(ISNUMBER(SEARCH("lw",DB141)), CO141 + SUBSTITUTE(DB141,"lw+",""), MROUND(SWITCH(CW141,"sq",DA$7,"bn",DB$7,"dl",DC$7,"")*IF(DB141&gt;10, DB141/100, VLOOKUP(DB141, _rpe,SUBSTITUTE(DA141,"+","")+1,0)), IF( SWITCH(CW141,"sq",DA$7,"bn",DB$7,"dl", DC$7,"")&lt; IF(_uom="lbs", 175, 80), 1.25, IF(_uom="lbs",5,2.5))))), "")</f>
        <v/>
      </c>
      <c r="DD141" s="148"/>
      <c r="DE141" s="33"/>
      <c r="DF141" s="171"/>
      <c r="DG141" s="124" t="str">
        <f>IFERROR(__xludf.DUMMYFUNCTION("IF(DC141=MAX(FILTER(DC$10:DC$199,LOOKUP(ROW(CW$10:CW$199),FILTER(ROW(CW$10:CW$199),CW$10:CW$199&lt;&gt;CW$9:CW$198))=LOOKUP(ROW(CW141),FILTER(ROW(CW$10:CW$199),CW$10:CW$199&lt;&gt;CW$9:CW$198)))),DD141,)"),"")</f>
        <v/>
      </c>
      <c r="DH141" s="122"/>
      <c r="DI141" s="33"/>
      <c r="DJ141" s="143" t="str">
        <f t="shared" si="23"/>
        <v/>
      </c>
      <c r="DK141" s="38" t="str">
        <f>IFERROR(__xludf.DUMMYFUNCTION("""COMPUTED_VALUE"""),"")</f>
        <v/>
      </c>
      <c r="DL141" s="144">
        <v>46167.0</v>
      </c>
      <c r="DM141" s="167" t="str">
        <f t="shared" ref="DM141:DN141" si="393">IF(ISBLANK(CY141),"",CY141)</f>
        <v/>
      </c>
      <c r="DN141" s="168" t="str">
        <f t="shared" si="393"/>
        <v/>
      </c>
      <c r="DO141" s="169" t="str">
        <f t="shared" si="341"/>
        <v/>
      </c>
      <c r="DP141" s="172" t="str">
        <f t="shared" si="342"/>
        <v/>
      </c>
      <c r="DQ141" s="171" t="str">
        <f t="array" ref="DQ141">IFERROR(IF(DK141="ac"+ISNUMBER(SEARCH("'",DP141))+DO141="","", IF(ISNUMBER(SEARCH("lw",DP141)), DC141 + SUBSTITUTE(DP141,"lw+",""), MROUND(SWITCH(DK141,"sq",DO$7,"bn",DP$7,"dl",DQ$7,"")*IF(DP141&gt;10, DP141/100, VLOOKUP(DP141, _rpe,SUBSTITUTE(DO141,"+","")+1,0)), IF( SWITCH(DK141,"sq",DO$7,"bn",DP$7,"dl", DQ$7,"")&lt; IF(_uom="lbs", 175, 80), 1.25, IF(_uom="lbs",5,2.5))))), "")</f>
        <v/>
      </c>
      <c r="DR141" s="148"/>
      <c r="DS141" s="33"/>
      <c r="DT141" s="171"/>
      <c r="DU141" s="124" t="str">
        <f>IFERROR(__xludf.DUMMYFUNCTION("IF(DQ141=MAX(FILTER(DQ$10:DQ$199,LOOKUP(ROW(DK$10:DK$199),FILTER(ROW(DK$10:DK$199),DK$10:DK$199&lt;&gt;DK$9:DK$198))=LOOKUP(ROW(DK141),FILTER(ROW(DK$10:DK$199),DK$10:DK$199&lt;&gt;DK$9:DK$198)))),DR141,)"),"")</f>
        <v/>
      </c>
      <c r="DV141" s="122"/>
      <c r="DW141" s="33"/>
      <c r="DX141" s="143"/>
      <c r="DY141" s="38"/>
      <c r="DZ141" s="144"/>
      <c r="EA141" s="150"/>
      <c r="EB141" s="174"/>
      <c r="EC141" s="175"/>
      <c r="ED141" s="176"/>
      <c r="EE141" s="155"/>
      <c r="EF141" s="148"/>
      <c r="EG141" s="33"/>
      <c r="EH141" s="155"/>
      <c r="EI141" s="148"/>
      <c r="EJ141" s="33"/>
      <c r="EK141" s="33"/>
      <c r="EL141" s="143"/>
      <c r="EM141" s="38"/>
      <c r="EN141" s="144"/>
      <c r="EO141" s="150"/>
      <c r="EP141" s="174"/>
      <c r="EQ141" s="175"/>
      <c r="ER141" s="176"/>
      <c r="ES141" s="155"/>
      <c r="ET141" s="148"/>
      <c r="EU141" s="33"/>
      <c r="EV141" s="155"/>
      <c r="EW141" s="148"/>
      <c r="EX141" s="33"/>
      <c r="EY141" s="33"/>
      <c r="EZ141" s="143"/>
      <c r="FA141" s="38"/>
      <c r="FB141" s="144"/>
      <c r="FC141" s="150"/>
      <c r="FD141" s="174"/>
      <c r="FE141" s="175"/>
      <c r="FF141" s="176"/>
      <c r="FG141" s="155"/>
      <c r="FH141" s="148"/>
      <c r="FI141" s="33"/>
      <c r="FJ141" s="155"/>
      <c r="FK141" s="148"/>
      <c r="FL141" s="33"/>
      <c r="FM141" s="33"/>
      <c r="FN141" s="143"/>
      <c r="FO141" s="38"/>
      <c r="FP141" s="144"/>
      <c r="FQ141" s="150"/>
      <c r="FR141" s="174"/>
      <c r="FS141" s="175"/>
      <c r="FT141" s="176"/>
      <c r="FU141" s="155"/>
      <c r="FV141" s="148"/>
      <c r="FW141" s="33"/>
      <c r="FX141" s="155"/>
      <c r="FY141" s="148"/>
      <c r="FZ141" s="33"/>
      <c r="GA141" s="33"/>
      <c r="GB141" s="143"/>
      <c r="GC141" s="38"/>
      <c r="GD141" s="144"/>
      <c r="GE141" s="150"/>
      <c r="GF141" s="174"/>
      <c r="GG141" s="175"/>
      <c r="GH141" s="176"/>
      <c r="GI141" s="155"/>
      <c r="GJ141" s="148"/>
      <c r="GK141" s="33"/>
      <c r="GL141" s="155"/>
      <c r="GM141" s="148"/>
      <c r="GN141" s="33"/>
      <c r="GO141" s="33"/>
      <c r="GP141" s="143"/>
      <c r="GQ141" s="38"/>
      <c r="GR141" s="144"/>
      <c r="GS141" s="150"/>
      <c r="GT141" s="174"/>
      <c r="GU141" s="175"/>
      <c r="GV141" s="176"/>
      <c r="GW141" s="155"/>
      <c r="GX141" s="148"/>
      <c r="GY141" s="33"/>
      <c r="GZ141" s="155"/>
      <c r="HA141" s="148"/>
      <c r="HB141" s="33"/>
      <c r="HC141" s="33"/>
      <c r="HD141" s="143"/>
      <c r="HE141" s="38"/>
      <c r="HF141" s="144"/>
      <c r="HG141" s="150"/>
      <c r="HH141" s="174"/>
      <c r="HI141" s="175"/>
      <c r="HJ141" s="176"/>
      <c r="HK141" s="155"/>
      <c r="HL141" s="148"/>
      <c r="HM141" s="33"/>
      <c r="HN141" s="155"/>
      <c r="HO141" s="148"/>
      <c r="HP141" s="33"/>
      <c r="HQ141" s="33"/>
      <c r="HR141" s="143"/>
      <c r="HS141" s="38"/>
      <c r="HT141" s="144"/>
      <c r="HU141" s="150"/>
      <c r="HV141" s="174"/>
      <c r="HW141" s="175"/>
      <c r="HX141" s="176"/>
      <c r="HY141" s="155"/>
      <c r="HZ141" s="148"/>
      <c r="IA141" s="33"/>
      <c r="IB141" s="155"/>
      <c r="IC141" s="148"/>
      <c r="ID141" s="33"/>
      <c r="IE141" s="33"/>
      <c r="IF141" s="143"/>
      <c r="IG141" s="38"/>
      <c r="IH141" s="144"/>
      <c r="II141" s="150"/>
      <c r="IJ141" s="174"/>
      <c r="IK141" s="175"/>
      <c r="IL141" s="176"/>
      <c r="IM141" s="155"/>
      <c r="IN141" s="148"/>
      <c r="IO141" s="33"/>
      <c r="IP141" s="155"/>
      <c r="IQ141" s="148"/>
      <c r="IR141" s="33"/>
      <c r="IS141" s="33"/>
      <c r="IT141" s="143"/>
      <c r="IU141" s="38"/>
      <c r="IV141" s="144"/>
      <c r="IW141" s="143"/>
      <c r="IX141" s="38"/>
      <c r="IY141" s="144" t="e">
        <v>#REF!</v>
      </c>
    </row>
    <row r="142">
      <c r="A142" s="33"/>
      <c r="B142" s="181"/>
      <c r="C142" s="38" t="str">
        <f>IFERROR(__xludf.DUMMYFUNCTION("""COMPUTED_VALUE"""),"")</f>
        <v/>
      </c>
      <c r="D142" s="144">
        <v>46111.0</v>
      </c>
      <c r="E142" s="182"/>
      <c r="F142" s="168"/>
      <c r="G142" s="169"/>
      <c r="H142" s="170"/>
      <c r="I142" s="171" t="str">
        <f t="array" ref="I142">IFERROR(IF(C142="ac"+ISNUMBER(SEARCH("'",H142))+G142="","", MROUND(SWITCH(C142,"sq",'Personal Info'!$O$15,"bn",'Personal Info'!$S$15,"dl",'Personal Info'!$W$15,"")*IF(H142&gt;10, H142/100, VLOOKUP(H142, _rpe,SUBSTITUTE(G142,"+","")+1,0)), IF( SWITCH(C142:C210,"sq",'Personal Info'!$O$15,"bn",'Personal Info'!$S$15,"dl", 'Personal Info'!$W$15,"")&lt; IF(_uom="lbs", 175, 80), 1.25, IF(_uom="lbs",5,2.5)))),"")</f>
        <v/>
      </c>
      <c r="J142" s="148"/>
      <c r="K142" s="33"/>
      <c r="L142" s="171"/>
      <c r="M142" s="124" t="str">
        <f>IFERROR(__xludf.DUMMYFUNCTION("IF(I142=MAX(FILTER(I$10:I$199,LOOKUP(ROW(C$10:C$199),FILTER(ROW(C$10:C$199),C$10:C$199&lt;&gt;C$9:C$198))=LOOKUP(ROW(C142),FILTER(ROW(C$10:C$199),C$10:C$199&lt;&gt;C$9:C$198)))),J142,)"),"")</f>
        <v/>
      </c>
      <c r="N142" s="122"/>
      <c r="O142" s="33"/>
      <c r="P142" s="143" t="str">
        <f t="shared" si="12"/>
        <v/>
      </c>
      <c r="Q142" s="38" t="str">
        <f>IFERROR(__xludf.DUMMYFUNCTION("""COMPUTED_VALUE"""),"")</f>
        <v/>
      </c>
      <c r="R142" s="144">
        <v>46118.0</v>
      </c>
      <c r="S142" s="167" t="str">
        <f t="shared" si="13"/>
        <v/>
      </c>
      <c r="T142" s="168" t="str">
        <f t="shared" si="319"/>
        <v/>
      </c>
      <c r="U142" s="169" t="str">
        <f t="shared" si="320"/>
        <v/>
      </c>
      <c r="V142" s="172" t="str">
        <f t="shared" si="321"/>
        <v/>
      </c>
      <c r="W142" s="171" t="str">
        <f t="array" ref="W142">IFERROR(IF(Q142="ac"+ISNUMBER(SEARCH("'",V142))+U142="","", IF(ISNUMBER(SEARCH("lw",V142)), I142 + SUBSTITUTE(V142,"lw+",""), MROUND(SWITCH(Q142,"sq",U$7,"bn",V$7,"dl",W$7,"")*IF(V142&gt;10, V142/100, VLOOKUP(V142, _rpe,SUBSTITUTE(U142,"+","")+1,0)), IF( SWITCH(Q142,"sq",U$7,"bn",V$7,"dl", W$7,"")&lt; IF(_uom="lbs", 175, 80), 1.25, IF(_uom="lbs",5,2.5))))), "")</f>
        <v/>
      </c>
      <c r="X142" s="148"/>
      <c r="Y142" s="33"/>
      <c r="Z142" s="171"/>
      <c r="AA142" s="124" t="str">
        <f>IFERROR(__xludf.DUMMYFUNCTION("IF(W142=MAX(FILTER(W$10:W$199,LOOKUP(ROW(Q$10:Q$199),FILTER(ROW(Q$10:Q$199),Q$10:Q$199&lt;&gt;Q$9:Q$198))=LOOKUP(ROW(Q142),FILTER(ROW(Q$10:Q$199),Q$10:Q$199&lt;&gt;Q$9:Q$198)))),X142,)"),"")</f>
        <v/>
      </c>
      <c r="AB142" s="122"/>
      <c r="AC142" s="33"/>
      <c r="AD142" s="143" t="str">
        <f t="shared" si="14"/>
        <v/>
      </c>
      <c r="AE142" s="38" t="str">
        <f>IFERROR(__xludf.DUMMYFUNCTION("""COMPUTED_VALUE"""),"")</f>
        <v/>
      </c>
      <c r="AF142" s="144">
        <v>46125.0</v>
      </c>
      <c r="AG142" s="167" t="str">
        <f t="shared" si="54"/>
        <v/>
      </c>
      <c r="AH142" s="168" t="str">
        <f t="shared" si="322"/>
        <v/>
      </c>
      <c r="AI142" s="169" t="str">
        <f t="shared" si="323"/>
        <v/>
      </c>
      <c r="AJ142" s="172" t="str">
        <f t="shared" si="324"/>
        <v/>
      </c>
      <c r="AK142" s="171" t="str">
        <f t="array" ref="AK142">IFERROR(IF(AE142="ac"+ISNUMBER(SEARCH("'",AJ142))+AI142="","", IF(ISNUMBER(SEARCH("lw",AJ142)), W142 + SUBSTITUTE(AJ142,"lw+",""), MROUND(SWITCH(AE142,"sq",AI$7,"bn",AJ$7,"dl",AK$7,"")*IF(AJ142&gt;10, AJ142/100, VLOOKUP(AJ142, _rpe,SUBSTITUTE(AI142,"+","")+1,0)), IF( SWITCH(AE142,"sq",AI$7,"bn",AJ$7,"dl", AK$7,"")&lt; IF(_uom="lbs", 175, 80), 1.25, IF(_uom="lbs",5,2.5))))), "")</f>
        <v/>
      </c>
      <c r="AL142" s="148"/>
      <c r="AM142" s="33"/>
      <c r="AN142" s="171"/>
      <c r="AO142" s="124" t="str">
        <f>IFERROR(__xludf.DUMMYFUNCTION("IF(AK142=MAX(FILTER(AK$10:AK$199,LOOKUP(ROW(AE$10:AE$199),FILTER(ROW(AE$10:AE$199),AE$10:AE$199&lt;&gt;AE$9:AE$198))=LOOKUP(ROW(AE142),FILTER(ROW(AE$10:AE$199),AE$10:AE$199&lt;&gt;AE$9:AE$198)))),AL142,)"),"")</f>
        <v/>
      </c>
      <c r="AP142" s="122"/>
      <c r="AQ142" s="33"/>
      <c r="AR142" s="143" t="str">
        <f t="shared" si="16"/>
        <v/>
      </c>
      <c r="AS142" s="38" t="str">
        <f>IFERROR(__xludf.DUMMYFUNCTION("""COMPUTED_VALUE"""),"")</f>
        <v/>
      </c>
      <c r="AT142" s="144">
        <v>46132.0</v>
      </c>
      <c r="AU142" s="167" t="str">
        <f t="shared" si="26"/>
        <v/>
      </c>
      <c r="AV142" s="168" t="str">
        <f t="shared" si="325"/>
        <v/>
      </c>
      <c r="AW142" s="169" t="str">
        <f t="shared" si="326"/>
        <v/>
      </c>
      <c r="AX142" s="172" t="str">
        <f t="shared" si="327"/>
        <v/>
      </c>
      <c r="AY142" s="171" t="str">
        <f t="array" ref="AY142">IFERROR(IF(AS142="ac"+ISNUMBER(SEARCH("'",AX142))+AW142="","", IF(ISNUMBER(SEARCH("lw",AX142)), AK142 + SUBSTITUTE(AX142,"lw+",""), MROUND(SWITCH(AS142,"sq",AW$7,"bn",AX$7,"dl",AY$7,"")*IF(AX142&gt;10, AX142/100, VLOOKUP(AX142, _rpe,SUBSTITUTE(AW142,"+","")+1,0)), IF( SWITCH(AS142,"sq",AW$7,"bn",AX$7,"dl", AY$7,"")&lt; IF(_uom="lbs", 175, 80), 1.25, IF(_uom="lbs",5,2.5))))), "")</f>
        <v/>
      </c>
      <c r="AZ142" s="148"/>
      <c r="BA142" s="33"/>
      <c r="BB142" s="171"/>
      <c r="BC142" s="124" t="str">
        <f>IFERROR(__xludf.DUMMYFUNCTION("IF(AY142=MAX(FILTER(AY$10:AY$199,LOOKUP(ROW(AS$10:AS$199),FILTER(ROW(AS$10:AS$199),AS$10:AS$199&lt;&gt;AS$9:AS$198))=LOOKUP(ROW(AS142),FILTER(ROW(AS$10:AS$199),AS$10:AS$199&lt;&gt;AS$9:AS$198)))),AZ142,)"),"")</f>
        <v/>
      </c>
      <c r="BD142" s="122"/>
      <c r="BE142" s="33"/>
      <c r="BF142" s="143" t="str">
        <f t="shared" si="17"/>
        <v/>
      </c>
      <c r="BG142" s="38" t="str">
        <f>IFERROR(__xludf.DUMMYFUNCTION("""COMPUTED_VALUE"""),"")</f>
        <v/>
      </c>
      <c r="BH142" s="144">
        <v>46139.0</v>
      </c>
      <c r="BI142" s="167" t="str">
        <f t="shared" si="18"/>
        <v/>
      </c>
      <c r="BJ142" s="168" t="str">
        <f t="shared" si="328"/>
        <v/>
      </c>
      <c r="BK142" s="169" t="str">
        <f t="shared" si="329"/>
        <v/>
      </c>
      <c r="BL142" s="172" t="str">
        <f t="shared" si="330"/>
        <v/>
      </c>
      <c r="BM142" s="171" t="str">
        <f t="array" ref="BM142">IFERROR(IF(BG142="ac"+ISNUMBER(SEARCH("'",BL142))+BK142="","", IF(ISNUMBER(SEARCH("lw",BL142)), AY142 + SUBSTITUTE(BL142,"lw+",""), MROUND(SWITCH(BG142,"sq",BK$7,"bn",BL$7,"dl",BM$7,"")*IF(BL142&gt;10, BL142/100, VLOOKUP(BL142, _rpe,SUBSTITUTE(BK142,"+","")+1,0)), IF( SWITCH(BG142,"sq",BK$7,"bn",BL$7,"dl", BM$7,"")&lt; IF(_uom="lbs", 175, 80), 1.25, IF(_uom="lbs",5,2.5))))), "")</f>
        <v/>
      </c>
      <c r="BN142" s="148"/>
      <c r="BO142" s="33"/>
      <c r="BP142" s="171"/>
      <c r="BQ142" s="124" t="str">
        <f>IFERROR(__xludf.DUMMYFUNCTION("IF(BM142=MAX(FILTER(BM$10:BM$199,LOOKUP(ROW(BG$10:BG$199),FILTER(ROW(BG$10:BG$199),BG$10:BG$199&lt;&gt;BG$9:BG$198))=LOOKUP(ROW(BG142),FILTER(ROW(BG$10:BG$199),BG$10:BG$199&lt;&gt;BG$9:BG$198)))),BN142,)"),"")</f>
        <v/>
      </c>
      <c r="BR142" s="122"/>
      <c r="BS142" s="33"/>
      <c r="BT142" s="143" t="str">
        <f t="shared" si="19"/>
        <v/>
      </c>
      <c r="BU142" s="38" t="str">
        <f>IFERROR(__xludf.DUMMYFUNCTION("""COMPUTED_VALUE"""),"")</f>
        <v/>
      </c>
      <c r="BV142" s="144">
        <v>46146.0</v>
      </c>
      <c r="BW142" s="167" t="str">
        <f t="shared" si="20"/>
        <v/>
      </c>
      <c r="BX142" s="168" t="str">
        <f t="shared" si="331"/>
        <v/>
      </c>
      <c r="BY142" s="169" t="str">
        <f t="shared" si="332"/>
        <v/>
      </c>
      <c r="BZ142" s="172" t="str">
        <f t="shared" si="333"/>
        <v/>
      </c>
      <c r="CA142" s="171" t="str">
        <f t="array" ref="CA142">IFERROR(IF(BU142="ac"+ISNUMBER(SEARCH("'",BZ142))+BY142="","", IF(ISNUMBER(SEARCH("lw",BZ142)), BM142 + SUBSTITUTE(BZ142,"lw+",""), MROUND(SWITCH(BU142,"sq",BY$7,"bn",BZ$7,"dl",CA$7,"")*IF(BZ142&gt;10, BZ142/100, VLOOKUP(BZ142, _rpe,SUBSTITUTE(BY142,"+","")+1,0)), IF( SWITCH(BU142,"sq",BY$7,"bn",BZ$7,"dl", CA$7,"")&lt; IF(_uom="lbs", 175, 80), 1.25, IF(_uom="lbs",5,2.5))))), "")</f>
        <v/>
      </c>
      <c r="CB142" s="148"/>
      <c r="CC142" s="33"/>
      <c r="CD142" s="171"/>
      <c r="CE142" s="124" t="str">
        <f>IFERROR(__xludf.DUMMYFUNCTION("IF(CA142=MAX(FILTER(CA$10:CA$199,LOOKUP(ROW(BU$10:BU$199),FILTER(ROW(BU$10:BU$199),BU$10:BU$199&lt;&gt;BU$9:BU$198))=LOOKUP(ROW(BU142),FILTER(ROW(BU$10:BU$199),BU$10:BU$199&lt;&gt;BU$9:BU$198)))),CB142,)"),"")</f>
        <v/>
      </c>
      <c r="CF142" s="122"/>
      <c r="CG142" s="33"/>
      <c r="CH142" s="143" t="str">
        <f t="shared" si="21"/>
        <v/>
      </c>
      <c r="CI142" s="38" t="str">
        <f>IFERROR(__xludf.DUMMYFUNCTION("""COMPUTED_VALUE"""),"")</f>
        <v/>
      </c>
      <c r="CJ142" s="144">
        <v>46153.0</v>
      </c>
      <c r="CK142" s="167" t="str">
        <f t="shared" si="27"/>
        <v/>
      </c>
      <c r="CL142" s="168" t="str">
        <f t="shared" si="334"/>
        <v/>
      </c>
      <c r="CM142" s="169" t="str">
        <f t="shared" si="335"/>
        <v/>
      </c>
      <c r="CN142" s="172" t="str">
        <f t="shared" si="336"/>
        <v/>
      </c>
      <c r="CO142" s="171" t="str">
        <f t="array" ref="CO142">IFERROR(IF(CI142="ac"+ISNUMBER(SEARCH("'",CN142))+CM142="","", IF(ISNUMBER(SEARCH("lw",CN142)), CA142 + SUBSTITUTE(CN142,"lw+",""), MROUND(SWITCH(CI142,"sq",CM$7,"bn",CN$7,"dl",CO$7,"")*IF(CN142&gt;10, CN142/100, VLOOKUP(CN142, _rpe,SUBSTITUTE(CM142,"+","")+1,0)), IF( SWITCH(CI142,"sq",CM$7,"bn",CN$7,"dl", CO$7,"")&lt; IF(_uom="lbs", 175, 80), 1.25, IF(_uom="lbs",5,2.5))))), "")</f>
        <v/>
      </c>
      <c r="CP142" s="148"/>
      <c r="CQ142" s="33"/>
      <c r="CR142" s="171"/>
      <c r="CS142" s="124" t="str">
        <f>IFERROR(__xludf.DUMMYFUNCTION("IF(CO142=MAX(FILTER(CO$10:CO$199,LOOKUP(ROW(CI$10:CI$199),FILTER(ROW(CI$10:CI$199),CI$10:CI$199&lt;&gt;CI$9:CI$198))=LOOKUP(ROW(CI142),FILTER(ROW(CI$10:CI$199),CI$10:CI$199&lt;&gt;CI$9:CI$198)))),CP142,)"),"")</f>
        <v/>
      </c>
      <c r="CT142" s="122"/>
      <c r="CU142" s="33"/>
      <c r="CV142" s="143" t="str">
        <f t="shared" si="22"/>
        <v/>
      </c>
      <c r="CW142" s="38" t="str">
        <f>IFERROR(__xludf.DUMMYFUNCTION("""COMPUTED_VALUE"""),"")</f>
        <v/>
      </c>
      <c r="CX142" s="144">
        <v>46160.0</v>
      </c>
      <c r="CY142" s="167" t="str">
        <f t="shared" si="28"/>
        <v/>
      </c>
      <c r="CZ142" s="168" t="str">
        <f t="shared" si="337"/>
        <v/>
      </c>
      <c r="DA142" s="169" t="str">
        <f t="shared" si="338"/>
        <v/>
      </c>
      <c r="DB142" s="172" t="str">
        <f t="shared" si="339"/>
        <v/>
      </c>
      <c r="DC142" s="171" t="str">
        <f t="array" ref="DC142">IFERROR(IF(CW142="ac"+ISNUMBER(SEARCH("'",DB142))+DA142="","", IF(ISNUMBER(SEARCH("lw",DB142)), CO142 + SUBSTITUTE(DB142,"lw+",""), MROUND(SWITCH(CW142,"sq",DA$7,"bn",DB$7,"dl",DC$7,"")*IF(DB142&gt;10, DB142/100, VLOOKUP(DB142, _rpe,SUBSTITUTE(DA142,"+","")+1,0)), IF( SWITCH(CW142,"sq",DA$7,"bn",DB$7,"dl", DC$7,"")&lt; IF(_uom="lbs", 175, 80), 1.25, IF(_uom="lbs",5,2.5))))), "")</f>
        <v/>
      </c>
      <c r="DD142" s="148"/>
      <c r="DE142" s="33"/>
      <c r="DF142" s="171"/>
      <c r="DG142" s="124" t="str">
        <f>IFERROR(__xludf.DUMMYFUNCTION("IF(DC142=MAX(FILTER(DC$10:DC$199,LOOKUP(ROW(CW$10:CW$199),FILTER(ROW(CW$10:CW$199),CW$10:CW$199&lt;&gt;CW$9:CW$198))=LOOKUP(ROW(CW142),FILTER(ROW(CW$10:CW$199),CW$10:CW$199&lt;&gt;CW$9:CW$198)))),DD142,)"),"")</f>
        <v/>
      </c>
      <c r="DH142" s="122"/>
      <c r="DI142" s="33"/>
      <c r="DJ142" s="143" t="str">
        <f t="shared" si="23"/>
        <v/>
      </c>
      <c r="DK142" s="38" t="str">
        <f>IFERROR(__xludf.DUMMYFUNCTION("""COMPUTED_VALUE"""),"")</f>
        <v/>
      </c>
      <c r="DL142" s="144">
        <v>46167.0</v>
      </c>
      <c r="DM142" s="167" t="str">
        <f t="shared" ref="DM142:DN142" si="394">IF(ISBLANK(CY142),"",CY142)</f>
        <v/>
      </c>
      <c r="DN142" s="168" t="str">
        <f t="shared" si="394"/>
        <v/>
      </c>
      <c r="DO142" s="169" t="str">
        <f t="shared" si="341"/>
        <v/>
      </c>
      <c r="DP142" s="172" t="str">
        <f t="shared" si="342"/>
        <v/>
      </c>
      <c r="DQ142" s="171" t="str">
        <f t="array" ref="DQ142">IFERROR(IF(DK142="ac"+ISNUMBER(SEARCH("'",DP142))+DO142="","", IF(ISNUMBER(SEARCH("lw",DP142)), DC142 + SUBSTITUTE(DP142,"lw+",""), MROUND(SWITCH(DK142,"sq",DO$7,"bn",DP$7,"dl",DQ$7,"")*IF(DP142&gt;10, DP142/100, VLOOKUP(DP142, _rpe,SUBSTITUTE(DO142,"+","")+1,0)), IF( SWITCH(DK142,"sq",DO$7,"bn",DP$7,"dl", DQ$7,"")&lt; IF(_uom="lbs", 175, 80), 1.25, IF(_uom="lbs",5,2.5))))), "")</f>
        <v/>
      </c>
      <c r="DR142" s="148"/>
      <c r="DS142" s="33"/>
      <c r="DT142" s="171"/>
      <c r="DU142" s="124" t="str">
        <f>IFERROR(__xludf.DUMMYFUNCTION("IF(DQ142=MAX(FILTER(DQ$10:DQ$199,LOOKUP(ROW(DK$10:DK$199),FILTER(ROW(DK$10:DK$199),DK$10:DK$199&lt;&gt;DK$9:DK$198))=LOOKUP(ROW(DK142),FILTER(ROW(DK$10:DK$199),DK$10:DK$199&lt;&gt;DK$9:DK$198)))),DR142,)"),"")</f>
        <v/>
      </c>
      <c r="DV142" s="122"/>
      <c r="DW142" s="33"/>
      <c r="DX142" s="143"/>
      <c r="DY142" s="38"/>
      <c r="DZ142" s="144"/>
      <c r="EA142" s="150"/>
      <c r="EB142" s="174"/>
      <c r="EC142" s="175"/>
      <c r="ED142" s="176"/>
      <c r="EE142" s="155"/>
      <c r="EF142" s="148"/>
      <c r="EG142" s="33"/>
      <c r="EH142" s="155"/>
      <c r="EI142" s="148"/>
      <c r="EJ142" s="33"/>
      <c r="EK142" s="33"/>
      <c r="EL142" s="143"/>
      <c r="EM142" s="38"/>
      <c r="EN142" s="144"/>
      <c r="EO142" s="150"/>
      <c r="EP142" s="174"/>
      <c r="EQ142" s="175"/>
      <c r="ER142" s="176"/>
      <c r="ES142" s="155"/>
      <c r="ET142" s="148"/>
      <c r="EU142" s="33"/>
      <c r="EV142" s="155"/>
      <c r="EW142" s="148"/>
      <c r="EX142" s="33"/>
      <c r="EY142" s="33"/>
      <c r="EZ142" s="143"/>
      <c r="FA142" s="38"/>
      <c r="FB142" s="144"/>
      <c r="FC142" s="150"/>
      <c r="FD142" s="174"/>
      <c r="FE142" s="175"/>
      <c r="FF142" s="176"/>
      <c r="FG142" s="155"/>
      <c r="FH142" s="148"/>
      <c r="FI142" s="33"/>
      <c r="FJ142" s="155"/>
      <c r="FK142" s="148"/>
      <c r="FL142" s="33"/>
      <c r="FM142" s="33"/>
      <c r="FN142" s="143"/>
      <c r="FO142" s="38"/>
      <c r="FP142" s="144"/>
      <c r="FQ142" s="150"/>
      <c r="FR142" s="174"/>
      <c r="FS142" s="175"/>
      <c r="FT142" s="176"/>
      <c r="FU142" s="155"/>
      <c r="FV142" s="148"/>
      <c r="FW142" s="33"/>
      <c r="FX142" s="155"/>
      <c r="FY142" s="148"/>
      <c r="FZ142" s="33"/>
      <c r="GA142" s="33"/>
      <c r="GB142" s="143"/>
      <c r="GC142" s="38"/>
      <c r="GD142" s="144"/>
      <c r="GE142" s="150"/>
      <c r="GF142" s="174"/>
      <c r="GG142" s="175"/>
      <c r="GH142" s="176"/>
      <c r="GI142" s="155"/>
      <c r="GJ142" s="148"/>
      <c r="GK142" s="33"/>
      <c r="GL142" s="155"/>
      <c r="GM142" s="148"/>
      <c r="GN142" s="33"/>
      <c r="GO142" s="33"/>
      <c r="GP142" s="143"/>
      <c r="GQ142" s="38"/>
      <c r="GR142" s="144"/>
      <c r="GS142" s="150"/>
      <c r="GT142" s="174"/>
      <c r="GU142" s="175"/>
      <c r="GV142" s="176"/>
      <c r="GW142" s="155"/>
      <c r="GX142" s="148"/>
      <c r="GY142" s="33"/>
      <c r="GZ142" s="155"/>
      <c r="HA142" s="148"/>
      <c r="HB142" s="33"/>
      <c r="HC142" s="33"/>
      <c r="HD142" s="143"/>
      <c r="HE142" s="38"/>
      <c r="HF142" s="144"/>
      <c r="HG142" s="150"/>
      <c r="HH142" s="174"/>
      <c r="HI142" s="175"/>
      <c r="HJ142" s="176"/>
      <c r="HK142" s="155"/>
      <c r="HL142" s="148"/>
      <c r="HM142" s="33"/>
      <c r="HN142" s="155"/>
      <c r="HO142" s="148"/>
      <c r="HP142" s="33"/>
      <c r="HQ142" s="33"/>
      <c r="HR142" s="143"/>
      <c r="HS142" s="38"/>
      <c r="HT142" s="144"/>
      <c r="HU142" s="150"/>
      <c r="HV142" s="174"/>
      <c r="HW142" s="175"/>
      <c r="HX142" s="176"/>
      <c r="HY142" s="155"/>
      <c r="HZ142" s="148"/>
      <c r="IA142" s="33"/>
      <c r="IB142" s="155"/>
      <c r="IC142" s="148"/>
      <c r="ID142" s="33"/>
      <c r="IE142" s="33"/>
      <c r="IF142" s="143"/>
      <c r="IG142" s="38"/>
      <c r="IH142" s="144"/>
      <c r="II142" s="150"/>
      <c r="IJ142" s="174"/>
      <c r="IK142" s="175"/>
      <c r="IL142" s="176"/>
      <c r="IM142" s="155"/>
      <c r="IN142" s="148"/>
      <c r="IO142" s="33"/>
      <c r="IP142" s="155"/>
      <c r="IQ142" s="148"/>
      <c r="IR142" s="33"/>
      <c r="IS142" s="33"/>
      <c r="IT142" s="143"/>
      <c r="IU142" s="38"/>
      <c r="IV142" s="144"/>
      <c r="IW142" s="143"/>
      <c r="IX142" s="38"/>
      <c r="IY142" s="144" t="e">
        <v>#REF!</v>
      </c>
    </row>
    <row r="143">
      <c r="A143" s="33"/>
      <c r="B143" s="181"/>
      <c r="C143" s="38" t="str">
        <f>IFERROR(__xludf.DUMMYFUNCTION("""COMPUTED_VALUE"""),"")</f>
        <v/>
      </c>
      <c r="D143" s="144">
        <v>46111.0</v>
      </c>
      <c r="E143" s="182"/>
      <c r="F143" s="168"/>
      <c r="G143" s="169"/>
      <c r="H143" s="170"/>
      <c r="I143" s="171" t="str">
        <f t="array" ref="I143">IFERROR(IF(C143="ac"+ISNUMBER(SEARCH("'",H143))+G143="","", MROUND(SWITCH(C143,"sq",'Personal Info'!$O$15,"bn",'Personal Info'!$S$15,"dl",'Personal Info'!$W$15,"")*IF(H143&gt;10, H143/100, VLOOKUP(H143, _rpe,SUBSTITUTE(G143,"+","")+1,0)), IF( SWITCH(C143:C210,"sq",'Personal Info'!$O$15,"bn",'Personal Info'!$S$15,"dl", 'Personal Info'!$W$15,"")&lt; IF(_uom="lbs", 175, 80), 1.25, IF(_uom="lbs",5,2.5)))),"")</f>
        <v/>
      </c>
      <c r="J143" s="148"/>
      <c r="K143" s="33"/>
      <c r="L143" s="171"/>
      <c r="M143" s="124" t="str">
        <f>IFERROR(__xludf.DUMMYFUNCTION("IF(I143=MAX(FILTER(I$10:I$199,LOOKUP(ROW(C$10:C$199),FILTER(ROW(C$10:C$199),C$10:C$199&lt;&gt;C$9:C$198))=LOOKUP(ROW(C143),FILTER(ROW(C$10:C$199),C$10:C$199&lt;&gt;C$9:C$198)))),J143,)"),"")</f>
        <v/>
      </c>
      <c r="N143" s="122"/>
      <c r="O143" s="33"/>
      <c r="P143" s="143" t="str">
        <f t="shared" si="12"/>
        <v/>
      </c>
      <c r="Q143" s="38" t="str">
        <f>IFERROR(__xludf.DUMMYFUNCTION("""COMPUTED_VALUE"""),"")</f>
        <v/>
      </c>
      <c r="R143" s="144">
        <v>46118.0</v>
      </c>
      <c r="S143" s="167" t="str">
        <f t="shared" si="13"/>
        <v/>
      </c>
      <c r="T143" s="168" t="str">
        <f t="shared" si="319"/>
        <v/>
      </c>
      <c r="U143" s="169" t="str">
        <f t="shared" si="320"/>
        <v/>
      </c>
      <c r="V143" s="172" t="str">
        <f t="shared" si="321"/>
        <v/>
      </c>
      <c r="W143" s="171" t="str">
        <f t="array" ref="W143">IFERROR(IF(Q143="ac"+ISNUMBER(SEARCH("'",V143))+U143="","", IF(ISNUMBER(SEARCH("lw",V143)), I143 + SUBSTITUTE(V143,"lw+",""), MROUND(SWITCH(Q143,"sq",U$7,"bn",V$7,"dl",W$7,"")*IF(V143&gt;10, V143/100, VLOOKUP(V143, _rpe,SUBSTITUTE(U143,"+","")+1,0)), IF( SWITCH(Q143,"sq",U$7,"bn",V$7,"dl", W$7,"")&lt; IF(_uom="lbs", 175, 80), 1.25, IF(_uom="lbs",5,2.5))))), "")</f>
        <v/>
      </c>
      <c r="X143" s="148"/>
      <c r="Y143" s="33"/>
      <c r="Z143" s="171"/>
      <c r="AA143" s="124" t="str">
        <f>IFERROR(__xludf.DUMMYFUNCTION("IF(W143=MAX(FILTER(W$10:W$199,LOOKUP(ROW(Q$10:Q$199),FILTER(ROW(Q$10:Q$199),Q$10:Q$199&lt;&gt;Q$9:Q$198))=LOOKUP(ROW(Q143),FILTER(ROW(Q$10:Q$199),Q$10:Q$199&lt;&gt;Q$9:Q$198)))),X143,)"),"")</f>
        <v/>
      </c>
      <c r="AB143" s="122"/>
      <c r="AC143" s="33"/>
      <c r="AD143" s="143" t="str">
        <f t="shared" si="14"/>
        <v/>
      </c>
      <c r="AE143" s="38" t="str">
        <f>IFERROR(__xludf.DUMMYFUNCTION("""COMPUTED_VALUE"""),"")</f>
        <v/>
      </c>
      <c r="AF143" s="144">
        <v>46125.0</v>
      </c>
      <c r="AG143" s="167" t="str">
        <f t="shared" si="54"/>
        <v/>
      </c>
      <c r="AH143" s="168" t="str">
        <f t="shared" si="322"/>
        <v/>
      </c>
      <c r="AI143" s="169" t="str">
        <f t="shared" si="323"/>
        <v/>
      </c>
      <c r="AJ143" s="172" t="str">
        <f t="shared" si="324"/>
        <v/>
      </c>
      <c r="AK143" s="171" t="str">
        <f t="array" ref="AK143">IFERROR(IF(AE143="ac"+ISNUMBER(SEARCH("'",AJ143))+AI143="","", IF(ISNUMBER(SEARCH("lw",AJ143)), W143 + SUBSTITUTE(AJ143,"lw+",""), MROUND(SWITCH(AE143,"sq",AI$7,"bn",AJ$7,"dl",AK$7,"")*IF(AJ143&gt;10, AJ143/100, VLOOKUP(AJ143, _rpe,SUBSTITUTE(AI143,"+","")+1,0)), IF( SWITCH(AE143,"sq",AI$7,"bn",AJ$7,"dl", AK$7,"")&lt; IF(_uom="lbs", 175, 80), 1.25, IF(_uom="lbs",5,2.5))))), "")</f>
        <v/>
      </c>
      <c r="AL143" s="148"/>
      <c r="AM143" s="33"/>
      <c r="AN143" s="171"/>
      <c r="AO143" s="124" t="str">
        <f>IFERROR(__xludf.DUMMYFUNCTION("IF(AK143=MAX(FILTER(AK$10:AK$199,LOOKUP(ROW(AE$10:AE$199),FILTER(ROW(AE$10:AE$199),AE$10:AE$199&lt;&gt;AE$9:AE$198))=LOOKUP(ROW(AE143),FILTER(ROW(AE$10:AE$199),AE$10:AE$199&lt;&gt;AE$9:AE$198)))),AL143,)"),"")</f>
        <v/>
      </c>
      <c r="AP143" s="122"/>
      <c r="AQ143" s="33"/>
      <c r="AR143" s="143" t="str">
        <f t="shared" si="16"/>
        <v/>
      </c>
      <c r="AS143" s="38" t="str">
        <f>IFERROR(__xludf.DUMMYFUNCTION("""COMPUTED_VALUE"""),"")</f>
        <v/>
      </c>
      <c r="AT143" s="144">
        <v>46132.0</v>
      </c>
      <c r="AU143" s="167" t="str">
        <f t="shared" si="26"/>
        <v/>
      </c>
      <c r="AV143" s="168" t="str">
        <f t="shared" si="325"/>
        <v/>
      </c>
      <c r="AW143" s="169" t="str">
        <f t="shared" si="326"/>
        <v/>
      </c>
      <c r="AX143" s="172" t="str">
        <f t="shared" si="327"/>
        <v/>
      </c>
      <c r="AY143" s="171" t="str">
        <f t="array" ref="AY143">IFERROR(IF(AS143="ac"+ISNUMBER(SEARCH("'",AX143))+AW143="","", IF(ISNUMBER(SEARCH("lw",AX143)), AK143 + SUBSTITUTE(AX143,"lw+",""), MROUND(SWITCH(AS143,"sq",AW$7,"bn",AX$7,"dl",AY$7,"")*IF(AX143&gt;10, AX143/100, VLOOKUP(AX143, _rpe,SUBSTITUTE(AW143,"+","")+1,0)), IF( SWITCH(AS143,"sq",AW$7,"bn",AX$7,"dl", AY$7,"")&lt; IF(_uom="lbs", 175, 80), 1.25, IF(_uom="lbs",5,2.5))))), "")</f>
        <v/>
      </c>
      <c r="AZ143" s="148"/>
      <c r="BA143" s="33"/>
      <c r="BB143" s="171"/>
      <c r="BC143" s="124" t="str">
        <f>IFERROR(__xludf.DUMMYFUNCTION("IF(AY143=MAX(FILTER(AY$10:AY$199,LOOKUP(ROW(AS$10:AS$199),FILTER(ROW(AS$10:AS$199),AS$10:AS$199&lt;&gt;AS$9:AS$198))=LOOKUP(ROW(AS143),FILTER(ROW(AS$10:AS$199),AS$10:AS$199&lt;&gt;AS$9:AS$198)))),AZ143,)"),"")</f>
        <v/>
      </c>
      <c r="BD143" s="122"/>
      <c r="BE143" s="33"/>
      <c r="BF143" s="143" t="str">
        <f t="shared" si="17"/>
        <v/>
      </c>
      <c r="BG143" s="38" t="str">
        <f>IFERROR(__xludf.DUMMYFUNCTION("""COMPUTED_VALUE"""),"")</f>
        <v/>
      </c>
      <c r="BH143" s="144">
        <v>46139.0</v>
      </c>
      <c r="BI143" s="167" t="str">
        <f t="shared" si="18"/>
        <v/>
      </c>
      <c r="BJ143" s="168" t="str">
        <f t="shared" si="328"/>
        <v/>
      </c>
      <c r="BK143" s="169" t="str">
        <f t="shared" si="329"/>
        <v/>
      </c>
      <c r="BL143" s="172" t="str">
        <f t="shared" si="330"/>
        <v/>
      </c>
      <c r="BM143" s="171" t="str">
        <f t="array" ref="BM143">IFERROR(IF(BG143="ac"+ISNUMBER(SEARCH("'",BL143))+BK143="","", IF(ISNUMBER(SEARCH("lw",BL143)), AY143 + SUBSTITUTE(BL143,"lw+",""), MROUND(SWITCH(BG143,"sq",BK$7,"bn",BL$7,"dl",BM$7,"")*IF(BL143&gt;10, BL143/100, VLOOKUP(BL143, _rpe,SUBSTITUTE(BK143,"+","")+1,0)), IF( SWITCH(BG143,"sq",BK$7,"bn",BL$7,"dl", BM$7,"")&lt; IF(_uom="lbs", 175, 80), 1.25, IF(_uom="lbs",5,2.5))))), "")</f>
        <v/>
      </c>
      <c r="BN143" s="148"/>
      <c r="BO143" s="33"/>
      <c r="BP143" s="171"/>
      <c r="BQ143" s="124" t="str">
        <f>IFERROR(__xludf.DUMMYFUNCTION("IF(BM143=MAX(FILTER(BM$10:BM$199,LOOKUP(ROW(BG$10:BG$199),FILTER(ROW(BG$10:BG$199),BG$10:BG$199&lt;&gt;BG$9:BG$198))=LOOKUP(ROW(BG143),FILTER(ROW(BG$10:BG$199),BG$10:BG$199&lt;&gt;BG$9:BG$198)))),BN143,)"),"")</f>
        <v/>
      </c>
      <c r="BR143" s="122"/>
      <c r="BS143" s="33"/>
      <c r="BT143" s="143" t="str">
        <f t="shared" si="19"/>
        <v/>
      </c>
      <c r="BU143" s="38" t="str">
        <f>IFERROR(__xludf.DUMMYFUNCTION("""COMPUTED_VALUE"""),"")</f>
        <v/>
      </c>
      <c r="BV143" s="144">
        <v>46146.0</v>
      </c>
      <c r="BW143" s="167" t="str">
        <f t="shared" si="20"/>
        <v/>
      </c>
      <c r="BX143" s="168" t="str">
        <f t="shared" si="331"/>
        <v/>
      </c>
      <c r="BY143" s="169" t="str">
        <f t="shared" si="332"/>
        <v/>
      </c>
      <c r="BZ143" s="172" t="str">
        <f t="shared" si="333"/>
        <v/>
      </c>
      <c r="CA143" s="171" t="str">
        <f t="array" ref="CA143">IFERROR(IF(BU143="ac"+ISNUMBER(SEARCH("'",BZ143))+BY143="","", IF(ISNUMBER(SEARCH("lw",BZ143)), BM143 + SUBSTITUTE(BZ143,"lw+",""), MROUND(SWITCH(BU143,"sq",BY$7,"bn",BZ$7,"dl",CA$7,"")*IF(BZ143&gt;10, BZ143/100, VLOOKUP(BZ143, _rpe,SUBSTITUTE(BY143,"+","")+1,0)), IF( SWITCH(BU143,"sq",BY$7,"bn",BZ$7,"dl", CA$7,"")&lt; IF(_uom="lbs", 175, 80), 1.25, IF(_uom="lbs",5,2.5))))), "")</f>
        <v/>
      </c>
      <c r="CB143" s="148"/>
      <c r="CC143" s="33"/>
      <c r="CD143" s="171"/>
      <c r="CE143" s="124" t="str">
        <f>IFERROR(__xludf.DUMMYFUNCTION("IF(CA143=MAX(FILTER(CA$10:CA$199,LOOKUP(ROW(BU$10:BU$199),FILTER(ROW(BU$10:BU$199),BU$10:BU$199&lt;&gt;BU$9:BU$198))=LOOKUP(ROW(BU143),FILTER(ROW(BU$10:BU$199),BU$10:BU$199&lt;&gt;BU$9:BU$198)))),CB143,)"),"")</f>
        <v/>
      </c>
      <c r="CF143" s="122"/>
      <c r="CG143" s="33"/>
      <c r="CH143" s="143" t="str">
        <f t="shared" si="21"/>
        <v/>
      </c>
      <c r="CI143" s="38" t="str">
        <f>IFERROR(__xludf.DUMMYFUNCTION("""COMPUTED_VALUE"""),"")</f>
        <v/>
      </c>
      <c r="CJ143" s="144">
        <v>46153.0</v>
      </c>
      <c r="CK143" s="167" t="str">
        <f t="shared" si="27"/>
        <v/>
      </c>
      <c r="CL143" s="168" t="str">
        <f t="shared" si="334"/>
        <v/>
      </c>
      <c r="CM143" s="169" t="str">
        <f t="shared" si="335"/>
        <v/>
      </c>
      <c r="CN143" s="172" t="str">
        <f t="shared" si="336"/>
        <v/>
      </c>
      <c r="CO143" s="171" t="str">
        <f t="array" ref="CO143">IFERROR(IF(CI143="ac"+ISNUMBER(SEARCH("'",CN143))+CM143="","", IF(ISNUMBER(SEARCH("lw",CN143)), CA143 + SUBSTITUTE(CN143,"lw+",""), MROUND(SWITCH(CI143,"sq",CM$7,"bn",CN$7,"dl",CO$7,"")*IF(CN143&gt;10, CN143/100, VLOOKUP(CN143, _rpe,SUBSTITUTE(CM143,"+","")+1,0)), IF( SWITCH(CI143,"sq",CM$7,"bn",CN$7,"dl", CO$7,"")&lt; IF(_uom="lbs", 175, 80), 1.25, IF(_uom="lbs",5,2.5))))), "")</f>
        <v/>
      </c>
      <c r="CP143" s="148"/>
      <c r="CQ143" s="33"/>
      <c r="CR143" s="171"/>
      <c r="CS143" s="124" t="str">
        <f>IFERROR(__xludf.DUMMYFUNCTION("IF(CO143=MAX(FILTER(CO$10:CO$199,LOOKUP(ROW(CI$10:CI$199),FILTER(ROW(CI$10:CI$199),CI$10:CI$199&lt;&gt;CI$9:CI$198))=LOOKUP(ROW(CI143),FILTER(ROW(CI$10:CI$199),CI$10:CI$199&lt;&gt;CI$9:CI$198)))),CP143,)"),"")</f>
        <v/>
      </c>
      <c r="CT143" s="122"/>
      <c r="CU143" s="33"/>
      <c r="CV143" s="143" t="str">
        <f t="shared" si="22"/>
        <v/>
      </c>
      <c r="CW143" s="38" t="str">
        <f>IFERROR(__xludf.DUMMYFUNCTION("""COMPUTED_VALUE"""),"")</f>
        <v/>
      </c>
      <c r="CX143" s="144">
        <v>46160.0</v>
      </c>
      <c r="CY143" s="167" t="str">
        <f t="shared" si="28"/>
        <v/>
      </c>
      <c r="CZ143" s="168" t="str">
        <f t="shared" si="337"/>
        <v/>
      </c>
      <c r="DA143" s="169" t="str">
        <f t="shared" si="338"/>
        <v/>
      </c>
      <c r="DB143" s="172" t="str">
        <f t="shared" si="339"/>
        <v/>
      </c>
      <c r="DC143" s="171" t="str">
        <f t="array" ref="DC143">IFERROR(IF(CW143="ac"+ISNUMBER(SEARCH("'",DB143))+DA143="","", IF(ISNUMBER(SEARCH("lw",DB143)), CO143 + SUBSTITUTE(DB143,"lw+",""), MROUND(SWITCH(CW143,"sq",DA$7,"bn",DB$7,"dl",DC$7,"")*IF(DB143&gt;10, DB143/100, VLOOKUP(DB143, _rpe,SUBSTITUTE(DA143,"+","")+1,0)), IF( SWITCH(CW143,"sq",DA$7,"bn",DB$7,"dl", DC$7,"")&lt; IF(_uom="lbs", 175, 80), 1.25, IF(_uom="lbs",5,2.5))))), "")</f>
        <v/>
      </c>
      <c r="DD143" s="148"/>
      <c r="DE143" s="33"/>
      <c r="DF143" s="171"/>
      <c r="DG143" s="124" t="str">
        <f>IFERROR(__xludf.DUMMYFUNCTION("IF(DC143=MAX(FILTER(DC$10:DC$199,LOOKUP(ROW(CW$10:CW$199),FILTER(ROW(CW$10:CW$199),CW$10:CW$199&lt;&gt;CW$9:CW$198))=LOOKUP(ROW(CW143),FILTER(ROW(CW$10:CW$199),CW$10:CW$199&lt;&gt;CW$9:CW$198)))),DD143,)"),"")</f>
        <v/>
      </c>
      <c r="DH143" s="122"/>
      <c r="DI143" s="33"/>
      <c r="DJ143" s="143" t="str">
        <f t="shared" si="23"/>
        <v/>
      </c>
      <c r="DK143" s="38" t="str">
        <f>IFERROR(__xludf.DUMMYFUNCTION("""COMPUTED_VALUE"""),"")</f>
        <v/>
      </c>
      <c r="DL143" s="144">
        <v>46167.0</v>
      </c>
      <c r="DM143" s="167" t="str">
        <f t="shared" ref="DM143:DN143" si="395">IF(ISBLANK(CY143),"",CY143)</f>
        <v/>
      </c>
      <c r="DN143" s="168" t="str">
        <f t="shared" si="395"/>
        <v/>
      </c>
      <c r="DO143" s="169" t="str">
        <f t="shared" si="341"/>
        <v/>
      </c>
      <c r="DP143" s="172" t="str">
        <f t="shared" si="342"/>
        <v/>
      </c>
      <c r="DQ143" s="171" t="str">
        <f t="array" ref="DQ143">IFERROR(IF(DK143="ac"+ISNUMBER(SEARCH("'",DP143))+DO143="","", IF(ISNUMBER(SEARCH("lw",DP143)), DC143 + SUBSTITUTE(DP143,"lw+",""), MROUND(SWITCH(DK143,"sq",DO$7,"bn",DP$7,"dl",DQ$7,"")*IF(DP143&gt;10, DP143/100, VLOOKUP(DP143, _rpe,SUBSTITUTE(DO143,"+","")+1,0)), IF( SWITCH(DK143,"sq",DO$7,"bn",DP$7,"dl", DQ$7,"")&lt; IF(_uom="lbs", 175, 80), 1.25, IF(_uom="lbs",5,2.5))))), "")</f>
        <v/>
      </c>
      <c r="DR143" s="148"/>
      <c r="DS143" s="33"/>
      <c r="DT143" s="171"/>
      <c r="DU143" s="124" t="str">
        <f>IFERROR(__xludf.DUMMYFUNCTION("IF(DQ143=MAX(FILTER(DQ$10:DQ$199,LOOKUP(ROW(DK$10:DK$199),FILTER(ROW(DK$10:DK$199),DK$10:DK$199&lt;&gt;DK$9:DK$198))=LOOKUP(ROW(DK143),FILTER(ROW(DK$10:DK$199),DK$10:DK$199&lt;&gt;DK$9:DK$198)))),DR143,)"),"")</f>
        <v/>
      </c>
      <c r="DV143" s="122"/>
      <c r="DW143" s="33"/>
      <c r="DX143" s="143"/>
      <c r="DY143" s="38"/>
      <c r="DZ143" s="144"/>
      <c r="EA143" s="150"/>
      <c r="EB143" s="174"/>
      <c r="EC143" s="175"/>
      <c r="ED143" s="176"/>
      <c r="EE143" s="155"/>
      <c r="EF143" s="148"/>
      <c r="EG143" s="33"/>
      <c r="EH143" s="155"/>
      <c r="EI143" s="148"/>
      <c r="EJ143" s="33"/>
      <c r="EK143" s="33"/>
      <c r="EL143" s="143"/>
      <c r="EM143" s="38"/>
      <c r="EN143" s="144"/>
      <c r="EO143" s="150"/>
      <c r="EP143" s="174"/>
      <c r="EQ143" s="175"/>
      <c r="ER143" s="176"/>
      <c r="ES143" s="155"/>
      <c r="ET143" s="148"/>
      <c r="EU143" s="33"/>
      <c r="EV143" s="155"/>
      <c r="EW143" s="148"/>
      <c r="EX143" s="33"/>
      <c r="EY143" s="33"/>
      <c r="EZ143" s="143"/>
      <c r="FA143" s="38"/>
      <c r="FB143" s="144"/>
      <c r="FC143" s="150"/>
      <c r="FD143" s="174"/>
      <c r="FE143" s="175"/>
      <c r="FF143" s="176"/>
      <c r="FG143" s="155"/>
      <c r="FH143" s="148"/>
      <c r="FI143" s="33"/>
      <c r="FJ143" s="155"/>
      <c r="FK143" s="148"/>
      <c r="FL143" s="33"/>
      <c r="FM143" s="33"/>
      <c r="FN143" s="143"/>
      <c r="FO143" s="38"/>
      <c r="FP143" s="144"/>
      <c r="FQ143" s="150"/>
      <c r="FR143" s="174"/>
      <c r="FS143" s="175"/>
      <c r="FT143" s="176"/>
      <c r="FU143" s="155"/>
      <c r="FV143" s="148"/>
      <c r="FW143" s="33"/>
      <c r="FX143" s="155"/>
      <c r="FY143" s="148"/>
      <c r="FZ143" s="33"/>
      <c r="GA143" s="33"/>
      <c r="GB143" s="143"/>
      <c r="GC143" s="38"/>
      <c r="GD143" s="144"/>
      <c r="GE143" s="150"/>
      <c r="GF143" s="174"/>
      <c r="GG143" s="175"/>
      <c r="GH143" s="176"/>
      <c r="GI143" s="155"/>
      <c r="GJ143" s="148"/>
      <c r="GK143" s="33"/>
      <c r="GL143" s="155"/>
      <c r="GM143" s="148"/>
      <c r="GN143" s="33"/>
      <c r="GO143" s="33"/>
      <c r="GP143" s="143"/>
      <c r="GQ143" s="38"/>
      <c r="GR143" s="144"/>
      <c r="GS143" s="150"/>
      <c r="GT143" s="174"/>
      <c r="GU143" s="175"/>
      <c r="GV143" s="176"/>
      <c r="GW143" s="155"/>
      <c r="GX143" s="148"/>
      <c r="GY143" s="33"/>
      <c r="GZ143" s="155"/>
      <c r="HA143" s="148"/>
      <c r="HB143" s="33"/>
      <c r="HC143" s="33"/>
      <c r="HD143" s="143"/>
      <c r="HE143" s="38"/>
      <c r="HF143" s="144"/>
      <c r="HG143" s="150"/>
      <c r="HH143" s="174"/>
      <c r="HI143" s="175"/>
      <c r="HJ143" s="176"/>
      <c r="HK143" s="155"/>
      <c r="HL143" s="148"/>
      <c r="HM143" s="33"/>
      <c r="HN143" s="155"/>
      <c r="HO143" s="148"/>
      <c r="HP143" s="33"/>
      <c r="HQ143" s="33"/>
      <c r="HR143" s="143"/>
      <c r="HS143" s="38"/>
      <c r="HT143" s="144"/>
      <c r="HU143" s="150"/>
      <c r="HV143" s="174"/>
      <c r="HW143" s="175"/>
      <c r="HX143" s="176"/>
      <c r="HY143" s="155"/>
      <c r="HZ143" s="148"/>
      <c r="IA143" s="33"/>
      <c r="IB143" s="155"/>
      <c r="IC143" s="148"/>
      <c r="ID143" s="33"/>
      <c r="IE143" s="33"/>
      <c r="IF143" s="143"/>
      <c r="IG143" s="38"/>
      <c r="IH143" s="144"/>
      <c r="II143" s="150"/>
      <c r="IJ143" s="174"/>
      <c r="IK143" s="175"/>
      <c r="IL143" s="176"/>
      <c r="IM143" s="155"/>
      <c r="IN143" s="148"/>
      <c r="IO143" s="33"/>
      <c r="IP143" s="155"/>
      <c r="IQ143" s="148"/>
      <c r="IR143" s="33"/>
      <c r="IS143" s="33"/>
      <c r="IT143" s="143"/>
      <c r="IU143" s="38"/>
      <c r="IV143" s="144"/>
      <c r="IW143" s="143"/>
      <c r="IX143" s="38"/>
      <c r="IY143" s="144" t="e">
        <v>#REF!</v>
      </c>
    </row>
    <row r="144">
      <c r="A144" s="33"/>
      <c r="B144" s="181"/>
      <c r="C144" s="38" t="str">
        <f>IFERROR(__xludf.DUMMYFUNCTION("""COMPUTED_VALUE"""),"")</f>
        <v/>
      </c>
      <c r="D144" s="144">
        <v>46111.0</v>
      </c>
      <c r="E144" s="182"/>
      <c r="F144" s="168"/>
      <c r="G144" s="169"/>
      <c r="H144" s="170"/>
      <c r="I144" s="171" t="str">
        <f t="array" ref="I144">IFERROR(IF(C144="ac"+ISNUMBER(SEARCH("'",H144))+G144="","", MROUND(SWITCH(C144,"sq",'Personal Info'!$O$15,"bn",'Personal Info'!$S$15,"dl",'Personal Info'!$W$15,"")*IF(H144&gt;10, H144/100, VLOOKUP(H144, _rpe,SUBSTITUTE(G144,"+","")+1,0)), IF( SWITCH(C144:C210,"sq",'Personal Info'!$O$15,"bn",'Personal Info'!$S$15,"dl", 'Personal Info'!$W$15,"")&lt; IF(_uom="lbs", 175, 80), 1.25, IF(_uom="lbs",5,2.5)))),"")</f>
        <v/>
      </c>
      <c r="J144" s="148"/>
      <c r="K144" s="33"/>
      <c r="L144" s="171"/>
      <c r="M144" s="124" t="str">
        <f>IFERROR(__xludf.DUMMYFUNCTION("IF(I144=MAX(FILTER(I$10:I$199,LOOKUP(ROW(C$10:C$199),FILTER(ROW(C$10:C$199),C$10:C$199&lt;&gt;C$9:C$198))=LOOKUP(ROW(C144),FILTER(ROW(C$10:C$199),C$10:C$199&lt;&gt;C$9:C$198)))),J144,)"),"")</f>
        <v/>
      </c>
      <c r="N144" s="122"/>
      <c r="O144" s="33"/>
      <c r="P144" s="143" t="str">
        <f t="shared" si="12"/>
        <v/>
      </c>
      <c r="Q144" s="38" t="str">
        <f>IFERROR(__xludf.DUMMYFUNCTION("""COMPUTED_VALUE"""),"")</f>
        <v/>
      </c>
      <c r="R144" s="144">
        <v>46118.0</v>
      </c>
      <c r="S144" s="167" t="str">
        <f t="shared" si="13"/>
        <v/>
      </c>
      <c r="T144" s="168" t="str">
        <f t="shared" si="319"/>
        <v/>
      </c>
      <c r="U144" s="169" t="str">
        <f t="shared" si="320"/>
        <v/>
      </c>
      <c r="V144" s="172" t="str">
        <f t="shared" si="321"/>
        <v/>
      </c>
      <c r="W144" s="171" t="str">
        <f t="array" ref="W144">IFERROR(IF(Q144="ac"+ISNUMBER(SEARCH("'",V144))+U144="","", IF(ISNUMBER(SEARCH("lw",V144)), I144 + SUBSTITUTE(V144,"lw+",""), MROUND(SWITCH(Q144,"sq",U$7,"bn",V$7,"dl",W$7,"")*IF(V144&gt;10, V144/100, VLOOKUP(V144, _rpe,SUBSTITUTE(U144,"+","")+1,0)), IF( SWITCH(Q144,"sq",U$7,"bn",V$7,"dl", W$7,"")&lt; IF(_uom="lbs", 175, 80), 1.25, IF(_uom="lbs",5,2.5))))), "")</f>
        <v/>
      </c>
      <c r="X144" s="148"/>
      <c r="Y144" s="33"/>
      <c r="Z144" s="171"/>
      <c r="AA144" s="124" t="str">
        <f>IFERROR(__xludf.DUMMYFUNCTION("IF(W144=MAX(FILTER(W$10:W$199,LOOKUP(ROW(Q$10:Q$199),FILTER(ROW(Q$10:Q$199),Q$10:Q$199&lt;&gt;Q$9:Q$198))=LOOKUP(ROW(Q144),FILTER(ROW(Q$10:Q$199),Q$10:Q$199&lt;&gt;Q$9:Q$198)))),X144,)"),"")</f>
        <v/>
      </c>
      <c r="AB144" s="122"/>
      <c r="AC144" s="33"/>
      <c r="AD144" s="143" t="str">
        <f t="shared" si="14"/>
        <v/>
      </c>
      <c r="AE144" s="38" t="str">
        <f>IFERROR(__xludf.DUMMYFUNCTION("""COMPUTED_VALUE"""),"")</f>
        <v/>
      </c>
      <c r="AF144" s="144">
        <v>46125.0</v>
      </c>
      <c r="AG144" s="167" t="str">
        <f t="shared" si="54"/>
        <v/>
      </c>
      <c r="AH144" s="168" t="str">
        <f t="shared" si="322"/>
        <v/>
      </c>
      <c r="AI144" s="169" t="str">
        <f t="shared" si="323"/>
        <v/>
      </c>
      <c r="AJ144" s="172" t="str">
        <f t="shared" si="324"/>
        <v/>
      </c>
      <c r="AK144" s="171" t="str">
        <f t="array" ref="AK144">IFERROR(IF(AE144="ac"+ISNUMBER(SEARCH("'",AJ144))+AI144="","", IF(ISNUMBER(SEARCH("lw",AJ144)), W144 + SUBSTITUTE(AJ144,"lw+",""), MROUND(SWITCH(AE144,"sq",AI$7,"bn",AJ$7,"dl",AK$7,"")*IF(AJ144&gt;10, AJ144/100, VLOOKUP(AJ144, _rpe,SUBSTITUTE(AI144,"+","")+1,0)), IF( SWITCH(AE144,"sq",AI$7,"bn",AJ$7,"dl", AK$7,"")&lt; IF(_uom="lbs", 175, 80), 1.25, IF(_uom="lbs",5,2.5))))), "")</f>
        <v/>
      </c>
      <c r="AL144" s="148"/>
      <c r="AM144" s="33"/>
      <c r="AN144" s="171"/>
      <c r="AO144" s="124" t="str">
        <f>IFERROR(__xludf.DUMMYFUNCTION("IF(AK144=MAX(FILTER(AK$10:AK$199,LOOKUP(ROW(AE$10:AE$199),FILTER(ROW(AE$10:AE$199),AE$10:AE$199&lt;&gt;AE$9:AE$198))=LOOKUP(ROW(AE144),FILTER(ROW(AE$10:AE$199),AE$10:AE$199&lt;&gt;AE$9:AE$198)))),AL144,)"),"")</f>
        <v/>
      </c>
      <c r="AP144" s="122"/>
      <c r="AQ144" s="33"/>
      <c r="AR144" s="143" t="str">
        <f t="shared" si="16"/>
        <v/>
      </c>
      <c r="AS144" s="38" t="str">
        <f>IFERROR(__xludf.DUMMYFUNCTION("""COMPUTED_VALUE"""),"")</f>
        <v/>
      </c>
      <c r="AT144" s="144">
        <v>46132.0</v>
      </c>
      <c r="AU144" s="167" t="str">
        <f t="shared" si="26"/>
        <v/>
      </c>
      <c r="AV144" s="168" t="str">
        <f t="shared" si="325"/>
        <v/>
      </c>
      <c r="AW144" s="169" t="str">
        <f t="shared" si="326"/>
        <v/>
      </c>
      <c r="AX144" s="172" t="str">
        <f t="shared" si="327"/>
        <v/>
      </c>
      <c r="AY144" s="171" t="str">
        <f t="array" ref="AY144">IFERROR(IF(AS144="ac"+ISNUMBER(SEARCH("'",AX144))+AW144="","", IF(ISNUMBER(SEARCH("lw",AX144)), AK144 + SUBSTITUTE(AX144,"lw+",""), MROUND(SWITCH(AS144,"sq",AW$7,"bn",AX$7,"dl",AY$7,"")*IF(AX144&gt;10, AX144/100, VLOOKUP(AX144, _rpe,SUBSTITUTE(AW144,"+","")+1,0)), IF( SWITCH(AS144,"sq",AW$7,"bn",AX$7,"dl", AY$7,"")&lt; IF(_uom="lbs", 175, 80), 1.25, IF(_uom="lbs",5,2.5))))), "")</f>
        <v/>
      </c>
      <c r="AZ144" s="148"/>
      <c r="BA144" s="33"/>
      <c r="BB144" s="171"/>
      <c r="BC144" s="124" t="str">
        <f>IFERROR(__xludf.DUMMYFUNCTION("IF(AY144=MAX(FILTER(AY$10:AY$199,LOOKUP(ROW(AS$10:AS$199),FILTER(ROW(AS$10:AS$199),AS$10:AS$199&lt;&gt;AS$9:AS$198))=LOOKUP(ROW(AS144),FILTER(ROW(AS$10:AS$199),AS$10:AS$199&lt;&gt;AS$9:AS$198)))),AZ144,)"),"")</f>
        <v/>
      </c>
      <c r="BD144" s="122"/>
      <c r="BE144" s="33"/>
      <c r="BF144" s="143" t="str">
        <f t="shared" si="17"/>
        <v/>
      </c>
      <c r="BG144" s="38" t="str">
        <f>IFERROR(__xludf.DUMMYFUNCTION("""COMPUTED_VALUE"""),"")</f>
        <v/>
      </c>
      <c r="BH144" s="144">
        <v>46139.0</v>
      </c>
      <c r="BI144" s="167" t="str">
        <f t="shared" si="18"/>
        <v/>
      </c>
      <c r="BJ144" s="168" t="str">
        <f t="shared" si="328"/>
        <v/>
      </c>
      <c r="BK144" s="169" t="str">
        <f t="shared" si="329"/>
        <v/>
      </c>
      <c r="BL144" s="172" t="str">
        <f t="shared" si="330"/>
        <v/>
      </c>
      <c r="BM144" s="171" t="str">
        <f t="array" ref="BM144">IFERROR(IF(BG144="ac"+ISNUMBER(SEARCH("'",BL144))+BK144="","", IF(ISNUMBER(SEARCH("lw",BL144)), AY144 + SUBSTITUTE(BL144,"lw+",""), MROUND(SWITCH(BG144,"sq",BK$7,"bn",BL$7,"dl",BM$7,"")*IF(BL144&gt;10, BL144/100, VLOOKUP(BL144, _rpe,SUBSTITUTE(BK144,"+","")+1,0)), IF( SWITCH(BG144,"sq",BK$7,"bn",BL$7,"dl", BM$7,"")&lt; IF(_uom="lbs", 175, 80), 1.25, IF(_uom="lbs",5,2.5))))), "")</f>
        <v/>
      </c>
      <c r="BN144" s="148"/>
      <c r="BO144" s="33"/>
      <c r="BP144" s="171"/>
      <c r="BQ144" s="124" t="str">
        <f>IFERROR(__xludf.DUMMYFUNCTION("IF(BM144=MAX(FILTER(BM$10:BM$199,LOOKUP(ROW(BG$10:BG$199),FILTER(ROW(BG$10:BG$199),BG$10:BG$199&lt;&gt;BG$9:BG$198))=LOOKUP(ROW(BG144),FILTER(ROW(BG$10:BG$199),BG$10:BG$199&lt;&gt;BG$9:BG$198)))),BN144,)"),"")</f>
        <v/>
      </c>
      <c r="BR144" s="122"/>
      <c r="BS144" s="33"/>
      <c r="BT144" s="143" t="str">
        <f t="shared" si="19"/>
        <v/>
      </c>
      <c r="BU144" s="38" t="str">
        <f>IFERROR(__xludf.DUMMYFUNCTION("""COMPUTED_VALUE"""),"")</f>
        <v/>
      </c>
      <c r="BV144" s="144">
        <v>46146.0</v>
      </c>
      <c r="BW144" s="167" t="str">
        <f t="shared" si="20"/>
        <v/>
      </c>
      <c r="BX144" s="168" t="str">
        <f t="shared" si="331"/>
        <v/>
      </c>
      <c r="BY144" s="169" t="str">
        <f t="shared" si="332"/>
        <v/>
      </c>
      <c r="BZ144" s="172" t="str">
        <f t="shared" si="333"/>
        <v/>
      </c>
      <c r="CA144" s="171" t="str">
        <f t="array" ref="CA144">IFERROR(IF(BU144="ac"+ISNUMBER(SEARCH("'",BZ144))+BY144="","", IF(ISNUMBER(SEARCH("lw",BZ144)), BM144 + SUBSTITUTE(BZ144,"lw+",""), MROUND(SWITCH(BU144,"sq",BY$7,"bn",BZ$7,"dl",CA$7,"")*IF(BZ144&gt;10, BZ144/100, VLOOKUP(BZ144, _rpe,SUBSTITUTE(BY144,"+","")+1,0)), IF( SWITCH(BU144,"sq",BY$7,"bn",BZ$7,"dl", CA$7,"")&lt; IF(_uom="lbs", 175, 80), 1.25, IF(_uom="lbs",5,2.5))))), "")</f>
        <v/>
      </c>
      <c r="CB144" s="148"/>
      <c r="CC144" s="33"/>
      <c r="CD144" s="171"/>
      <c r="CE144" s="124" t="str">
        <f>IFERROR(__xludf.DUMMYFUNCTION("IF(CA144=MAX(FILTER(CA$10:CA$199,LOOKUP(ROW(BU$10:BU$199),FILTER(ROW(BU$10:BU$199),BU$10:BU$199&lt;&gt;BU$9:BU$198))=LOOKUP(ROW(BU144),FILTER(ROW(BU$10:BU$199),BU$10:BU$199&lt;&gt;BU$9:BU$198)))),CB144,)"),"")</f>
        <v/>
      </c>
      <c r="CF144" s="122"/>
      <c r="CG144" s="33"/>
      <c r="CH144" s="143" t="str">
        <f t="shared" si="21"/>
        <v/>
      </c>
      <c r="CI144" s="38" t="str">
        <f>IFERROR(__xludf.DUMMYFUNCTION("""COMPUTED_VALUE"""),"")</f>
        <v/>
      </c>
      <c r="CJ144" s="144">
        <v>46153.0</v>
      </c>
      <c r="CK144" s="167" t="str">
        <f t="shared" si="27"/>
        <v/>
      </c>
      <c r="CL144" s="168" t="str">
        <f t="shared" si="334"/>
        <v/>
      </c>
      <c r="CM144" s="169" t="str">
        <f t="shared" si="335"/>
        <v/>
      </c>
      <c r="CN144" s="172" t="str">
        <f t="shared" si="336"/>
        <v/>
      </c>
      <c r="CO144" s="171" t="str">
        <f t="array" ref="CO144">IFERROR(IF(CI144="ac"+ISNUMBER(SEARCH("'",CN144))+CM144="","", IF(ISNUMBER(SEARCH("lw",CN144)), CA144 + SUBSTITUTE(CN144,"lw+",""), MROUND(SWITCH(CI144,"sq",CM$7,"bn",CN$7,"dl",CO$7,"")*IF(CN144&gt;10, CN144/100, VLOOKUP(CN144, _rpe,SUBSTITUTE(CM144,"+","")+1,0)), IF( SWITCH(CI144,"sq",CM$7,"bn",CN$7,"dl", CO$7,"")&lt; IF(_uom="lbs", 175, 80), 1.25, IF(_uom="lbs",5,2.5))))), "")</f>
        <v/>
      </c>
      <c r="CP144" s="148"/>
      <c r="CQ144" s="33"/>
      <c r="CR144" s="171"/>
      <c r="CS144" s="124" t="str">
        <f>IFERROR(__xludf.DUMMYFUNCTION("IF(CO144=MAX(FILTER(CO$10:CO$199,LOOKUP(ROW(CI$10:CI$199),FILTER(ROW(CI$10:CI$199),CI$10:CI$199&lt;&gt;CI$9:CI$198))=LOOKUP(ROW(CI144),FILTER(ROW(CI$10:CI$199),CI$10:CI$199&lt;&gt;CI$9:CI$198)))),CP144,)"),"")</f>
        <v/>
      </c>
      <c r="CT144" s="122"/>
      <c r="CU144" s="33"/>
      <c r="CV144" s="143" t="str">
        <f t="shared" si="22"/>
        <v/>
      </c>
      <c r="CW144" s="38" t="str">
        <f>IFERROR(__xludf.DUMMYFUNCTION("""COMPUTED_VALUE"""),"")</f>
        <v/>
      </c>
      <c r="CX144" s="144">
        <v>46160.0</v>
      </c>
      <c r="CY144" s="167" t="str">
        <f t="shared" si="28"/>
        <v/>
      </c>
      <c r="CZ144" s="168" t="str">
        <f t="shared" si="337"/>
        <v/>
      </c>
      <c r="DA144" s="169" t="str">
        <f t="shared" si="338"/>
        <v/>
      </c>
      <c r="DB144" s="172" t="str">
        <f t="shared" si="339"/>
        <v/>
      </c>
      <c r="DC144" s="171" t="str">
        <f t="array" ref="DC144">IFERROR(IF(CW144="ac"+ISNUMBER(SEARCH("'",DB144))+DA144="","", IF(ISNUMBER(SEARCH("lw",DB144)), CO144 + SUBSTITUTE(DB144,"lw+",""), MROUND(SWITCH(CW144,"sq",DA$7,"bn",DB$7,"dl",DC$7,"")*IF(DB144&gt;10, DB144/100, VLOOKUP(DB144, _rpe,SUBSTITUTE(DA144,"+","")+1,0)), IF( SWITCH(CW144,"sq",DA$7,"bn",DB$7,"dl", DC$7,"")&lt; IF(_uom="lbs", 175, 80), 1.25, IF(_uom="lbs",5,2.5))))), "")</f>
        <v/>
      </c>
      <c r="DD144" s="148"/>
      <c r="DE144" s="33"/>
      <c r="DF144" s="171"/>
      <c r="DG144" s="124" t="str">
        <f>IFERROR(__xludf.DUMMYFUNCTION("IF(DC144=MAX(FILTER(DC$10:DC$199,LOOKUP(ROW(CW$10:CW$199),FILTER(ROW(CW$10:CW$199),CW$10:CW$199&lt;&gt;CW$9:CW$198))=LOOKUP(ROW(CW144),FILTER(ROW(CW$10:CW$199),CW$10:CW$199&lt;&gt;CW$9:CW$198)))),DD144,)"),"")</f>
        <v/>
      </c>
      <c r="DH144" s="122"/>
      <c r="DI144" s="33"/>
      <c r="DJ144" s="143" t="str">
        <f t="shared" si="23"/>
        <v/>
      </c>
      <c r="DK144" s="38" t="str">
        <f>IFERROR(__xludf.DUMMYFUNCTION("""COMPUTED_VALUE"""),"")</f>
        <v/>
      </c>
      <c r="DL144" s="144">
        <v>46167.0</v>
      </c>
      <c r="DM144" s="167" t="str">
        <f t="shared" ref="DM144:DN144" si="396">IF(ISBLANK(CY144),"",CY144)</f>
        <v/>
      </c>
      <c r="DN144" s="168" t="str">
        <f t="shared" si="396"/>
        <v/>
      </c>
      <c r="DO144" s="169" t="str">
        <f t="shared" si="341"/>
        <v/>
      </c>
      <c r="DP144" s="172" t="str">
        <f t="shared" si="342"/>
        <v/>
      </c>
      <c r="DQ144" s="171" t="str">
        <f t="array" ref="DQ144">IFERROR(IF(DK144="ac"+ISNUMBER(SEARCH("'",DP144))+DO144="","", IF(ISNUMBER(SEARCH("lw",DP144)), DC144 + SUBSTITUTE(DP144,"lw+",""), MROUND(SWITCH(DK144,"sq",DO$7,"bn",DP$7,"dl",DQ$7,"")*IF(DP144&gt;10, DP144/100, VLOOKUP(DP144, _rpe,SUBSTITUTE(DO144,"+","")+1,0)), IF( SWITCH(DK144,"sq",DO$7,"bn",DP$7,"dl", DQ$7,"")&lt; IF(_uom="lbs", 175, 80), 1.25, IF(_uom="lbs",5,2.5))))), "")</f>
        <v/>
      </c>
      <c r="DR144" s="148"/>
      <c r="DS144" s="33"/>
      <c r="DT144" s="171"/>
      <c r="DU144" s="124" t="str">
        <f>IFERROR(__xludf.DUMMYFUNCTION("IF(DQ144=MAX(FILTER(DQ$10:DQ$199,LOOKUP(ROW(DK$10:DK$199),FILTER(ROW(DK$10:DK$199),DK$10:DK$199&lt;&gt;DK$9:DK$198))=LOOKUP(ROW(DK144),FILTER(ROW(DK$10:DK$199),DK$10:DK$199&lt;&gt;DK$9:DK$198)))),DR144,)"),"")</f>
        <v/>
      </c>
      <c r="DV144" s="122"/>
      <c r="DW144" s="33"/>
      <c r="DX144" s="143"/>
      <c r="DY144" s="38"/>
      <c r="DZ144" s="144"/>
      <c r="EA144" s="150"/>
      <c r="EB144" s="174"/>
      <c r="EC144" s="175"/>
      <c r="ED144" s="176"/>
      <c r="EE144" s="155"/>
      <c r="EF144" s="148"/>
      <c r="EG144" s="33"/>
      <c r="EH144" s="155"/>
      <c r="EI144" s="148"/>
      <c r="EJ144" s="33"/>
      <c r="EK144" s="33"/>
      <c r="EL144" s="143"/>
      <c r="EM144" s="38"/>
      <c r="EN144" s="144"/>
      <c r="EO144" s="150"/>
      <c r="EP144" s="174"/>
      <c r="EQ144" s="175"/>
      <c r="ER144" s="176"/>
      <c r="ES144" s="155"/>
      <c r="ET144" s="148"/>
      <c r="EU144" s="33"/>
      <c r="EV144" s="155"/>
      <c r="EW144" s="148"/>
      <c r="EX144" s="33"/>
      <c r="EY144" s="33"/>
      <c r="EZ144" s="143"/>
      <c r="FA144" s="38"/>
      <c r="FB144" s="144"/>
      <c r="FC144" s="150"/>
      <c r="FD144" s="174"/>
      <c r="FE144" s="175"/>
      <c r="FF144" s="176"/>
      <c r="FG144" s="155"/>
      <c r="FH144" s="148"/>
      <c r="FI144" s="33"/>
      <c r="FJ144" s="155"/>
      <c r="FK144" s="148"/>
      <c r="FL144" s="33"/>
      <c r="FM144" s="33"/>
      <c r="FN144" s="143"/>
      <c r="FO144" s="38"/>
      <c r="FP144" s="144"/>
      <c r="FQ144" s="150"/>
      <c r="FR144" s="174"/>
      <c r="FS144" s="175"/>
      <c r="FT144" s="176"/>
      <c r="FU144" s="155"/>
      <c r="FV144" s="148"/>
      <c r="FW144" s="33"/>
      <c r="FX144" s="155"/>
      <c r="FY144" s="148"/>
      <c r="FZ144" s="33"/>
      <c r="GA144" s="33"/>
      <c r="GB144" s="143"/>
      <c r="GC144" s="38"/>
      <c r="GD144" s="144"/>
      <c r="GE144" s="150"/>
      <c r="GF144" s="174"/>
      <c r="GG144" s="175"/>
      <c r="GH144" s="176"/>
      <c r="GI144" s="155"/>
      <c r="GJ144" s="148"/>
      <c r="GK144" s="33"/>
      <c r="GL144" s="155"/>
      <c r="GM144" s="148"/>
      <c r="GN144" s="33"/>
      <c r="GO144" s="33"/>
      <c r="GP144" s="143"/>
      <c r="GQ144" s="38"/>
      <c r="GR144" s="144"/>
      <c r="GS144" s="150"/>
      <c r="GT144" s="174"/>
      <c r="GU144" s="175"/>
      <c r="GV144" s="176"/>
      <c r="GW144" s="155"/>
      <c r="GX144" s="148"/>
      <c r="GY144" s="33"/>
      <c r="GZ144" s="155"/>
      <c r="HA144" s="148"/>
      <c r="HB144" s="33"/>
      <c r="HC144" s="33"/>
      <c r="HD144" s="143"/>
      <c r="HE144" s="38"/>
      <c r="HF144" s="144"/>
      <c r="HG144" s="150"/>
      <c r="HH144" s="174"/>
      <c r="HI144" s="175"/>
      <c r="HJ144" s="176"/>
      <c r="HK144" s="155"/>
      <c r="HL144" s="148"/>
      <c r="HM144" s="33"/>
      <c r="HN144" s="155"/>
      <c r="HO144" s="148"/>
      <c r="HP144" s="33"/>
      <c r="HQ144" s="33"/>
      <c r="HR144" s="143"/>
      <c r="HS144" s="38"/>
      <c r="HT144" s="144"/>
      <c r="HU144" s="150"/>
      <c r="HV144" s="174"/>
      <c r="HW144" s="175"/>
      <c r="HX144" s="176"/>
      <c r="HY144" s="155"/>
      <c r="HZ144" s="148"/>
      <c r="IA144" s="33"/>
      <c r="IB144" s="155"/>
      <c r="IC144" s="148"/>
      <c r="ID144" s="33"/>
      <c r="IE144" s="33"/>
      <c r="IF144" s="143"/>
      <c r="IG144" s="38"/>
      <c r="IH144" s="144"/>
      <c r="II144" s="150"/>
      <c r="IJ144" s="174"/>
      <c r="IK144" s="175"/>
      <c r="IL144" s="176"/>
      <c r="IM144" s="155"/>
      <c r="IN144" s="148"/>
      <c r="IO144" s="33"/>
      <c r="IP144" s="155"/>
      <c r="IQ144" s="148"/>
      <c r="IR144" s="33"/>
      <c r="IS144" s="33"/>
      <c r="IT144" s="143"/>
      <c r="IU144" s="38"/>
      <c r="IV144" s="144"/>
      <c r="IW144" s="143"/>
      <c r="IX144" s="38"/>
      <c r="IY144" s="144" t="e">
        <v>#REF!</v>
      </c>
    </row>
    <row r="145">
      <c r="A145" s="33"/>
      <c r="B145" s="181"/>
      <c r="C145" s="38" t="str">
        <f>IFERROR(__xludf.DUMMYFUNCTION("""COMPUTED_VALUE"""),"")</f>
        <v/>
      </c>
      <c r="D145" s="144">
        <v>46111.0</v>
      </c>
      <c r="E145" s="182"/>
      <c r="F145" s="168"/>
      <c r="G145" s="169"/>
      <c r="H145" s="170"/>
      <c r="I145" s="171" t="str">
        <f t="array" ref="I145">IFERROR(IF(C145="ac"+ISNUMBER(SEARCH("'",H145))+G145="","", MROUND(SWITCH(C145,"sq",'Personal Info'!$O$15,"bn",'Personal Info'!$S$15,"dl",'Personal Info'!$W$15,"")*IF(H145&gt;10, H145/100, VLOOKUP(H145, _rpe,SUBSTITUTE(G145,"+","")+1,0)), IF( SWITCH(C145:C210,"sq",'Personal Info'!$O$15,"bn",'Personal Info'!$S$15,"dl", 'Personal Info'!$W$15,"")&lt; IF(_uom="lbs", 175, 80), 1.25, IF(_uom="lbs",5,2.5)))),"")</f>
        <v/>
      </c>
      <c r="J145" s="148"/>
      <c r="K145" s="33"/>
      <c r="L145" s="171"/>
      <c r="M145" s="124" t="str">
        <f>IFERROR(__xludf.DUMMYFUNCTION("IF(I145=MAX(FILTER(I$10:I$199,LOOKUP(ROW(C$10:C$199),FILTER(ROW(C$10:C$199),C$10:C$199&lt;&gt;C$9:C$198))=LOOKUP(ROW(C145),FILTER(ROW(C$10:C$199),C$10:C$199&lt;&gt;C$9:C$198)))),J145,)"),"")</f>
        <v/>
      </c>
      <c r="N145" s="122"/>
      <c r="O145" s="33"/>
      <c r="P145" s="143" t="str">
        <f t="shared" si="12"/>
        <v/>
      </c>
      <c r="Q145" s="38" t="str">
        <f>IFERROR(__xludf.DUMMYFUNCTION("""COMPUTED_VALUE"""),"")</f>
        <v/>
      </c>
      <c r="R145" s="144">
        <v>46118.0</v>
      </c>
      <c r="S145" s="167" t="str">
        <f t="shared" si="13"/>
        <v/>
      </c>
      <c r="T145" s="168" t="str">
        <f t="shared" si="319"/>
        <v/>
      </c>
      <c r="U145" s="169" t="str">
        <f t="shared" si="320"/>
        <v/>
      </c>
      <c r="V145" s="172" t="str">
        <f t="shared" si="321"/>
        <v/>
      </c>
      <c r="W145" s="171" t="str">
        <f t="array" ref="W145">IFERROR(IF(Q145="ac"+ISNUMBER(SEARCH("'",V145))+U145="","", IF(ISNUMBER(SEARCH("lw",V145)), I145 + SUBSTITUTE(V145,"lw+",""), MROUND(SWITCH(Q145,"sq",U$7,"bn",V$7,"dl",W$7,"")*IF(V145&gt;10, V145/100, VLOOKUP(V145, _rpe,SUBSTITUTE(U145,"+","")+1,0)), IF( SWITCH(Q145,"sq",U$7,"bn",V$7,"dl", W$7,"")&lt; IF(_uom="lbs", 175, 80), 1.25, IF(_uom="lbs",5,2.5))))), "")</f>
        <v/>
      </c>
      <c r="X145" s="148"/>
      <c r="Y145" s="33"/>
      <c r="Z145" s="171"/>
      <c r="AA145" s="124" t="str">
        <f>IFERROR(__xludf.DUMMYFUNCTION("IF(W145=MAX(FILTER(W$10:W$199,LOOKUP(ROW(Q$10:Q$199),FILTER(ROW(Q$10:Q$199),Q$10:Q$199&lt;&gt;Q$9:Q$198))=LOOKUP(ROW(Q145),FILTER(ROW(Q$10:Q$199),Q$10:Q$199&lt;&gt;Q$9:Q$198)))),X145,)"),"")</f>
        <v/>
      </c>
      <c r="AB145" s="122"/>
      <c r="AC145" s="33"/>
      <c r="AD145" s="143" t="str">
        <f t="shared" si="14"/>
        <v/>
      </c>
      <c r="AE145" s="38" t="str">
        <f>IFERROR(__xludf.DUMMYFUNCTION("""COMPUTED_VALUE"""),"")</f>
        <v/>
      </c>
      <c r="AF145" s="144">
        <v>46125.0</v>
      </c>
      <c r="AG145" s="167" t="str">
        <f t="shared" si="54"/>
        <v/>
      </c>
      <c r="AH145" s="168" t="str">
        <f t="shared" si="322"/>
        <v/>
      </c>
      <c r="AI145" s="169" t="str">
        <f t="shared" si="323"/>
        <v/>
      </c>
      <c r="AJ145" s="172" t="str">
        <f t="shared" si="324"/>
        <v/>
      </c>
      <c r="AK145" s="171" t="str">
        <f t="array" ref="AK145">IFERROR(IF(AE145="ac"+ISNUMBER(SEARCH("'",AJ145))+AI145="","", IF(ISNUMBER(SEARCH("lw",AJ145)), W145 + SUBSTITUTE(AJ145,"lw+",""), MROUND(SWITCH(AE145,"sq",AI$7,"bn",AJ$7,"dl",AK$7,"")*IF(AJ145&gt;10, AJ145/100, VLOOKUP(AJ145, _rpe,SUBSTITUTE(AI145,"+","")+1,0)), IF( SWITCH(AE145,"sq",AI$7,"bn",AJ$7,"dl", AK$7,"")&lt; IF(_uom="lbs", 175, 80), 1.25, IF(_uom="lbs",5,2.5))))), "")</f>
        <v/>
      </c>
      <c r="AL145" s="148"/>
      <c r="AM145" s="33"/>
      <c r="AN145" s="171"/>
      <c r="AO145" s="124" t="str">
        <f>IFERROR(__xludf.DUMMYFUNCTION("IF(AK145=MAX(FILTER(AK$10:AK$199,LOOKUP(ROW(AE$10:AE$199),FILTER(ROW(AE$10:AE$199),AE$10:AE$199&lt;&gt;AE$9:AE$198))=LOOKUP(ROW(AE145),FILTER(ROW(AE$10:AE$199),AE$10:AE$199&lt;&gt;AE$9:AE$198)))),AL145,)"),"")</f>
        <v/>
      </c>
      <c r="AP145" s="122"/>
      <c r="AQ145" s="33"/>
      <c r="AR145" s="143" t="str">
        <f t="shared" si="16"/>
        <v/>
      </c>
      <c r="AS145" s="38" t="str">
        <f>IFERROR(__xludf.DUMMYFUNCTION("""COMPUTED_VALUE"""),"")</f>
        <v/>
      </c>
      <c r="AT145" s="144">
        <v>46132.0</v>
      </c>
      <c r="AU145" s="167" t="str">
        <f t="shared" si="26"/>
        <v/>
      </c>
      <c r="AV145" s="168" t="str">
        <f t="shared" si="325"/>
        <v/>
      </c>
      <c r="AW145" s="169" t="str">
        <f t="shared" si="326"/>
        <v/>
      </c>
      <c r="AX145" s="172" t="str">
        <f t="shared" si="327"/>
        <v/>
      </c>
      <c r="AY145" s="171" t="str">
        <f t="array" ref="AY145">IFERROR(IF(AS145="ac"+ISNUMBER(SEARCH("'",AX145))+AW145="","", IF(ISNUMBER(SEARCH("lw",AX145)), AK145 + SUBSTITUTE(AX145,"lw+",""), MROUND(SWITCH(AS145,"sq",AW$7,"bn",AX$7,"dl",AY$7,"")*IF(AX145&gt;10, AX145/100, VLOOKUP(AX145, _rpe,SUBSTITUTE(AW145,"+","")+1,0)), IF( SWITCH(AS145,"sq",AW$7,"bn",AX$7,"dl", AY$7,"")&lt; IF(_uom="lbs", 175, 80), 1.25, IF(_uom="lbs",5,2.5))))), "")</f>
        <v/>
      </c>
      <c r="AZ145" s="148"/>
      <c r="BA145" s="33"/>
      <c r="BB145" s="171"/>
      <c r="BC145" s="124" t="str">
        <f>IFERROR(__xludf.DUMMYFUNCTION("IF(AY145=MAX(FILTER(AY$10:AY$199,LOOKUP(ROW(AS$10:AS$199),FILTER(ROW(AS$10:AS$199),AS$10:AS$199&lt;&gt;AS$9:AS$198))=LOOKUP(ROW(AS145),FILTER(ROW(AS$10:AS$199),AS$10:AS$199&lt;&gt;AS$9:AS$198)))),AZ145,)"),"")</f>
        <v/>
      </c>
      <c r="BD145" s="122"/>
      <c r="BE145" s="33"/>
      <c r="BF145" s="143" t="str">
        <f t="shared" si="17"/>
        <v/>
      </c>
      <c r="BG145" s="38" t="str">
        <f>IFERROR(__xludf.DUMMYFUNCTION("""COMPUTED_VALUE"""),"")</f>
        <v/>
      </c>
      <c r="BH145" s="144">
        <v>46139.0</v>
      </c>
      <c r="BI145" s="167" t="str">
        <f t="shared" si="18"/>
        <v/>
      </c>
      <c r="BJ145" s="168" t="str">
        <f t="shared" si="328"/>
        <v/>
      </c>
      <c r="BK145" s="169" t="str">
        <f t="shared" si="329"/>
        <v/>
      </c>
      <c r="BL145" s="172" t="str">
        <f t="shared" si="330"/>
        <v/>
      </c>
      <c r="BM145" s="171" t="str">
        <f t="array" ref="BM145">IFERROR(IF(BG145="ac"+ISNUMBER(SEARCH("'",BL145))+BK145="","", IF(ISNUMBER(SEARCH("lw",BL145)), AY145 + SUBSTITUTE(BL145,"lw+",""), MROUND(SWITCH(BG145,"sq",BK$7,"bn",BL$7,"dl",BM$7,"")*IF(BL145&gt;10, BL145/100, VLOOKUP(BL145, _rpe,SUBSTITUTE(BK145,"+","")+1,0)), IF( SWITCH(BG145,"sq",BK$7,"bn",BL$7,"dl", BM$7,"")&lt; IF(_uom="lbs", 175, 80), 1.25, IF(_uom="lbs",5,2.5))))), "")</f>
        <v/>
      </c>
      <c r="BN145" s="148"/>
      <c r="BO145" s="33"/>
      <c r="BP145" s="171"/>
      <c r="BQ145" s="124" t="str">
        <f>IFERROR(__xludf.DUMMYFUNCTION("IF(BM145=MAX(FILTER(BM$10:BM$199,LOOKUP(ROW(BG$10:BG$199),FILTER(ROW(BG$10:BG$199),BG$10:BG$199&lt;&gt;BG$9:BG$198))=LOOKUP(ROW(BG145),FILTER(ROW(BG$10:BG$199),BG$10:BG$199&lt;&gt;BG$9:BG$198)))),BN145,)"),"")</f>
        <v/>
      </c>
      <c r="BR145" s="122"/>
      <c r="BS145" s="33"/>
      <c r="BT145" s="143" t="str">
        <f t="shared" si="19"/>
        <v/>
      </c>
      <c r="BU145" s="38" t="str">
        <f>IFERROR(__xludf.DUMMYFUNCTION("""COMPUTED_VALUE"""),"")</f>
        <v/>
      </c>
      <c r="BV145" s="144">
        <v>46146.0</v>
      </c>
      <c r="BW145" s="167" t="str">
        <f t="shared" si="20"/>
        <v/>
      </c>
      <c r="BX145" s="168" t="str">
        <f t="shared" si="331"/>
        <v/>
      </c>
      <c r="BY145" s="169" t="str">
        <f t="shared" si="332"/>
        <v/>
      </c>
      <c r="BZ145" s="172" t="str">
        <f t="shared" si="333"/>
        <v/>
      </c>
      <c r="CA145" s="171" t="str">
        <f t="array" ref="CA145">IFERROR(IF(BU145="ac"+ISNUMBER(SEARCH("'",BZ145))+BY145="","", IF(ISNUMBER(SEARCH("lw",BZ145)), BM145 + SUBSTITUTE(BZ145,"lw+",""), MROUND(SWITCH(BU145,"sq",BY$7,"bn",BZ$7,"dl",CA$7,"")*IF(BZ145&gt;10, BZ145/100, VLOOKUP(BZ145, _rpe,SUBSTITUTE(BY145,"+","")+1,0)), IF( SWITCH(BU145,"sq",BY$7,"bn",BZ$7,"dl", CA$7,"")&lt; IF(_uom="lbs", 175, 80), 1.25, IF(_uom="lbs",5,2.5))))), "")</f>
        <v/>
      </c>
      <c r="CB145" s="148"/>
      <c r="CC145" s="33"/>
      <c r="CD145" s="171"/>
      <c r="CE145" s="124" t="str">
        <f>IFERROR(__xludf.DUMMYFUNCTION("IF(CA145=MAX(FILTER(CA$10:CA$199,LOOKUP(ROW(BU$10:BU$199),FILTER(ROW(BU$10:BU$199),BU$10:BU$199&lt;&gt;BU$9:BU$198))=LOOKUP(ROW(BU145),FILTER(ROW(BU$10:BU$199),BU$10:BU$199&lt;&gt;BU$9:BU$198)))),CB145,)"),"")</f>
        <v/>
      </c>
      <c r="CF145" s="122"/>
      <c r="CG145" s="33"/>
      <c r="CH145" s="143" t="str">
        <f t="shared" si="21"/>
        <v/>
      </c>
      <c r="CI145" s="38" t="str">
        <f>IFERROR(__xludf.DUMMYFUNCTION("""COMPUTED_VALUE"""),"")</f>
        <v/>
      </c>
      <c r="CJ145" s="144">
        <v>46153.0</v>
      </c>
      <c r="CK145" s="167" t="str">
        <f t="shared" si="27"/>
        <v/>
      </c>
      <c r="CL145" s="168" t="str">
        <f t="shared" si="334"/>
        <v/>
      </c>
      <c r="CM145" s="169" t="str">
        <f t="shared" si="335"/>
        <v/>
      </c>
      <c r="CN145" s="172" t="str">
        <f t="shared" si="336"/>
        <v/>
      </c>
      <c r="CO145" s="171" t="str">
        <f t="array" ref="CO145">IFERROR(IF(CI145="ac"+ISNUMBER(SEARCH("'",CN145))+CM145="","", IF(ISNUMBER(SEARCH("lw",CN145)), CA145 + SUBSTITUTE(CN145,"lw+",""), MROUND(SWITCH(CI145,"sq",CM$7,"bn",CN$7,"dl",CO$7,"")*IF(CN145&gt;10, CN145/100, VLOOKUP(CN145, _rpe,SUBSTITUTE(CM145,"+","")+1,0)), IF( SWITCH(CI145,"sq",CM$7,"bn",CN$7,"dl", CO$7,"")&lt; IF(_uom="lbs", 175, 80), 1.25, IF(_uom="lbs",5,2.5))))), "")</f>
        <v/>
      </c>
      <c r="CP145" s="148"/>
      <c r="CQ145" s="33"/>
      <c r="CR145" s="171"/>
      <c r="CS145" s="124" t="str">
        <f>IFERROR(__xludf.DUMMYFUNCTION("IF(CO145=MAX(FILTER(CO$10:CO$199,LOOKUP(ROW(CI$10:CI$199),FILTER(ROW(CI$10:CI$199),CI$10:CI$199&lt;&gt;CI$9:CI$198))=LOOKUP(ROW(CI145),FILTER(ROW(CI$10:CI$199),CI$10:CI$199&lt;&gt;CI$9:CI$198)))),CP145,)"),"")</f>
        <v/>
      </c>
      <c r="CT145" s="122"/>
      <c r="CU145" s="33"/>
      <c r="CV145" s="143" t="str">
        <f t="shared" si="22"/>
        <v/>
      </c>
      <c r="CW145" s="38" t="str">
        <f>IFERROR(__xludf.DUMMYFUNCTION("""COMPUTED_VALUE"""),"")</f>
        <v/>
      </c>
      <c r="CX145" s="144">
        <v>46160.0</v>
      </c>
      <c r="CY145" s="167" t="str">
        <f t="shared" si="28"/>
        <v/>
      </c>
      <c r="CZ145" s="168" t="str">
        <f t="shared" si="337"/>
        <v/>
      </c>
      <c r="DA145" s="169" t="str">
        <f t="shared" si="338"/>
        <v/>
      </c>
      <c r="DB145" s="172" t="str">
        <f t="shared" si="339"/>
        <v/>
      </c>
      <c r="DC145" s="171" t="str">
        <f t="array" ref="DC145">IFERROR(IF(CW145="ac"+ISNUMBER(SEARCH("'",DB145))+DA145="","", IF(ISNUMBER(SEARCH("lw",DB145)), CO145 + SUBSTITUTE(DB145,"lw+",""), MROUND(SWITCH(CW145,"sq",DA$7,"bn",DB$7,"dl",DC$7,"")*IF(DB145&gt;10, DB145/100, VLOOKUP(DB145, _rpe,SUBSTITUTE(DA145,"+","")+1,0)), IF( SWITCH(CW145,"sq",DA$7,"bn",DB$7,"dl", DC$7,"")&lt; IF(_uom="lbs", 175, 80), 1.25, IF(_uom="lbs",5,2.5))))), "")</f>
        <v/>
      </c>
      <c r="DD145" s="148"/>
      <c r="DE145" s="33"/>
      <c r="DF145" s="171"/>
      <c r="DG145" s="124" t="str">
        <f>IFERROR(__xludf.DUMMYFUNCTION("IF(DC145=MAX(FILTER(DC$10:DC$199,LOOKUP(ROW(CW$10:CW$199),FILTER(ROW(CW$10:CW$199),CW$10:CW$199&lt;&gt;CW$9:CW$198))=LOOKUP(ROW(CW145),FILTER(ROW(CW$10:CW$199),CW$10:CW$199&lt;&gt;CW$9:CW$198)))),DD145,)"),"")</f>
        <v/>
      </c>
      <c r="DH145" s="122"/>
      <c r="DI145" s="33"/>
      <c r="DJ145" s="143" t="str">
        <f t="shared" si="23"/>
        <v/>
      </c>
      <c r="DK145" s="38" t="str">
        <f>IFERROR(__xludf.DUMMYFUNCTION("""COMPUTED_VALUE"""),"")</f>
        <v/>
      </c>
      <c r="DL145" s="144">
        <v>46167.0</v>
      </c>
      <c r="DM145" s="167" t="str">
        <f t="shared" ref="DM145:DN145" si="397">IF(ISBLANK(CY145),"",CY145)</f>
        <v/>
      </c>
      <c r="DN145" s="168" t="str">
        <f t="shared" si="397"/>
        <v/>
      </c>
      <c r="DO145" s="169" t="str">
        <f t="shared" si="341"/>
        <v/>
      </c>
      <c r="DP145" s="172" t="str">
        <f t="shared" si="342"/>
        <v/>
      </c>
      <c r="DQ145" s="171" t="str">
        <f t="array" ref="DQ145">IFERROR(IF(DK145="ac"+ISNUMBER(SEARCH("'",DP145))+DO145="","", IF(ISNUMBER(SEARCH("lw",DP145)), DC145 + SUBSTITUTE(DP145,"lw+",""), MROUND(SWITCH(DK145,"sq",DO$7,"bn",DP$7,"dl",DQ$7,"")*IF(DP145&gt;10, DP145/100, VLOOKUP(DP145, _rpe,SUBSTITUTE(DO145,"+","")+1,0)), IF( SWITCH(DK145,"sq",DO$7,"bn",DP$7,"dl", DQ$7,"")&lt; IF(_uom="lbs", 175, 80), 1.25, IF(_uom="lbs",5,2.5))))), "")</f>
        <v/>
      </c>
      <c r="DR145" s="148"/>
      <c r="DS145" s="33"/>
      <c r="DT145" s="171"/>
      <c r="DU145" s="124" t="str">
        <f>IFERROR(__xludf.DUMMYFUNCTION("IF(DQ145=MAX(FILTER(DQ$10:DQ$199,LOOKUP(ROW(DK$10:DK$199),FILTER(ROW(DK$10:DK$199),DK$10:DK$199&lt;&gt;DK$9:DK$198))=LOOKUP(ROW(DK145),FILTER(ROW(DK$10:DK$199),DK$10:DK$199&lt;&gt;DK$9:DK$198)))),DR145,)"),"")</f>
        <v/>
      </c>
      <c r="DV145" s="122"/>
      <c r="DW145" s="33"/>
      <c r="DX145" s="143"/>
      <c r="DY145" s="38"/>
      <c r="DZ145" s="144"/>
      <c r="EA145" s="150"/>
      <c r="EB145" s="174"/>
      <c r="EC145" s="175"/>
      <c r="ED145" s="176"/>
      <c r="EE145" s="155"/>
      <c r="EF145" s="148"/>
      <c r="EG145" s="33"/>
      <c r="EH145" s="155"/>
      <c r="EI145" s="148"/>
      <c r="EJ145" s="33"/>
      <c r="EK145" s="33"/>
      <c r="EL145" s="143"/>
      <c r="EM145" s="38"/>
      <c r="EN145" s="144"/>
      <c r="EO145" s="150"/>
      <c r="EP145" s="174"/>
      <c r="EQ145" s="175"/>
      <c r="ER145" s="176"/>
      <c r="ES145" s="155"/>
      <c r="ET145" s="148"/>
      <c r="EU145" s="33"/>
      <c r="EV145" s="155"/>
      <c r="EW145" s="148"/>
      <c r="EX145" s="33"/>
      <c r="EY145" s="33"/>
      <c r="EZ145" s="143"/>
      <c r="FA145" s="38"/>
      <c r="FB145" s="144"/>
      <c r="FC145" s="150"/>
      <c r="FD145" s="174"/>
      <c r="FE145" s="175"/>
      <c r="FF145" s="176"/>
      <c r="FG145" s="155"/>
      <c r="FH145" s="148"/>
      <c r="FI145" s="33"/>
      <c r="FJ145" s="155"/>
      <c r="FK145" s="148"/>
      <c r="FL145" s="33"/>
      <c r="FM145" s="33"/>
      <c r="FN145" s="143"/>
      <c r="FO145" s="38"/>
      <c r="FP145" s="144"/>
      <c r="FQ145" s="150"/>
      <c r="FR145" s="174"/>
      <c r="FS145" s="175"/>
      <c r="FT145" s="176"/>
      <c r="FU145" s="155"/>
      <c r="FV145" s="148"/>
      <c r="FW145" s="33"/>
      <c r="FX145" s="155"/>
      <c r="FY145" s="148"/>
      <c r="FZ145" s="33"/>
      <c r="GA145" s="33"/>
      <c r="GB145" s="143"/>
      <c r="GC145" s="38"/>
      <c r="GD145" s="144"/>
      <c r="GE145" s="150"/>
      <c r="GF145" s="174"/>
      <c r="GG145" s="175"/>
      <c r="GH145" s="176"/>
      <c r="GI145" s="155"/>
      <c r="GJ145" s="148"/>
      <c r="GK145" s="33"/>
      <c r="GL145" s="155"/>
      <c r="GM145" s="148"/>
      <c r="GN145" s="33"/>
      <c r="GO145" s="33"/>
      <c r="GP145" s="143"/>
      <c r="GQ145" s="38"/>
      <c r="GR145" s="144"/>
      <c r="GS145" s="150"/>
      <c r="GT145" s="174"/>
      <c r="GU145" s="175"/>
      <c r="GV145" s="176"/>
      <c r="GW145" s="155"/>
      <c r="GX145" s="148"/>
      <c r="GY145" s="33"/>
      <c r="GZ145" s="155"/>
      <c r="HA145" s="148"/>
      <c r="HB145" s="33"/>
      <c r="HC145" s="33"/>
      <c r="HD145" s="143"/>
      <c r="HE145" s="38"/>
      <c r="HF145" s="144"/>
      <c r="HG145" s="150"/>
      <c r="HH145" s="174"/>
      <c r="HI145" s="175"/>
      <c r="HJ145" s="176"/>
      <c r="HK145" s="155"/>
      <c r="HL145" s="148"/>
      <c r="HM145" s="33"/>
      <c r="HN145" s="155"/>
      <c r="HO145" s="148"/>
      <c r="HP145" s="33"/>
      <c r="HQ145" s="33"/>
      <c r="HR145" s="143"/>
      <c r="HS145" s="38"/>
      <c r="HT145" s="144"/>
      <c r="HU145" s="150"/>
      <c r="HV145" s="174"/>
      <c r="HW145" s="175"/>
      <c r="HX145" s="176"/>
      <c r="HY145" s="155"/>
      <c r="HZ145" s="148"/>
      <c r="IA145" s="33"/>
      <c r="IB145" s="155"/>
      <c r="IC145" s="148"/>
      <c r="ID145" s="33"/>
      <c r="IE145" s="33"/>
      <c r="IF145" s="143"/>
      <c r="IG145" s="38"/>
      <c r="IH145" s="144"/>
      <c r="II145" s="150"/>
      <c r="IJ145" s="174"/>
      <c r="IK145" s="175"/>
      <c r="IL145" s="176"/>
      <c r="IM145" s="155"/>
      <c r="IN145" s="148"/>
      <c r="IO145" s="33"/>
      <c r="IP145" s="155"/>
      <c r="IQ145" s="148"/>
      <c r="IR145" s="33"/>
      <c r="IS145" s="33"/>
      <c r="IT145" s="143"/>
      <c r="IU145" s="38"/>
      <c r="IV145" s="144"/>
      <c r="IW145" s="143"/>
      <c r="IX145" s="38"/>
      <c r="IY145" s="144" t="e">
        <v>#REF!</v>
      </c>
    </row>
    <row r="146">
      <c r="A146" s="33"/>
      <c r="B146" s="181"/>
      <c r="C146" s="38" t="str">
        <f>IFERROR(__xludf.DUMMYFUNCTION("""COMPUTED_VALUE"""),"")</f>
        <v/>
      </c>
      <c r="D146" s="144">
        <v>46111.0</v>
      </c>
      <c r="E146" s="182"/>
      <c r="F146" s="168"/>
      <c r="G146" s="169"/>
      <c r="H146" s="170"/>
      <c r="I146" s="171" t="str">
        <f t="array" ref="I146">IFERROR(IF(C146="ac"+ISNUMBER(SEARCH("'",H146))+G146="","", MROUND(SWITCH(C146,"sq",'Personal Info'!$O$15,"bn",'Personal Info'!$S$15,"dl",'Personal Info'!$W$15,"")*IF(H146&gt;10, H146/100, VLOOKUP(H146, _rpe,SUBSTITUTE(G146,"+","")+1,0)), IF( SWITCH(C146:C210,"sq",'Personal Info'!$O$15,"bn",'Personal Info'!$S$15,"dl", 'Personal Info'!$W$15,"")&lt; IF(_uom="lbs", 175, 80), 1.25, IF(_uom="lbs",5,2.5)))),"")</f>
        <v/>
      </c>
      <c r="J146" s="148"/>
      <c r="K146" s="33"/>
      <c r="L146" s="171"/>
      <c r="M146" s="124" t="str">
        <f>IFERROR(__xludf.DUMMYFUNCTION("IF(I146=MAX(FILTER(I$10:I$199,LOOKUP(ROW(C$10:C$199),FILTER(ROW(C$10:C$199),C$10:C$199&lt;&gt;C$9:C$198))=LOOKUP(ROW(C146),FILTER(ROW(C$10:C$199),C$10:C$199&lt;&gt;C$9:C$198)))),J146,)"),"")</f>
        <v/>
      </c>
      <c r="N146" s="122"/>
      <c r="O146" s="33"/>
      <c r="P146" s="143" t="str">
        <f t="shared" si="12"/>
        <v/>
      </c>
      <c r="Q146" s="38" t="str">
        <f>IFERROR(__xludf.DUMMYFUNCTION("""COMPUTED_VALUE"""),"")</f>
        <v/>
      </c>
      <c r="R146" s="144">
        <v>46118.0</v>
      </c>
      <c r="S146" s="167" t="str">
        <f t="shared" si="13"/>
        <v/>
      </c>
      <c r="T146" s="168" t="str">
        <f t="shared" si="319"/>
        <v/>
      </c>
      <c r="U146" s="169" t="str">
        <f t="shared" si="320"/>
        <v/>
      </c>
      <c r="V146" s="172" t="str">
        <f t="shared" si="321"/>
        <v/>
      </c>
      <c r="W146" s="171" t="str">
        <f t="array" ref="W146">IFERROR(IF(Q146="ac"+ISNUMBER(SEARCH("'",V146))+U146="","", IF(ISNUMBER(SEARCH("lw",V146)), I146 + SUBSTITUTE(V146,"lw+",""), MROUND(SWITCH(Q146,"sq",U$7,"bn",V$7,"dl",W$7,"")*IF(V146&gt;10, V146/100, VLOOKUP(V146, _rpe,SUBSTITUTE(U146,"+","")+1,0)), IF( SWITCH(Q146,"sq",U$7,"bn",V$7,"dl", W$7,"")&lt; IF(_uom="lbs", 175, 80), 1.25, IF(_uom="lbs",5,2.5))))), "")</f>
        <v/>
      </c>
      <c r="X146" s="148"/>
      <c r="Y146" s="33"/>
      <c r="Z146" s="171"/>
      <c r="AA146" s="124" t="str">
        <f>IFERROR(__xludf.DUMMYFUNCTION("IF(W146=MAX(FILTER(W$10:W$199,LOOKUP(ROW(Q$10:Q$199),FILTER(ROW(Q$10:Q$199),Q$10:Q$199&lt;&gt;Q$9:Q$198))=LOOKUP(ROW(Q146),FILTER(ROW(Q$10:Q$199),Q$10:Q$199&lt;&gt;Q$9:Q$198)))),X146,)"),"")</f>
        <v/>
      </c>
      <c r="AB146" s="122"/>
      <c r="AC146" s="33"/>
      <c r="AD146" s="143" t="str">
        <f t="shared" si="14"/>
        <v/>
      </c>
      <c r="AE146" s="38" t="str">
        <f>IFERROR(__xludf.DUMMYFUNCTION("""COMPUTED_VALUE"""),"")</f>
        <v/>
      </c>
      <c r="AF146" s="144">
        <v>46125.0</v>
      </c>
      <c r="AG146" s="167" t="str">
        <f t="shared" si="54"/>
        <v/>
      </c>
      <c r="AH146" s="168" t="str">
        <f t="shared" si="322"/>
        <v/>
      </c>
      <c r="AI146" s="169" t="str">
        <f t="shared" si="323"/>
        <v/>
      </c>
      <c r="AJ146" s="172" t="str">
        <f t="shared" si="324"/>
        <v/>
      </c>
      <c r="AK146" s="171" t="str">
        <f t="array" ref="AK146">IFERROR(IF(AE146="ac"+ISNUMBER(SEARCH("'",AJ146))+AI146="","", IF(ISNUMBER(SEARCH("lw",AJ146)), W146 + SUBSTITUTE(AJ146,"lw+",""), MROUND(SWITCH(AE146,"sq",AI$7,"bn",AJ$7,"dl",AK$7,"")*IF(AJ146&gt;10, AJ146/100, VLOOKUP(AJ146, _rpe,SUBSTITUTE(AI146,"+","")+1,0)), IF( SWITCH(AE146,"sq",AI$7,"bn",AJ$7,"dl", AK$7,"")&lt; IF(_uom="lbs", 175, 80), 1.25, IF(_uom="lbs",5,2.5))))), "")</f>
        <v/>
      </c>
      <c r="AL146" s="148"/>
      <c r="AM146" s="33"/>
      <c r="AN146" s="171"/>
      <c r="AO146" s="124" t="str">
        <f>IFERROR(__xludf.DUMMYFUNCTION("IF(AK146=MAX(FILTER(AK$10:AK$199,LOOKUP(ROW(AE$10:AE$199),FILTER(ROW(AE$10:AE$199),AE$10:AE$199&lt;&gt;AE$9:AE$198))=LOOKUP(ROW(AE146),FILTER(ROW(AE$10:AE$199),AE$10:AE$199&lt;&gt;AE$9:AE$198)))),AL146,)"),"")</f>
        <v/>
      </c>
      <c r="AP146" s="122"/>
      <c r="AQ146" s="33"/>
      <c r="AR146" s="143" t="str">
        <f t="shared" si="16"/>
        <v/>
      </c>
      <c r="AS146" s="38" t="str">
        <f>IFERROR(__xludf.DUMMYFUNCTION("""COMPUTED_VALUE"""),"")</f>
        <v/>
      </c>
      <c r="AT146" s="144">
        <v>46132.0</v>
      </c>
      <c r="AU146" s="167" t="str">
        <f t="shared" si="26"/>
        <v/>
      </c>
      <c r="AV146" s="168" t="str">
        <f t="shared" si="325"/>
        <v/>
      </c>
      <c r="AW146" s="169" t="str">
        <f t="shared" si="326"/>
        <v/>
      </c>
      <c r="AX146" s="172" t="str">
        <f t="shared" si="327"/>
        <v/>
      </c>
      <c r="AY146" s="171" t="str">
        <f t="array" ref="AY146">IFERROR(IF(AS146="ac"+ISNUMBER(SEARCH("'",AX146))+AW146="","", IF(ISNUMBER(SEARCH("lw",AX146)), AK146 + SUBSTITUTE(AX146,"lw+",""), MROUND(SWITCH(AS146,"sq",AW$7,"bn",AX$7,"dl",AY$7,"")*IF(AX146&gt;10, AX146/100, VLOOKUP(AX146, _rpe,SUBSTITUTE(AW146,"+","")+1,0)), IF( SWITCH(AS146,"sq",AW$7,"bn",AX$7,"dl", AY$7,"")&lt; IF(_uom="lbs", 175, 80), 1.25, IF(_uom="lbs",5,2.5))))), "")</f>
        <v/>
      </c>
      <c r="AZ146" s="148"/>
      <c r="BA146" s="33"/>
      <c r="BB146" s="171"/>
      <c r="BC146" s="124" t="str">
        <f>IFERROR(__xludf.DUMMYFUNCTION("IF(AY146=MAX(FILTER(AY$10:AY$199,LOOKUP(ROW(AS$10:AS$199),FILTER(ROW(AS$10:AS$199),AS$10:AS$199&lt;&gt;AS$9:AS$198))=LOOKUP(ROW(AS146),FILTER(ROW(AS$10:AS$199),AS$10:AS$199&lt;&gt;AS$9:AS$198)))),AZ146,)"),"")</f>
        <v/>
      </c>
      <c r="BD146" s="122"/>
      <c r="BE146" s="33"/>
      <c r="BF146" s="143" t="str">
        <f t="shared" si="17"/>
        <v/>
      </c>
      <c r="BG146" s="38" t="str">
        <f>IFERROR(__xludf.DUMMYFUNCTION("""COMPUTED_VALUE"""),"")</f>
        <v/>
      </c>
      <c r="BH146" s="144">
        <v>46139.0</v>
      </c>
      <c r="BI146" s="167" t="str">
        <f t="shared" si="18"/>
        <v/>
      </c>
      <c r="BJ146" s="168" t="str">
        <f t="shared" si="328"/>
        <v/>
      </c>
      <c r="BK146" s="169" t="str">
        <f t="shared" si="329"/>
        <v/>
      </c>
      <c r="BL146" s="172" t="str">
        <f t="shared" si="330"/>
        <v/>
      </c>
      <c r="BM146" s="171" t="str">
        <f t="array" ref="BM146">IFERROR(IF(BG146="ac"+ISNUMBER(SEARCH("'",BL146))+BK146="","", IF(ISNUMBER(SEARCH("lw",BL146)), AY146 + SUBSTITUTE(BL146,"lw+",""), MROUND(SWITCH(BG146,"sq",BK$7,"bn",BL$7,"dl",BM$7,"")*IF(BL146&gt;10, BL146/100, VLOOKUP(BL146, _rpe,SUBSTITUTE(BK146,"+","")+1,0)), IF( SWITCH(BG146,"sq",BK$7,"bn",BL$7,"dl", BM$7,"")&lt; IF(_uom="lbs", 175, 80), 1.25, IF(_uom="lbs",5,2.5))))), "")</f>
        <v/>
      </c>
      <c r="BN146" s="148"/>
      <c r="BO146" s="33"/>
      <c r="BP146" s="171"/>
      <c r="BQ146" s="124" t="str">
        <f>IFERROR(__xludf.DUMMYFUNCTION("IF(BM146=MAX(FILTER(BM$10:BM$199,LOOKUP(ROW(BG$10:BG$199),FILTER(ROW(BG$10:BG$199),BG$10:BG$199&lt;&gt;BG$9:BG$198))=LOOKUP(ROW(BG146),FILTER(ROW(BG$10:BG$199),BG$10:BG$199&lt;&gt;BG$9:BG$198)))),BN146,)"),"")</f>
        <v/>
      </c>
      <c r="BR146" s="122"/>
      <c r="BS146" s="33"/>
      <c r="BT146" s="143" t="str">
        <f t="shared" si="19"/>
        <v/>
      </c>
      <c r="BU146" s="38" t="str">
        <f>IFERROR(__xludf.DUMMYFUNCTION("""COMPUTED_VALUE"""),"")</f>
        <v/>
      </c>
      <c r="BV146" s="144">
        <v>46146.0</v>
      </c>
      <c r="BW146" s="167" t="str">
        <f t="shared" si="20"/>
        <v/>
      </c>
      <c r="BX146" s="168" t="str">
        <f t="shared" si="331"/>
        <v/>
      </c>
      <c r="BY146" s="169" t="str">
        <f t="shared" si="332"/>
        <v/>
      </c>
      <c r="BZ146" s="172" t="str">
        <f t="shared" si="333"/>
        <v/>
      </c>
      <c r="CA146" s="171" t="str">
        <f t="array" ref="CA146">IFERROR(IF(BU146="ac"+ISNUMBER(SEARCH("'",BZ146))+BY146="","", IF(ISNUMBER(SEARCH("lw",BZ146)), BM146 + SUBSTITUTE(BZ146,"lw+",""), MROUND(SWITCH(BU146,"sq",BY$7,"bn",BZ$7,"dl",CA$7,"")*IF(BZ146&gt;10, BZ146/100, VLOOKUP(BZ146, _rpe,SUBSTITUTE(BY146,"+","")+1,0)), IF( SWITCH(BU146,"sq",BY$7,"bn",BZ$7,"dl", CA$7,"")&lt; IF(_uom="lbs", 175, 80), 1.25, IF(_uom="lbs",5,2.5))))), "")</f>
        <v/>
      </c>
      <c r="CB146" s="148"/>
      <c r="CC146" s="33"/>
      <c r="CD146" s="171"/>
      <c r="CE146" s="124" t="str">
        <f>IFERROR(__xludf.DUMMYFUNCTION("IF(CA146=MAX(FILTER(CA$10:CA$199,LOOKUP(ROW(BU$10:BU$199),FILTER(ROW(BU$10:BU$199),BU$10:BU$199&lt;&gt;BU$9:BU$198))=LOOKUP(ROW(BU146),FILTER(ROW(BU$10:BU$199),BU$10:BU$199&lt;&gt;BU$9:BU$198)))),CB146,)"),"")</f>
        <v/>
      </c>
      <c r="CF146" s="122"/>
      <c r="CG146" s="33"/>
      <c r="CH146" s="143" t="str">
        <f t="shared" si="21"/>
        <v/>
      </c>
      <c r="CI146" s="38" t="str">
        <f>IFERROR(__xludf.DUMMYFUNCTION("""COMPUTED_VALUE"""),"")</f>
        <v/>
      </c>
      <c r="CJ146" s="144">
        <v>46153.0</v>
      </c>
      <c r="CK146" s="167" t="str">
        <f t="shared" si="27"/>
        <v/>
      </c>
      <c r="CL146" s="168" t="str">
        <f t="shared" si="334"/>
        <v/>
      </c>
      <c r="CM146" s="169" t="str">
        <f t="shared" si="335"/>
        <v/>
      </c>
      <c r="CN146" s="172" t="str">
        <f t="shared" si="336"/>
        <v/>
      </c>
      <c r="CO146" s="171" t="str">
        <f t="array" ref="CO146">IFERROR(IF(CI146="ac"+ISNUMBER(SEARCH("'",CN146))+CM146="","", IF(ISNUMBER(SEARCH("lw",CN146)), CA146 + SUBSTITUTE(CN146,"lw+",""), MROUND(SWITCH(CI146,"sq",CM$7,"bn",CN$7,"dl",CO$7,"")*IF(CN146&gt;10, CN146/100, VLOOKUP(CN146, _rpe,SUBSTITUTE(CM146,"+","")+1,0)), IF( SWITCH(CI146,"sq",CM$7,"bn",CN$7,"dl", CO$7,"")&lt; IF(_uom="lbs", 175, 80), 1.25, IF(_uom="lbs",5,2.5))))), "")</f>
        <v/>
      </c>
      <c r="CP146" s="148"/>
      <c r="CQ146" s="33"/>
      <c r="CR146" s="171"/>
      <c r="CS146" s="124" t="str">
        <f>IFERROR(__xludf.DUMMYFUNCTION("IF(CO146=MAX(FILTER(CO$10:CO$199,LOOKUP(ROW(CI$10:CI$199),FILTER(ROW(CI$10:CI$199),CI$10:CI$199&lt;&gt;CI$9:CI$198))=LOOKUP(ROW(CI146),FILTER(ROW(CI$10:CI$199),CI$10:CI$199&lt;&gt;CI$9:CI$198)))),CP146,)"),"")</f>
        <v/>
      </c>
      <c r="CT146" s="122"/>
      <c r="CU146" s="33"/>
      <c r="CV146" s="143" t="str">
        <f t="shared" si="22"/>
        <v/>
      </c>
      <c r="CW146" s="38" t="str">
        <f>IFERROR(__xludf.DUMMYFUNCTION("""COMPUTED_VALUE"""),"")</f>
        <v/>
      </c>
      <c r="CX146" s="144">
        <v>46160.0</v>
      </c>
      <c r="CY146" s="167" t="str">
        <f t="shared" si="28"/>
        <v/>
      </c>
      <c r="CZ146" s="168" t="str">
        <f t="shared" si="337"/>
        <v/>
      </c>
      <c r="DA146" s="169" t="str">
        <f t="shared" si="338"/>
        <v/>
      </c>
      <c r="DB146" s="172" t="str">
        <f t="shared" si="339"/>
        <v/>
      </c>
      <c r="DC146" s="171" t="str">
        <f t="array" ref="DC146">IFERROR(IF(CW146="ac"+ISNUMBER(SEARCH("'",DB146))+DA146="","", IF(ISNUMBER(SEARCH("lw",DB146)), CO146 + SUBSTITUTE(DB146,"lw+",""), MROUND(SWITCH(CW146,"sq",DA$7,"bn",DB$7,"dl",DC$7,"")*IF(DB146&gt;10, DB146/100, VLOOKUP(DB146, _rpe,SUBSTITUTE(DA146,"+","")+1,0)), IF( SWITCH(CW146,"sq",DA$7,"bn",DB$7,"dl", DC$7,"")&lt; IF(_uom="lbs", 175, 80), 1.25, IF(_uom="lbs",5,2.5))))), "")</f>
        <v/>
      </c>
      <c r="DD146" s="148"/>
      <c r="DE146" s="33"/>
      <c r="DF146" s="171"/>
      <c r="DG146" s="124" t="str">
        <f>IFERROR(__xludf.DUMMYFUNCTION("IF(DC146=MAX(FILTER(DC$10:DC$199,LOOKUP(ROW(CW$10:CW$199),FILTER(ROW(CW$10:CW$199),CW$10:CW$199&lt;&gt;CW$9:CW$198))=LOOKUP(ROW(CW146),FILTER(ROW(CW$10:CW$199),CW$10:CW$199&lt;&gt;CW$9:CW$198)))),DD146,)"),"")</f>
        <v/>
      </c>
      <c r="DH146" s="122"/>
      <c r="DI146" s="33"/>
      <c r="DJ146" s="143" t="str">
        <f t="shared" si="23"/>
        <v/>
      </c>
      <c r="DK146" s="38" t="str">
        <f>IFERROR(__xludf.DUMMYFUNCTION("""COMPUTED_VALUE"""),"")</f>
        <v/>
      </c>
      <c r="DL146" s="144">
        <v>46167.0</v>
      </c>
      <c r="DM146" s="167" t="str">
        <f t="shared" ref="DM146:DN146" si="398">IF(ISBLANK(CY146),"",CY146)</f>
        <v/>
      </c>
      <c r="DN146" s="168" t="str">
        <f t="shared" si="398"/>
        <v/>
      </c>
      <c r="DO146" s="169" t="str">
        <f t="shared" si="341"/>
        <v/>
      </c>
      <c r="DP146" s="172" t="str">
        <f t="shared" si="342"/>
        <v/>
      </c>
      <c r="DQ146" s="171" t="str">
        <f t="array" ref="DQ146">IFERROR(IF(DK146="ac"+ISNUMBER(SEARCH("'",DP146))+DO146="","", IF(ISNUMBER(SEARCH("lw",DP146)), DC146 + SUBSTITUTE(DP146,"lw+",""), MROUND(SWITCH(DK146,"sq",DO$7,"bn",DP$7,"dl",DQ$7,"")*IF(DP146&gt;10, DP146/100, VLOOKUP(DP146, _rpe,SUBSTITUTE(DO146,"+","")+1,0)), IF( SWITCH(DK146,"sq",DO$7,"bn",DP$7,"dl", DQ$7,"")&lt; IF(_uom="lbs", 175, 80), 1.25, IF(_uom="lbs",5,2.5))))), "")</f>
        <v/>
      </c>
      <c r="DR146" s="148"/>
      <c r="DS146" s="33"/>
      <c r="DT146" s="171"/>
      <c r="DU146" s="124" t="str">
        <f>IFERROR(__xludf.DUMMYFUNCTION("IF(DQ146=MAX(FILTER(DQ$10:DQ$199,LOOKUP(ROW(DK$10:DK$199),FILTER(ROW(DK$10:DK$199),DK$10:DK$199&lt;&gt;DK$9:DK$198))=LOOKUP(ROW(DK146),FILTER(ROW(DK$10:DK$199),DK$10:DK$199&lt;&gt;DK$9:DK$198)))),DR146,)"),"")</f>
        <v/>
      </c>
      <c r="DV146" s="122"/>
      <c r="DW146" s="33"/>
      <c r="DX146" s="143"/>
      <c r="DY146" s="38"/>
      <c r="DZ146" s="144"/>
      <c r="EA146" s="150"/>
      <c r="EB146" s="174"/>
      <c r="EC146" s="175"/>
      <c r="ED146" s="176"/>
      <c r="EE146" s="155"/>
      <c r="EF146" s="148"/>
      <c r="EG146" s="33"/>
      <c r="EH146" s="155"/>
      <c r="EI146" s="148"/>
      <c r="EJ146" s="33"/>
      <c r="EK146" s="33"/>
      <c r="EL146" s="143"/>
      <c r="EM146" s="38"/>
      <c r="EN146" s="144"/>
      <c r="EO146" s="150"/>
      <c r="EP146" s="174"/>
      <c r="EQ146" s="175"/>
      <c r="ER146" s="176"/>
      <c r="ES146" s="155"/>
      <c r="ET146" s="148"/>
      <c r="EU146" s="33"/>
      <c r="EV146" s="155"/>
      <c r="EW146" s="148"/>
      <c r="EX146" s="33"/>
      <c r="EY146" s="33"/>
      <c r="EZ146" s="143"/>
      <c r="FA146" s="38"/>
      <c r="FB146" s="144"/>
      <c r="FC146" s="150"/>
      <c r="FD146" s="174"/>
      <c r="FE146" s="175"/>
      <c r="FF146" s="176"/>
      <c r="FG146" s="155"/>
      <c r="FH146" s="148"/>
      <c r="FI146" s="33"/>
      <c r="FJ146" s="155"/>
      <c r="FK146" s="148"/>
      <c r="FL146" s="33"/>
      <c r="FM146" s="33"/>
      <c r="FN146" s="143"/>
      <c r="FO146" s="38"/>
      <c r="FP146" s="144"/>
      <c r="FQ146" s="150"/>
      <c r="FR146" s="174"/>
      <c r="FS146" s="175"/>
      <c r="FT146" s="176"/>
      <c r="FU146" s="155"/>
      <c r="FV146" s="148"/>
      <c r="FW146" s="33"/>
      <c r="FX146" s="155"/>
      <c r="FY146" s="148"/>
      <c r="FZ146" s="33"/>
      <c r="GA146" s="33"/>
      <c r="GB146" s="143"/>
      <c r="GC146" s="38"/>
      <c r="GD146" s="144"/>
      <c r="GE146" s="150"/>
      <c r="GF146" s="174"/>
      <c r="GG146" s="175"/>
      <c r="GH146" s="176"/>
      <c r="GI146" s="155"/>
      <c r="GJ146" s="148"/>
      <c r="GK146" s="33"/>
      <c r="GL146" s="155"/>
      <c r="GM146" s="148"/>
      <c r="GN146" s="33"/>
      <c r="GO146" s="33"/>
      <c r="GP146" s="143"/>
      <c r="GQ146" s="38"/>
      <c r="GR146" s="144"/>
      <c r="GS146" s="150"/>
      <c r="GT146" s="174"/>
      <c r="GU146" s="175"/>
      <c r="GV146" s="176"/>
      <c r="GW146" s="155"/>
      <c r="GX146" s="148"/>
      <c r="GY146" s="33"/>
      <c r="GZ146" s="155"/>
      <c r="HA146" s="148"/>
      <c r="HB146" s="33"/>
      <c r="HC146" s="33"/>
      <c r="HD146" s="143"/>
      <c r="HE146" s="38"/>
      <c r="HF146" s="144"/>
      <c r="HG146" s="150"/>
      <c r="HH146" s="174"/>
      <c r="HI146" s="175"/>
      <c r="HJ146" s="176"/>
      <c r="HK146" s="155"/>
      <c r="HL146" s="148"/>
      <c r="HM146" s="33"/>
      <c r="HN146" s="155"/>
      <c r="HO146" s="148"/>
      <c r="HP146" s="33"/>
      <c r="HQ146" s="33"/>
      <c r="HR146" s="143"/>
      <c r="HS146" s="38"/>
      <c r="HT146" s="144"/>
      <c r="HU146" s="150"/>
      <c r="HV146" s="174"/>
      <c r="HW146" s="175"/>
      <c r="HX146" s="176"/>
      <c r="HY146" s="155"/>
      <c r="HZ146" s="148"/>
      <c r="IA146" s="33"/>
      <c r="IB146" s="155"/>
      <c r="IC146" s="148"/>
      <c r="ID146" s="33"/>
      <c r="IE146" s="33"/>
      <c r="IF146" s="143"/>
      <c r="IG146" s="38"/>
      <c r="IH146" s="144"/>
      <c r="II146" s="150"/>
      <c r="IJ146" s="174"/>
      <c r="IK146" s="175"/>
      <c r="IL146" s="176"/>
      <c r="IM146" s="155"/>
      <c r="IN146" s="148"/>
      <c r="IO146" s="33"/>
      <c r="IP146" s="155"/>
      <c r="IQ146" s="148"/>
      <c r="IR146" s="33"/>
      <c r="IS146" s="33"/>
      <c r="IT146" s="143"/>
      <c r="IU146" s="38"/>
      <c r="IV146" s="144"/>
      <c r="IW146" s="143"/>
      <c r="IX146" s="38"/>
      <c r="IY146" s="144" t="e">
        <v>#REF!</v>
      </c>
    </row>
    <row r="147">
      <c r="A147" s="33"/>
      <c r="B147" s="181"/>
      <c r="C147" s="38" t="str">
        <f>IFERROR(__xludf.DUMMYFUNCTION("""COMPUTED_VALUE"""),"")</f>
        <v/>
      </c>
      <c r="D147" s="144">
        <v>46111.0</v>
      </c>
      <c r="E147" s="182"/>
      <c r="F147" s="168"/>
      <c r="G147" s="169"/>
      <c r="H147" s="170"/>
      <c r="I147" s="171" t="str">
        <f t="array" ref="I147">IFERROR(IF(C147="ac"+ISNUMBER(SEARCH("'",H147))+G147="","", MROUND(SWITCH(C147,"sq",'Personal Info'!$O$15,"bn",'Personal Info'!$S$15,"dl",'Personal Info'!$W$15,"")*IF(H147&gt;10, H147/100, VLOOKUP(H147, _rpe,SUBSTITUTE(G147,"+","")+1,0)), IF( SWITCH(C147:C210,"sq",'Personal Info'!$O$15,"bn",'Personal Info'!$S$15,"dl", 'Personal Info'!$W$15,"")&lt; IF(_uom="lbs", 175, 80), 1.25, IF(_uom="lbs",5,2.5)))),"")</f>
        <v/>
      </c>
      <c r="J147" s="148"/>
      <c r="K147" s="33"/>
      <c r="L147" s="171"/>
      <c r="M147" s="124" t="str">
        <f>IFERROR(__xludf.DUMMYFUNCTION("IF(I147=MAX(FILTER(I$10:I$199,LOOKUP(ROW(C$10:C$199),FILTER(ROW(C$10:C$199),C$10:C$199&lt;&gt;C$9:C$198))=LOOKUP(ROW(C147),FILTER(ROW(C$10:C$199),C$10:C$199&lt;&gt;C$9:C$198)))),J147,)"),"")</f>
        <v/>
      </c>
      <c r="N147" s="122"/>
      <c r="O147" s="33"/>
      <c r="P147" s="143" t="str">
        <f t="shared" si="12"/>
        <v/>
      </c>
      <c r="Q147" s="38" t="str">
        <f>IFERROR(__xludf.DUMMYFUNCTION("""COMPUTED_VALUE"""),"")</f>
        <v/>
      </c>
      <c r="R147" s="144">
        <v>46118.0</v>
      </c>
      <c r="S147" s="167" t="str">
        <f t="shared" si="13"/>
        <v/>
      </c>
      <c r="T147" s="168" t="str">
        <f t="shared" si="319"/>
        <v/>
      </c>
      <c r="U147" s="169" t="str">
        <f t="shared" si="320"/>
        <v/>
      </c>
      <c r="V147" s="172" t="str">
        <f t="shared" si="321"/>
        <v/>
      </c>
      <c r="W147" s="171" t="str">
        <f t="array" ref="W147">IFERROR(IF(Q147="ac"+ISNUMBER(SEARCH("'",V147))+U147="","", IF(ISNUMBER(SEARCH("lw",V147)), I147 + SUBSTITUTE(V147,"lw+",""), MROUND(SWITCH(Q147,"sq",U$7,"bn",V$7,"dl",W$7,"")*IF(V147&gt;10, V147/100, VLOOKUP(V147, _rpe,SUBSTITUTE(U147,"+","")+1,0)), IF( SWITCH(Q147,"sq",U$7,"bn",V$7,"dl", W$7,"")&lt; IF(_uom="lbs", 175, 80), 1.25, IF(_uom="lbs",5,2.5))))), "")</f>
        <v/>
      </c>
      <c r="X147" s="148"/>
      <c r="Y147" s="33"/>
      <c r="Z147" s="171"/>
      <c r="AA147" s="124" t="str">
        <f>IFERROR(__xludf.DUMMYFUNCTION("IF(W147=MAX(FILTER(W$10:W$199,LOOKUP(ROW(Q$10:Q$199),FILTER(ROW(Q$10:Q$199),Q$10:Q$199&lt;&gt;Q$9:Q$198))=LOOKUP(ROW(Q147),FILTER(ROW(Q$10:Q$199),Q$10:Q$199&lt;&gt;Q$9:Q$198)))),X147,)"),"")</f>
        <v/>
      </c>
      <c r="AB147" s="122"/>
      <c r="AC147" s="33"/>
      <c r="AD147" s="143" t="str">
        <f t="shared" si="14"/>
        <v/>
      </c>
      <c r="AE147" s="38" t="str">
        <f>IFERROR(__xludf.DUMMYFUNCTION("""COMPUTED_VALUE"""),"")</f>
        <v/>
      </c>
      <c r="AF147" s="144">
        <v>46125.0</v>
      </c>
      <c r="AG147" s="167" t="str">
        <f t="shared" si="54"/>
        <v/>
      </c>
      <c r="AH147" s="168" t="str">
        <f t="shared" si="322"/>
        <v/>
      </c>
      <c r="AI147" s="169" t="str">
        <f t="shared" si="323"/>
        <v/>
      </c>
      <c r="AJ147" s="172" t="str">
        <f t="shared" si="324"/>
        <v/>
      </c>
      <c r="AK147" s="171" t="str">
        <f t="array" ref="AK147">IFERROR(IF(AE147="ac"+ISNUMBER(SEARCH("'",AJ147))+AI147="","", IF(ISNUMBER(SEARCH("lw",AJ147)), W147 + SUBSTITUTE(AJ147,"lw+",""), MROUND(SWITCH(AE147,"sq",AI$7,"bn",AJ$7,"dl",AK$7,"")*IF(AJ147&gt;10, AJ147/100, VLOOKUP(AJ147, _rpe,SUBSTITUTE(AI147,"+","")+1,0)), IF( SWITCH(AE147,"sq",AI$7,"bn",AJ$7,"dl", AK$7,"")&lt; IF(_uom="lbs", 175, 80), 1.25, IF(_uom="lbs",5,2.5))))), "")</f>
        <v/>
      </c>
      <c r="AL147" s="148"/>
      <c r="AM147" s="33"/>
      <c r="AN147" s="171"/>
      <c r="AO147" s="124" t="str">
        <f>IFERROR(__xludf.DUMMYFUNCTION("IF(AK147=MAX(FILTER(AK$10:AK$199,LOOKUP(ROW(AE$10:AE$199),FILTER(ROW(AE$10:AE$199),AE$10:AE$199&lt;&gt;AE$9:AE$198))=LOOKUP(ROW(AE147),FILTER(ROW(AE$10:AE$199),AE$10:AE$199&lt;&gt;AE$9:AE$198)))),AL147,)"),"")</f>
        <v/>
      </c>
      <c r="AP147" s="122"/>
      <c r="AQ147" s="33"/>
      <c r="AR147" s="143" t="str">
        <f t="shared" si="16"/>
        <v/>
      </c>
      <c r="AS147" s="38" t="str">
        <f>IFERROR(__xludf.DUMMYFUNCTION("""COMPUTED_VALUE"""),"")</f>
        <v/>
      </c>
      <c r="AT147" s="144">
        <v>46132.0</v>
      </c>
      <c r="AU147" s="167" t="str">
        <f t="shared" si="26"/>
        <v/>
      </c>
      <c r="AV147" s="168" t="str">
        <f t="shared" si="325"/>
        <v/>
      </c>
      <c r="AW147" s="169" t="str">
        <f t="shared" si="326"/>
        <v/>
      </c>
      <c r="AX147" s="172" t="str">
        <f t="shared" si="327"/>
        <v/>
      </c>
      <c r="AY147" s="171" t="str">
        <f t="array" ref="AY147">IFERROR(IF(AS147="ac"+ISNUMBER(SEARCH("'",AX147))+AW147="","", IF(ISNUMBER(SEARCH("lw",AX147)), AK147 + SUBSTITUTE(AX147,"lw+",""), MROUND(SWITCH(AS147,"sq",AW$7,"bn",AX$7,"dl",AY$7,"")*IF(AX147&gt;10, AX147/100, VLOOKUP(AX147, _rpe,SUBSTITUTE(AW147,"+","")+1,0)), IF( SWITCH(AS147,"sq",AW$7,"bn",AX$7,"dl", AY$7,"")&lt; IF(_uom="lbs", 175, 80), 1.25, IF(_uom="lbs",5,2.5))))), "")</f>
        <v/>
      </c>
      <c r="AZ147" s="148"/>
      <c r="BA147" s="33"/>
      <c r="BB147" s="171"/>
      <c r="BC147" s="124" t="str">
        <f>IFERROR(__xludf.DUMMYFUNCTION("IF(AY147=MAX(FILTER(AY$10:AY$199,LOOKUP(ROW(AS$10:AS$199),FILTER(ROW(AS$10:AS$199),AS$10:AS$199&lt;&gt;AS$9:AS$198))=LOOKUP(ROW(AS147),FILTER(ROW(AS$10:AS$199),AS$10:AS$199&lt;&gt;AS$9:AS$198)))),AZ147,)"),"")</f>
        <v/>
      </c>
      <c r="BD147" s="122"/>
      <c r="BE147" s="33"/>
      <c r="BF147" s="143" t="str">
        <f t="shared" si="17"/>
        <v/>
      </c>
      <c r="BG147" s="38" t="str">
        <f>IFERROR(__xludf.DUMMYFUNCTION("""COMPUTED_VALUE"""),"")</f>
        <v/>
      </c>
      <c r="BH147" s="144">
        <v>46139.0</v>
      </c>
      <c r="BI147" s="167" t="str">
        <f t="shared" si="18"/>
        <v/>
      </c>
      <c r="BJ147" s="168" t="str">
        <f t="shared" si="328"/>
        <v/>
      </c>
      <c r="BK147" s="169" t="str">
        <f t="shared" si="329"/>
        <v/>
      </c>
      <c r="BL147" s="172" t="str">
        <f t="shared" si="330"/>
        <v/>
      </c>
      <c r="BM147" s="171" t="str">
        <f t="array" ref="BM147">IFERROR(IF(BG147="ac"+ISNUMBER(SEARCH("'",BL147))+BK147="","", IF(ISNUMBER(SEARCH("lw",BL147)), AY147 + SUBSTITUTE(BL147,"lw+",""), MROUND(SWITCH(BG147,"sq",BK$7,"bn",BL$7,"dl",BM$7,"")*IF(BL147&gt;10, BL147/100, VLOOKUP(BL147, _rpe,SUBSTITUTE(BK147,"+","")+1,0)), IF( SWITCH(BG147,"sq",BK$7,"bn",BL$7,"dl", BM$7,"")&lt; IF(_uom="lbs", 175, 80), 1.25, IF(_uom="lbs",5,2.5))))), "")</f>
        <v/>
      </c>
      <c r="BN147" s="148"/>
      <c r="BO147" s="33"/>
      <c r="BP147" s="171"/>
      <c r="BQ147" s="124" t="str">
        <f>IFERROR(__xludf.DUMMYFUNCTION("IF(BM147=MAX(FILTER(BM$10:BM$199,LOOKUP(ROW(BG$10:BG$199),FILTER(ROW(BG$10:BG$199),BG$10:BG$199&lt;&gt;BG$9:BG$198))=LOOKUP(ROW(BG147),FILTER(ROW(BG$10:BG$199),BG$10:BG$199&lt;&gt;BG$9:BG$198)))),BN147,)"),"")</f>
        <v/>
      </c>
      <c r="BR147" s="122"/>
      <c r="BS147" s="33"/>
      <c r="BT147" s="143" t="str">
        <f t="shared" si="19"/>
        <v/>
      </c>
      <c r="BU147" s="38" t="str">
        <f>IFERROR(__xludf.DUMMYFUNCTION("""COMPUTED_VALUE"""),"")</f>
        <v/>
      </c>
      <c r="BV147" s="144">
        <v>46146.0</v>
      </c>
      <c r="BW147" s="167" t="str">
        <f t="shared" si="20"/>
        <v/>
      </c>
      <c r="BX147" s="168" t="str">
        <f t="shared" si="331"/>
        <v/>
      </c>
      <c r="BY147" s="169" t="str">
        <f t="shared" si="332"/>
        <v/>
      </c>
      <c r="BZ147" s="172" t="str">
        <f t="shared" si="333"/>
        <v/>
      </c>
      <c r="CA147" s="171" t="str">
        <f t="array" ref="CA147">IFERROR(IF(BU147="ac"+ISNUMBER(SEARCH("'",BZ147))+BY147="","", IF(ISNUMBER(SEARCH("lw",BZ147)), BM147 + SUBSTITUTE(BZ147,"lw+",""), MROUND(SWITCH(BU147,"sq",BY$7,"bn",BZ$7,"dl",CA$7,"")*IF(BZ147&gt;10, BZ147/100, VLOOKUP(BZ147, _rpe,SUBSTITUTE(BY147,"+","")+1,0)), IF( SWITCH(BU147,"sq",BY$7,"bn",BZ$7,"dl", CA$7,"")&lt; IF(_uom="lbs", 175, 80), 1.25, IF(_uom="lbs",5,2.5))))), "")</f>
        <v/>
      </c>
      <c r="CB147" s="148"/>
      <c r="CC147" s="33"/>
      <c r="CD147" s="171"/>
      <c r="CE147" s="124" t="str">
        <f>IFERROR(__xludf.DUMMYFUNCTION("IF(CA147=MAX(FILTER(CA$10:CA$199,LOOKUP(ROW(BU$10:BU$199),FILTER(ROW(BU$10:BU$199),BU$10:BU$199&lt;&gt;BU$9:BU$198))=LOOKUP(ROW(BU147),FILTER(ROW(BU$10:BU$199),BU$10:BU$199&lt;&gt;BU$9:BU$198)))),CB147,)"),"")</f>
        <v/>
      </c>
      <c r="CF147" s="122"/>
      <c r="CG147" s="33"/>
      <c r="CH147" s="143" t="str">
        <f t="shared" si="21"/>
        <v/>
      </c>
      <c r="CI147" s="38" t="str">
        <f>IFERROR(__xludf.DUMMYFUNCTION("""COMPUTED_VALUE"""),"")</f>
        <v/>
      </c>
      <c r="CJ147" s="144">
        <v>46153.0</v>
      </c>
      <c r="CK147" s="167" t="str">
        <f t="shared" si="27"/>
        <v/>
      </c>
      <c r="CL147" s="168" t="str">
        <f t="shared" si="334"/>
        <v/>
      </c>
      <c r="CM147" s="169" t="str">
        <f t="shared" si="335"/>
        <v/>
      </c>
      <c r="CN147" s="172" t="str">
        <f t="shared" si="336"/>
        <v/>
      </c>
      <c r="CO147" s="171" t="str">
        <f t="array" ref="CO147">IFERROR(IF(CI147="ac"+ISNUMBER(SEARCH("'",CN147))+CM147="","", IF(ISNUMBER(SEARCH("lw",CN147)), CA147 + SUBSTITUTE(CN147,"lw+",""), MROUND(SWITCH(CI147,"sq",CM$7,"bn",CN$7,"dl",CO$7,"")*IF(CN147&gt;10, CN147/100, VLOOKUP(CN147, _rpe,SUBSTITUTE(CM147,"+","")+1,0)), IF( SWITCH(CI147,"sq",CM$7,"bn",CN$7,"dl", CO$7,"")&lt; IF(_uom="lbs", 175, 80), 1.25, IF(_uom="lbs",5,2.5))))), "")</f>
        <v/>
      </c>
      <c r="CP147" s="148"/>
      <c r="CQ147" s="33"/>
      <c r="CR147" s="171"/>
      <c r="CS147" s="124" t="str">
        <f>IFERROR(__xludf.DUMMYFUNCTION("IF(CO147=MAX(FILTER(CO$10:CO$199,LOOKUP(ROW(CI$10:CI$199),FILTER(ROW(CI$10:CI$199),CI$10:CI$199&lt;&gt;CI$9:CI$198))=LOOKUP(ROW(CI147),FILTER(ROW(CI$10:CI$199),CI$10:CI$199&lt;&gt;CI$9:CI$198)))),CP147,)"),"")</f>
        <v/>
      </c>
      <c r="CT147" s="122"/>
      <c r="CU147" s="33"/>
      <c r="CV147" s="143" t="str">
        <f t="shared" si="22"/>
        <v/>
      </c>
      <c r="CW147" s="38" t="str">
        <f>IFERROR(__xludf.DUMMYFUNCTION("""COMPUTED_VALUE"""),"")</f>
        <v/>
      </c>
      <c r="CX147" s="144">
        <v>46160.0</v>
      </c>
      <c r="CY147" s="167" t="str">
        <f t="shared" si="28"/>
        <v/>
      </c>
      <c r="CZ147" s="168" t="str">
        <f t="shared" si="337"/>
        <v/>
      </c>
      <c r="DA147" s="169" t="str">
        <f t="shared" si="338"/>
        <v/>
      </c>
      <c r="DB147" s="172" t="str">
        <f t="shared" si="339"/>
        <v/>
      </c>
      <c r="DC147" s="171" t="str">
        <f t="array" ref="DC147">IFERROR(IF(CW147="ac"+ISNUMBER(SEARCH("'",DB147))+DA147="","", IF(ISNUMBER(SEARCH("lw",DB147)), CO147 + SUBSTITUTE(DB147,"lw+",""), MROUND(SWITCH(CW147,"sq",DA$7,"bn",DB$7,"dl",DC$7,"")*IF(DB147&gt;10, DB147/100, VLOOKUP(DB147, _rpe,SUBSTITUTE(DA147,"+","")+1,0)), IF( SWITCH(CW147,"sq",DA$7,"bn",DB$7,"dl", DC$7,"")&lt; IF(_uom="lbs", 175, 80), 1.25, IF(_uom="lbs",5,2.5))))), "")</f>
        <v/>
      </c>
      <c r="DD147" s="148"/>
      <c r="DE147" s="33"/>
      <c r="DF147" s="171"/>
      <c r="DG147" s="124" t="str">
        <f>IFERROR(__xludf.DUMMYFUNCTION("IF(DC147=MAX(FILTER(DC$10:DC$199,LOOKUP(ROW(CW$10:CW$199),FILTER(ROW(CW$10:CW$199),CW$10:CW$199&lt;&gt;CW$9:CW$198))=LOOKUP(ROW(CW147),FILTER(ROW(CW$10:CW$199),CW$10:CW$199&lt;&gt;CW$9:CW$198)))),DD147,)"),"")</f>
        <v/>
      </c>
      <c r="DH147" s="122"/>
      <c r="DI147" s="33"/>
      <c r="DJ147" s="143" t="str">
        <f t="shared" si="23"/>
        <v/>
      </c>
      <c r="DK147" s="38" t="str">
        <f>IFERROR(__xludf.DUMMYFUNCTION("""COMPUTED_VALUE"""),"")</f>
        <v/>
      </c>
      <c r="DL147" s="144">
        <v>46167.0</v>
      </c>
      <c r="DM147" s="167" t="str">
        <f t="shared" ref="DM147:DN147" si="399">IF(ISBLANK(CY147),"",CY147)</f>
        <v/>
      </c>
      <c r="DN147" s="168" t="str">
        <f t="shared" si="399"/>
        <v/>
      </c>
      <c r="DO147" s="169" t="str">
        <f t="shared" si="341"/>
        <v/>
      </c>
      <c r="DP147" s="172" t="str">
        <f t="shared" si="342"/>
        <v/>
      </c>
      <c r="DQ147" s="171" t="str">
        <f t="array" ref="DQ147">IFERROR(IF(DK147="ac"+ISNUMBER(SEARCH("'",DP147))+DO147="","", IF(ISNUMBER(SEARCH("lw",DP147)), DC147 + SUBSTITUTE(DP147,"lw+",""), MROUND(SWITCH(DK147,"sq",DO$7,"bn",DP$7,"dl",DQ$7,"")*IF(DP147&gt;10, DP147/100, VLOOKUP(DP147, _rpe,SUBSTITUTE(DO147,"+","")+1,0)), IF( SWITCH(DK147,"sq",DO$7,"bn",DP$7,"dl", DQ$7,"")&lt; IF(_uom="lbs", 175, 80), 1.25, IF(_uom="lbs",5,2.5))))), "")</f>
        <v/>
      </c>
      <c r="DR147" s="148"/>
      <c r="DS147" s="33"/>
      <c r="DT147" s="171"/>
      <c r="DU147" s="124" t="str">
        <f>IFERROR(__xludf.DUMMYFUNCTION("IF(DQ147=MAX(FILTER(DQ$10:DQ$199,LOOKUP(ROW(DK$10:DK$199),FILTER(ROW(DK$10:DK$199),DK$10:DK$199&lt;&gt;DK$9:DK$198))=LOOKUP(ROW(DK147),FILTER(ROW(DK$10:DK$199),DK$10:DK$199&lt;&gt;DK$9:DK$198)))),DR147,)"),"")</f>
        <v/>
      </c>
      <c r="DV147" s="122"/>
      <c r="DW147" s="33"/>
      <c r="DX147" s="143"/>
      <c r="DY147" s="38"/>
      <c r="DZ147" s="144"/>
      <c r="EA147" s="150"/>
      <c r="EB147" s="174"/>
      <c r="EC147" s="175"/>
      <c r="ED147" s="176"/>
      <c r="EE147" s="155"/>
      <c r="EF147" s="148"/>
      <c r="EG147" s="33"/>
      <c r="EH147" s="155"/>
      <c r="EI147" s="148"/>
      <c r="EJ147" s="33"/>
      <c r="EK147" s="33"/>
      <c r="EL147" s="143"/>
      <c r="EM147" s="38"/>
      <c r="EN147" s="144"/>
      <c r="EO147" s="150"/>
      <c r="EP147" s="174"/>
      <c r="EQ147" s="175"/>
      <c r="ER147" s="176"/>
      <c r="ES147" s="155"/>
      <c r="ET147" s="148"/>
      <c r="EU147" s="33"/>
      <c r="EV147" s="155"/>
      <c r="EW147" s="148"/>
      <c r="EX147" s="33"/>
      <c r="EY147" s="33"/>
      <c r="EZ147" s="143"/>
      <c r="FA147" s="38"/>
      <c r="FB147" s="144"/>
      <c r="FC147" s="150"/>
      <c r="FD147" s="174"/>
      <c r="FE147" s="175"/>
      <c r="FF147" s="176"/>
      <c r="FG147" s="155"/>
      <c r="FH147" s="148"/>
      <c r="FI147" s="33"/>
      <c r="FJ147" s="155"/>
      <c r="FK147" s="148"/>
      <c r="FL147" s="33"/>
      <c r="FM147" s="33"/>
      <c r="FN147" s="143"/>
      <c r="FO147" s="38"/>
      <c r="FP147" s="144"/>
      <c r="FQ147" s="150"/>
      <c r="FR147" s="174"/>
      <c r="FS147" s="175"/>
      <c r="FT147" s="176"/>
      <c r="FU147" s="155"/>
      <c r="FV147" s="148"/>
      <c r="FW147" s="33"/>
      <c r="FX147" s="155"/>
      <c r="FY147" s="148"/>
      <c r="FZ147" s="33"/>
      <c r="GA147" s="33"/>
      <c r="GB147" s="143"/>
      <c r="GC147" s="38"/>
      <c r="GD147" s="144"/>
      <c r="GE147" s="150"/>
      <c r="GF147" s="174"/>
      <c r="GG147" s="175"/>
      <c r="GH147" s="176"/>
      <c r="GI147" s="155"/>
      <c r="GJ147" s="148"/>
      <c r="GK147" s="33"/>
      <c r="GL147" s="155"/>
      <c r="GM147" s="148"/>
      <c r="GN147" s="33"/>
      <c r="GO147" s="33"/>
      <c r="GP147" s="143"/>
      <c r="GQ147" s="38"/>
      <c r="GR147" s="144"/>
      <c r="GS147" s="150"/>
      <c r="GT147" s="174"/>
      <c r="GU147" s="175"/>
      <c r="GV147" s="176"/>
      <c r="GW147" s="155"/>
      <c r="GX147" s="148"/>
      <c r="GY147" s="33"/>
      <c r="GZ147" s="155"/>
      <c r="HA147" s="148"/>
      <c r="HB147" s="33"/>
      <c r="HC147" s="33"/>
      <c r="HD147" s="143"/>
      <c r="HE147" s="38"/>
      <c r="HF147" s="144"/>
      <c r="HG147" s="150"/>
      <c r="HH147" s="174"/>
      <c r="HI147" s="175"/>
      <c r="HJ147" s="176"/>
      <c r="HK147" s="155"/>
      <c r="HL147" s="148"/>
      <c r="HM147" s="33"/>
      <c r="HN147" s="155"/>
      <c r="HO147" s="148"/>
      <c r="HP147" s="33"/>
      <c r="HQ147" s="33"/>
      <c r="HR147" s="143"/>
      <c r="HS147" s="38"/>
      <c r="HT147" s="144"/>
      <c r="HU147" s="150"/>
      <c r="HV147" s="174"/>
      <c r="HW147" s="175"/>
      <c r="HX147" s="176"/>
      <c r="HY147" s="155"/>
      <c r="HZ147" s="148"/>
      <c r="IA147" s="33"/>
      <c r="IB147" s="155"/>
      <c r="IC147" s="148"/>
      <c r="ID147" s="33"/>
      <c r="IE147" s="33"/>
      <c r="IF147" s="143"/>
      <c r="IG147" s="38"/>
      <c r="IH147" s="144"/>
      <c r="II147" s="150"/>
      <c r="IJ147" s="174"/>
      <c r="IK147" s="175"/>
      <c r="IL147" s="176"/>
      <c r="IM147" s="155"/>
      <c r="IN147" s="148"/>
      <c r="IO147" s="33"/>
      <c r="IP147" s="155"/>
      <c r="IQ147" s="148"/>
      <c r="IR147" s="33"/>
      <c r="IS147" s="33"/>
      <c r="IT147" s="143"/>
      <c r="IU147" s="38"/>
      <c r="IV147" s="144"/>
      <c r="IW147" s="143"/>
      <c r="IX147" s="38"/>
      <c r="IY147" s="144" t="e">
        <v>#REF!</v>
      </c>
    </row>
    <row r="148">
      <c r="A148" s="33"/>
      <c r="B148" s="181"/>
      <c r="C148" s="38" t="str">
        <f>IFERROR(__xludf.DUMMYFUNCTION("""COMPUTED_VALUE"""),"")</f>
        <v/>
      </c>
      <c r="D148" s="144">
        <v>46111.0</v>
      </c>
      <c r="E148" s="182"/>
      <c r="F148" s="168"/>
      <c r="G148" s="169"/>
      <c r="H148" s="170"/>
      <c r="I148" s="171" t="str">
        <f t="array" ref="I148">IFERROR(IF(C148="ac"+ISNUMBER(SEARCH("'",H148))+G148="","", MROUND(SWITCH(C148,"sq",'Personal Info'!$O$15,"bn",'Personal Info'!$S$15,"dl",'Personal Info'!$W$15,"")*IF(H148&gt;10, H148/100, VLOOKUP(H148, _rpe,SUBSTITUTE(G148,"+","")+1,0)), IF( SWITCH(C148:C210,"sq",'Personal Info'!$O$15,"bn",'Personal Info'!$S$15,"dl", 'Personal Info'!$W$15,"")&lt; IF(_uom="lbs", 175, 80), 1.25, IF(_uom="lbs",5,2.5)))),"")</f>
        <v/>
      </c>
      <c r="J148" s="148"/>
      <c r="K148" s="33"/>
      <c r="L148" s="171"/>
      <c r="M148" s="124" t="str">
        <f>IFERROR(__xludf.DUMMYFUNCTION("IF(I148=MAX(FILTER(I$10:I$199,LOOKUP(ROW(C$10:C$199),FILTER(ROW(C$10:C$199),C$10:C$199&lt;&gt;C$9:C$198))=LOOKUP(ROW(C148),FILTER(ROW(C$10:C$199),C$10:C$199&lt;&gt;C$9:C$198)))),J148,)"),"")</f>
        <v/>
      </c>
      <c r="N148" s="122"/>
      <c r="O148" s="33"/>
      <c r="P148" s="143" t="str">
        <f t="shared" si="12"/>
        <v/>
      </c>
      <c r="Q148" s="38" t="str">
        <f>IFERROR(__xludf.DUMMYFUNCTION("""COMPUTED_VALUE"""),"")</f>
        <v/>
      </c>
      <c r="R148" s="144">
        <v>46118.0</v>
      </c>
      <c r="S148" s="167" t="str">
        <f t="shared" si="13"/>
        <v/>
      </c>
      <c r="T148" s="168" t="str">
        <f t="shared" si="319"/>
        <v/>
      </c>
      <c r="U148" s="169" t="str">
        <f t="shared" si="320"/>
        <v/>
      </c>
      <c r="V148" s="172" t="str">
        <f t="shared" si="321"/>
        <v/>
      </c>
      <c r="W148" s="171" t="str">
        <f t="array" ref="W148">IFERROR(IF(Q148="ac"+ISNUMBER(SEARCH("'",V148))+U148="","", IF(ISNUMBER(SEARCH("lw",V148)), I148 + SUBSTITUTE(V148,"lw+",""), MROUND(SWITCH(Q148,"sq",U$7,"bn",V$7,"dl",W$7,"")*IF(V148&gt;10, V148/100, VLOOKUP(V148, _rpe,SUBSTITUTE(U148,"+","")+1,0)), IF( SWITCH(Q148,"sq",U$7,"bn",V$7,"dl", W$7,"")&lt; IF(_uom="lbs", 175, 80), 1.25, IF(_uom="lbs",5,2.5))))), "")</f>
        <v/>
      </c>
      <c r="X148" s="148"/>
      <c r="Y148" s="33"/>
      <c r="Z148" s="171"/>
      <c r="AA148" s="124" t="str">
        <f>IFERROR(__xludf.DUMMYFUNCTION("IF(W148=MAX(FILTER(W$10:W$199,LOOKUP(ROW(Q$10:Q$199),FILTER(ROW(Q$10:Q$199),Q$10:Q$199&lt;&gt;Q$9:Q$198))=LOOKUP(ROW(Q148),FILTER(ROW(Q$10:Q$199),Q$10:Q$199&lt;&gt;Q$9:Q$198)))),X148,)"),"")</f>
        <v/>
      </c>
      <c r="AB148" s="122"/>
      <c r="AC148" s="33"/>
      <c r="AD148" s="143" t="str">
        <f t="shared" si="14"/>
        <v/>
      </c>
      <c r="AE148" s="38" t="str">
        <f>IFERROR(__xludf.DUMMYFUNCTION("""COMPUTED_VALUE"""),"")</f>
        <v/>
      </c>
      <c r="AF148" s="144">
        <v>46125.0</v>
      </c>
      <c r="AG148" s="167" t="str">
        <f t="shared" si="54"/>
        <v/>
      </c>
      <c r="AH148" s="168" t="str">
        <f t="shared" si="322"/>
        <v/>
      </c>
      <c r="AI148" s="169" t="str">
        <f t="shared" si="323"/>
        <v/>
      </c>
      <c r="AJ148" s="172" t="str">
        <f t="shared" si="324"/>
        <v/>
      </c>
      <c r="AK148" s="171" t="str">
        <f t="array" ref="AK148">IFERROR(IF(AE148="ac"+ISNUMBER(SEARCH("'",AJ148))+AI148="","", IF(ISNUMBER(SEARCH("lw",AJ148)), W148 + SUBSTITUTE(AJ148,"lw+",""), MROUND(SWITCH(AE148,"sq",AI$7,"bn",AJ$7,"dl",AK$7,"")*IF(AJ148&gt;10, AJ148/100, VLOOKUP(AJ148, _rpe,SUBSTITUTE(AI148,"+","")+1,0)), IF( SWITCH(AE148,"sq",AI$7,"bn",AJ$7,"dl", AK$7,"")&lt; IF(_uom="lbs", 175, 80), 1.25, IF(_uom="lbs",5,2.5))))), "")</f>
        <v/>
      </c>
      <c r="AL148" s="148"/>
      <c r="AM148" s="33"/>
      <c r="AN148" s="171"/>
      <c r="AO148" s="124" t="str">
        <f>IFERROR(__xludf.DUMMYFUNCTION("IF(AK148=MAX(FILTER(AK$10:AK$199,LOOKUP(ROW(AE$10:AE$199),FILTER(ROW(AE$10:AE$199),AE$10:AE$199&lt;&gt;AE$9:AE$198))=LOOKUP(ROW(AE148),FILTER(ROW(AE$10:AE$199),AE$10:AE$199&lt;&gt;AE$9:AE$198)))),AL148,)"),"")</f>
        <v/>
      </c>
      <c r="AP148" s="122"/>
      <c r="AQ148" s="33"/>
      <c r="AR148" s="143" t="str">
        <f t="shared" si="16"/>
        <v/>
      </c>
      <c r="AS148" s="38" t="str">
        <f>IFERROR(__xludf.DUMMYFUNCTION("""COMPUTED_VALUE"""),"")</f>
        <v/>
      </c>
      <c r="AT148" s="144">
        <v>46132.0</v>
      </c>
      <c r="AU148" s="167" t="str">
        <f t="shared" si="26"/>
        <v/>
      </c>
      <c r="AV148" s="168" t="str">
        <f t="shared" si="325"/>
        <v/>
      </c>
      <c r="AW148" s="169" t="str">
        <f t="shared" si="326"/>
        <v/>
      </c>
      <c r="AX148" s="172" t="str">
        <f t="shared" si="327"/>
        <v/>
      </c>
      <c r="AY148" s="171" t="str">
        <f t="array" ref="AY148">IFERROR(IF(AS148="ac"+ISNUMBER(SEARCH("'",AX148))+AW148="","", IF(ISNUMBER(SEARCH("lw",AX148)), AK148 + SUBSTITUTE(AX148,"lw+",""), MROUND(SWITCH(AS148,"sq",AW$7,"bn",AX$7,"dl",AY$7,"")*IF(AX148&gt;10, AX148/100, VLOOKUP(AX148, _rpe,SUBSTITUTE(AW148,"+","")+1,0)), IF( SWITCH(AS148,"sq",AW$7,"bn",AX$7,"dl", AY$7,"")&lt; IF(_uom="lbs", 175, 80), 1.25, IF(_uom="lbs",5,2.5))))), "")</f>
        <v/>
      </c>
      <c r="AZ148" s="148"/>
      <c r="BA148" s="33"/>
      <c r="BB148" s="171"/>
      <c r="BC148" s="124" t="str">
        <f>IFERROR(__xludf.DUMMYFUNCTION("IF(AY148=MAX(FILTER(AY$10:AY$199,LOOKUP(ROW(AS$10:AS$199),FILTER(ROW(AS$10:AS$199),AS$10:AS$199&lt;&gt;AS$9:AS$198))=LOOKUP(ROW(AS148),FILTER(ROW(AS$10:AS$199),AS$10:AS$199&lt;&gt;AS$9:AS$198)))),AZ148,)"),"")</f>
        <v/>
      </c>
      <c r="BD148" s="122"/>
      <c r="BE148" s="33"/>
      <c r="BF148" s="143" t="str">
        <f t="shared" si="17"/>
        <v/>
      </c>
      <c r="BG148" s="38" t="str">
        <f>IFERROR(__xludf.DUMMYFUNCTION("""COMPUTED_VALUE"""),"")</f>
        <v/>
      </c>
      <c r="BH148" s="144">
        <v>46139.0</v>
      </c>
      <c r="BI148" s="167" t="str">
        <f t="shared" si="18"/>
        <v/>
      </c>
      <c r="BJ148" s="168" t="str">
        <f t="shared" si="328"/>
        <v/>
      </c>
      <c r="BK148" s="169" t="str">
        <f t="shared" si="329"/>
        <v/>
      </c>
      <c r="BL148" s="172" t="str">
        <f t="shared" si="330"/>
        <v/>
      </c>
      <c r="BM148" s="171" t="str">
        <f t="array" ref="BM148">IFERROR(IF(BG148="ac"+ISNUMBER(SEARCH("'",BL148))+BK148="","", IF(ISNUMBER(SEARCH("lw",BL148)), AY148 + SUBSTITUTE(BL148,"lw+",""), MROUND(SWITCH(BG148,"sq",BK$7,"bn",BL$7,"dl",BM$7,"")*IF(BL148&gt;10, BL148/100, VLOOKUP(BL148, _rpe,SUBSTITUTE(BK148,"+","")+1,0)), IF( SWITCH(BG148,"sq",BK$7,"bn",BL$7,"dl", BM$7,"")&lt; IF(_uom="lbs", 175, 80), 1.25, IF(_uom="lbs",5,2.5))))), "")</f>
        <v/>
      </c>
      <c r="BN148" s="148"/>
      <c r="BO148" s="33"/>
      <c r="BP148" s="171"/>
      <c r="BQ148" s="124" t="str">
        <f>IFERROR(__xludf.DUMMYFUNCTION("IF(BM148=MAX(FILTER(BM$10:BM$199,LOOKUP(ROW(BG$10:BG$199),FILTER(ROW(BG$10:BG$199),BG$10:BG$199&lt;&gt;BG$9:BG$198))=LOOKUP(ROW(BG148),FILTER(ROW(BG$10:BG$199),BG$10:BG$199&lt;&gt;BG$9:BG$198)))),BN148,)"),"")</f>
        <v/>
      </c>
      <c r="BR148" s="122"/>
      <c r="BS148" s="33"/>
      <c r="BT148" s="143" t="str">
        <f t="shared" si="19"/>
        <v/>
      </c>
      <c r="BU148" s="38" t="str">
        <f>IFERROR(__xludf.DUMMYFUNCTION("""COMPUTED_VALUE"""),"")</f>
        <v/>
      </c>
      <c r="BV148" s="144">
        <v>46146.0</v>
      </c>
      <c r="BW148" s="167" t="str">
        <f t="shared" si="20"/>
        <v/>
      </c>
      <c r="BX148" s="168" t="str">
        <f t="shared" si="331"/>
        <v/>
      </c>
      <c r="BY148" s="169" t="str">
        <f t="shared" si="332"/>
        <v/>
      </c>
      <c r="BZ148" s="172" t="str">
        <f t="shared" si="333"/>
        <v/>
      </c>
      <c r="CA148" s="171" t="str">
        <f t="array" ref="CA148">IFERROR(IF(BU148="ac"+ISNUMBER(SEARCH("'",BZ148))+BY148="","", IF(ISNUMBER(SEARCH("lw",BZ148)), BM148 + SUBSTITUTE(BZ148,"lw+",""), MROUND(SWITCH(BU148,"sq",BY$7,"bn",BZ$7,"dl",CA$7,"")*IF(BZ148&gt;10, BZ148/100, VLOOKUP(BZ148, _rpe,SUBSTITUTE(BY148,"+","")+1,0)), IF( SWITCH(BU148,"sq",BY$7,"bn",BZ$7,"dl", CA$7,"")&lt; IF(_uom="lbs", 175, 80), 1.25, IF(_uom="lbs",5,2.5))))), "")</f>
        <v/>
      </c>
      <c r="CB148" s="148"/>
      <c r="CC148" s="33"/>
      <c r="CD148" s="171"/>
      <c r="CE148" s="124" t="str">
        <f>IFERROR(__xludf.DUMMYFUNCTION("IF(CA148=MAX(FILTER(CA$10:CA$199,LOOKUP(ROW(BU$10:BU$199),FILTER(ROW(BU$10:BU$199),BU$10:BU$199&lt;&gt;BU$9:BU$198))=LOOKUP(ROW(BU148),FILTER(ROW(BU$10:BU$199),BU$10:BU$199&lt;&gt;BU$9:BU$198)))),CB148,)"),"")</f>
        <v/>
      </c>
      <c r="CF148" s="122"/>
      <c r="CG148" s="33"/>
      <c r="CH148" s="143" t="str">
        <f t="shared" si="21"/>
        <v/>
      </c>
      <c r="CI148" s="38" t="str">
        <f>IFERROR(__xludf.DUMMYFUNCTION("""COMPUTED_VALUE"""),"")</f>
        <v/>
      </c>
      <c r="CJ148" s="144">
        <v>46153.0</v>
      </c>
      <c r="CK148" s="167" t="str">
        <f t="shared" si="27"/>
        <v/>
      </c>
      <c r="CL148" s="168" t="str">
        <f t="shared" si="334"/>
        <v/>
      </c>
      <c r="CM148" s="169" t="str">
        <f t="shared" si="335"/>
        <v/>
      </c>
      <c r="CN148" s="172" t="str">
        <f t="shared" si="336"/>
        <v/>
      </c>
      <c r="CO148" s="171" t="str">
        <f t="array" ref="CO148">IFERROR(IF(CI148="ac"+ISNUMBER(SEARCH("'",CN148))+CM148="","", IF(ISNUMBER(SEARCH("lw",CN148)), CA148 + SUBSTITUTE(CN148,"lw+",""), MROUND(SWITCH(CI148,"sq",CM$7,"bn",CN$7,"dl",CO$7,"")*IF(CN148&gt;10, CN148/100, VLOOKUP(CN148, _rpe,SUBSTITUTE(CM148,"+","")+1,0)), IF( SWITCH(CI148,"sq",CM$7,"bn",CN$7,"dl", CO$7,"")&lt; IF(_uom="lbs", 175, 80), 1.25, IF(_uom="lbs",5,2.5))))), "")</f>
        <v/>
      </c>
      <c r="CP148" s="148"/>
      <c r="CQ148" s="33"/>
      <c r="CR148" s="171"/>
      <c r="CS148" s="124" t="str">
        <f>IFERROR(__xludf.DUMMYFUNCTION("IF(CO148=MAX(FILTER(CO$10:CO$199,LOOKUP(ROW(CI$10:CI$199),FILTER(ROW(CI$10:CI$199),CI$10:CI$199&lt;&gt;CI$9:CI$198))=LOOKUP(ROW(CI148),FILTER(ROW(CI$10:CI$199),CI$10:CI$199&lt;&gt;CI$9:CI$198)))),CP148,)"),"")</f>
        <v/>
      </c>
      <c r="CT148" s="122"/>
      <c r="CU148" s="33"/>
      <c r="CV148" s="143" t="str">
        <f t="shared" si="22"/>
        <v/>
      </c>
      <c r="CW148" s="38" t="str">
        <f>IFERROR(__xludf.DUMMYFUNCTION("""COMPUTED_VALUE"""),"")</f>
        <v/>
      </c>
      <c r="CX148" s="144">
        <v>46160.0</v>
      </c>
      <c r="CY148" s="167" t="str">
        <f t="shared" si="28"/>
        <v/>
      </c>
      <c r="CZ148" s="168" t="str">
        <f t="shared" si="337"/>
        <v/>
      </c>
      <c r="DA148" s="169" t="str">
        <f t="shared" si="338"/>
        <v/>
      </c>
      <c r="DB148" s="172" t="str">
        <f t="shared" si="339"/>
        <v/>
      </c>
      <c r="DC148" s="171" t="str">
        <f t="array" ref="DC148">IFERROR(IF(CW148="ac"+ISNUMBER(SEARCH("'",DB148))+DA148="","", IF(ISNUMBER(SEARCH("lw",DB148)), CO148 + SUBSTITUTE(DB148,"lw+",""), MROUND(SWITCH(CW148,"sq",DA$7,"bn",DB$7,"dl",DC$7,"")*IF(DB148&gt;10, DB148/100, VLOOKUP(DB148, _rpe,SUBSTITUTE(DA148,"+","")+1,0)), IF( SWITCH(CW148,"sq",DA$7,"bn",DB$7,"dl", DC$7,"")&lt; IF(_uom="lbs", 175, 80), 1.25, IF(_uom="lbs",5,2.5))))), "")</f>
        <v/>
      </c>
      <c r="DD148" s="148"/>
      <c r="DE148" s="33"/>
      <c r="DF148" s="171"/>
      <c r="DG148" s="124" t="str">
        <f>IFERROR(__xludf.DUMMYFUNCTION("IF(DC148=MAX(FILTER(DC$10:DC$199,LOOKUP(ROW(CW$10:CW$199),FILTER(ROW(CW$10:CW$199),CW$10:CW$199&lt;&gt;CW$9:CW$198))=LOOKUP(ROW(CW148),FILTER(ROW(CW$10:CW$199),CW$10:CW$199&lt;&gt;CW$9:CW$198)))),DD148,)"),"")</f>
        <v/>
      </c>
      <c r="DH148" s="122"/>
      <c r="DI148" s="33"/>
      <c r="DJ148" s="143" t="str">
        <f t="shared" si="23"/>
        <v/>
      </c>
      <c r="DK148" s="38" t="str">
        <f>IFERROR(__xludf.DUMMYFUNCTION("""COMPUTED_VALUE"""),"")</f>
        <v/>
      </c>
      <c r="DL148" s="144">
        <v>46167.0</v>
      </c>
      <c r="DM148" s="167" t="str">
        <f t="shared" ref="DM148:DN148" si="400">IF(ISBLANK(CY148),"",CY148)</f>
        <v/>
      </c>
      <c r="DN148" s="168" t="str">
        <f t="shared" si="400"/>
        <v/>
      </c>
      <c r="DO148" s="169" t="str">
        <f t="shared" si="341"/>
        <v/>
      </c>
      <c r="DP148" s="172" t="str">
        <f t="shared" si="342"/>
        <v/>
      </c>
      <c r="DQ148" s="171" t="str">
        <f t="array" ref="DQ148">IFERROR(IF(DK148="ac"+ISNUMBER(SEARCH("'",DP148))+DO148="","", IF(ISNUMBER(SEARCH("lw",DP148)), DC148 + SUBSTITUTE(DP148,"lw+",""), MROUND(SWITCH(DK148,"sq",DO$7,"bn",DP$7,"dl",DQ$7,"")*IF(DP148&gt;10, DP148/100, VLOOKUP(DP148, _rpe,SUBSTITUTE(DO148,"+","")+1,0)), IF( SWITCH(DK148,"sq",DO$7,"bn",DP$7,"dl", DQ$7,"")&lt; IF(_uom="lbs", 175, 80), 1.25, IF(_uom="lbs",5,2.5))))), "")</f>
        <v/>
      </c>
      <c r="DR148" s="148"/>
      <c r="DS148" s="33"/>
      <c r="DT148" s="171"/>
      <c r="DU148" s="124" t="str">
        <f>IFERROR(__xludf.DUMMYFUNCTION("IF(DQ148=MAX(FILTER(DQ$10:DQ$199,LOOKUP(ROW(DK$10:DK$199),FILTER(ROW(DK$10:DK$199),DK$10:DK$199&lt;&gt;DK$9:DK$198))=LOOKUP(ROW(DK148),FILTER(ROW(DK$10:DK$199),DK$10:DK$199&lt;&gt;DK$9:DK$198)))),DR148,)"),"")</f>
        <v/>
      </c>
      <c r="DV148" s="122"/>
      <c r="DW148" s="33"/>
      <c r="DX148" s="143"/>
      <c r="DY148" s="38"/>
      <c r="DZ148" s="144"/>
      <c r="EA148" s="150"/>
      <c r="EB148" s="174"/>
      <c r="EC148" s="175"/>
      <c r="ED148" s="176"/>
      <c r="EE148" s="155"/>
      <c r="EF148" s="148"/>
      <c r="EG148" s="33"/>
      <c r="EH148" s="155"/>
      <c r="EI148" s="148"/>
      <c r="EJ148" s="33"/>
      <c r="EK148" s="33"/>
      <c r="EL148" s="143"/>
      <c r="EM148" s="38"/>
      <c r="EN148" s="144"/>
      <c r="EO148" s="150"/>
      <c r="EP148" s="174"/>
      <c r="EQ148" s="175"/>
      <c r="ER148" s="176"/>
      <c r="ES148" s="155"/>
      <c r="ET148" s="148"/>
      <c r="EU148" s="33"/>
      <c r="EV148" s="155"/>
      <c r="EW148" s="148"/>
      <c r="EX148" s="33"/>
      <c r="EY148" s="33"/>
      <c r="EZ148" s="143"/>
      <c r="FA148" s="38"/>
      <c r="FB148" s="144"/>
      <c r="FC148" s="150"/>
      <c r="FD148" s="174"/>
      <c r="FE148" s="175"/>
      <c r="FF148" s="176"/>
      <c r="FG148" s="155"/>
      <c r="FH148" s="148"/>
      <c r="FI148" s="33"/>
      <c r="FJ148" s="155"/>
      <c r="FK148" s="148"/>
      <c r="FL148" s="33"/>
      <c r="FM148" s="33"/>
      <c r="FN148" s="143"/>
      <c r="FO148" s="38"/>
      <c r="FP148" s="144"/>
      <c r="FQ148" s="150"/>
      <c r="FR148" s="174"/>
      <c r="FS148" s="175"/>
      <c r="FT148" s="176"/>
      <c r="FU148" s="155"/>
      <c r="FV148" s="148"/>
      <c r="FW148" s="33"/>
      <c r="FX148" s="155"/>
      <c r="FY148" s="148"/>
      <c r="FZ148" s="33"/>
      <c r="GA148" s="33"/>
      <c r="GB148" s="143"/>
      <c r="GC148" s="38"/>
      <c r="GD148" s="144"/>
      <c r="GE148" s="150"/>
      <c r="GF148" s="174"/>
      <c r="GG148" s="175"/>
      <c r="GH148" s="176"/>
      <c r="GI148" s="155"/>
      <c r="GJ148" s="148"/>
      <c r="GK148" s="33"/>
      <c r="GL148" s="155"/>
      <c r="GM148" s="148"/>
      <c r="GN148" s="33"/>
      <c r="GO148" s="33"/>
      <c r="GP148" s="143"/>
      <c r="GQ148" s="38"/>
      <c r="GR148" s="144"/>
      <c r="GS148" s="150"/>
      <c r="GT148" s="174"/>
      <c r="GU148" s="175"/>
      <c r="GV148" s="176"/>
      <c r="GW148" s="155"/>
      <c r="GX148" s="148"/>
      <c r="GY148" s="33"/>
      <c r="GZ148" s="155"/>
      <c r="HA148" s="148"/>
      <c r="HB148" s="33"/>
      <c r="HC148" s="33"/>
      <c r="HD148" s="143"/>
      <c r="HE148" s="38"/>
      <c r="HF148" s="144"/>
      <c r="HG148" s="150"/>
      <c r="HH148" s="174"/>
      <c r="HI148" s="175"/>
      <c r="HJ148" s="176"/>
      <c r="HK148" s="155"/>
      <c r="HL148" s="148"/>
      <c r="HM148" s="33"/>
      <c r="HN148" s="155"/>
      <c r="HO148" s="148"/>
      <c r="HP148" s="33"/>
      <c r="HQ148" s="33"/>
      <c r="HR148" s="143"/>
      <c r="HS148" s="38"/>
      <c r="HT148" s="144"/>
      <c r="HU148" s="150"/>
      <c r="HV148" s="174"/>
      <c r="HW148" s="175"/>
      <c r="HX148" s="176"/>
      <c r="HY148" s="155"/>
      <c r="HZ148" s="148"/>
      <c r="IA148" s="33"/>
      <c r="IB148" s="155"/>
      <c r="IC148" s="148"/>
      <c r="ID148" s="33"/>
      <c r="IE148" s="33"/>
      <c r="IF148" s="143"/>
      <c r="IG148" s="38"/>
      <c r="IH148" s="144"/>
      <c r="II148" s="150"/>
      <c r="IJ148" s="174"/>
      <c r="IK148" s="175"/>
      <c r="IL148" s="176"/>
      <c r="IM148" s="155"/>
      <c r="IN148" s="148"/>
      <c r="IO148" s="33"/>
      <c r="IP148" s="155"/>
      <c r="IQ148" s="148"/>
      <c r="IR148" s="33"/>
      <c r="IS148" s="33"/>
      <c r="IT148" s="143"/>
      <c r="IU148" s="38"/>
      <c r="IV148" s="144"/>
      <c r="IW148" s="143"/>
      <c r="IX148" s="38"/>
      <c r="IY148" s="144" t="e">
        <v>#REF!</v>
      </c>
    </row>
    <row r="149">
      <c r="A149" s="33"/>
      <c r="B149" s="181"/>
      <c r="C149" s="38" t="str">
        <f>IFERROR(__xludf.DUMMYFUNCTION("""COMPUTED_VALUE"""),"")</f>
        <v/>
      </c>
      <c r="D149" s="144">
        <v>46111.0</v>
      </c>
      <c r="E149" s="182"/>
      <c r="F149" s="168"/>
      <c r="G149" s="169"/>
      <c r="H149" s="170"/>
      <c r="I149" s="171" t="str">
        <f t="array" ref="I149">IFERROR(IF(C149="ac"+ISNUMBER(SEARCH("'",H149))+G149="","", MROUND(SWITCH(C149,"sq",'Personal Info'!$O$15,"bn",'Personal Info'!$S$15,"dl",'Personal Info'!$W$15,"")*IF(H149&gt;10, H149/100, VLOOKUP(H149, _rpe,SUBSTITUTE(G149,"+","")+1,0)), IF( SWITCH(C149:C210,"sq",'Personal Info'!$O$15,"bn",'Personal Info'!$S$15,"dl", 'Personal Info'!$W$15,"")&lt; IF(_uom="lbs", 175, 80), 1.25, IF(_uom="lbs",5,2.5)))),"")</f>
        <v/>
      </c>
      <c r="J149" s="148"/>
      <c r="K149" s="33"/>
      <c r="L149" s="171"/>
      <c r="M149" s="124" t="str">
        <f>IFERROR(__xludf.DUMMYFUNCTION("IF(I149=MAX(FILTER(I$10:I$199,LOOKUP(ROW(C$10:C$199),FILTER(ROW(C$10:C$199),C$10:C$199&lt;&gt;C$9:C$198))=LOOKUP(ROW(C149),FILTER(ROW(C$10:C$199),C$10:C$199&lt;&gt;C$9:C$198)))),J149,)"),"")</f>
        <v/>
      </c>
      <c r="N149" s="122"/>
      <c r="O149" s="33"/>
      <c r="P149" s="143" t="str">
        <f t="shared" si="12"/>
        <v/>
      </c>
      <c r="Q149" s="38" t="str">
        <f>IFERROR(__xludf.DUMMYFUNCTION("""COMPUTED_VALUE"""),"")</f>
        <v/>
      </c>
      <c r="R149" s="144">
        <v>46118.0</v>
      </c>
      <c r="S149" s="167" t="str">
        <f t="shared" si="13"/>
        <v/>
      </c>
      <c r="T149" s="168" t="str">
        <f t="shared" si="319"/>
        <v/>
      </c>
      <c r="U149" s="169" t="str">
        <f t="shared" si="320"/>
        <v/>
      </c>
      <c r="V149" s="172" t="str">
        <f t="shared" si="321"/>
        <v/>
      </c>
      <c r="W149" s="171" t="str">
        <f t="array" ref="W149">IFERROR(IF(Q149="ac"+ISNUMBER(SEARCH("'",V149))+U149="","", IF(ISNUMBER(SEARCH("lw",V149)), I149 + SUBSTITUTE(V149,"lw+",""), MROUND(SWITCH(Q149,"sq",U$7,"bn",V$7,"dl",W$7,"")*IF(V149&gt;10, V149/100, VLOOKUP(V149, _rpe,SUBSTITUTE(U149,"+","")+1,0)), IF( SWITCH(Q149,"sq",U$7,"bn",V$7,"dl", W$7,"")&lt; IF(_uom="lbs", 175, 80), 1.25, IF(_uom="lbs",5,2.5))))), "")</f>
        <v/>
      </c>
      <c r="X149" s="148"/>
      <c r="Y149" s="33"/>
      <c r="Z149" s="171"/>
      <c r="AA149" s="124" t="str">
        <f>IFERROR(__xludf.DUMMYFUNCTION("IF(W149=MAX(FILTER(W$10:W$199,LOOKUP(ROW(Q$10:Q$199),FILTER(ROW(Q$10:Q$199),Q$10:Q$199&lt;&gt;Q$9:Q$198))=LOOKUP(ROW(Q149),FILTER(ROW(Q$10:Q$199),Q$10:Q$199&lt;&gt;Q$9:Q$198)))),X149,)"),"")</f>
        <v/>
      </c>
      <c r="AB149" s="122"/>
      <c r="AC149" s="33"/>
      <c r="AD149" s="143" t="str">
        <f t="shared" si="14"/>
        <v/>
      </c>
      <c r="AE149" s="38" t="str">
        <f>IFERROR(__xludf.DUMMYFUNCTION("""COMPUTED_VALUE"""),"")</f>
        <v/>
      </c>
      <c r="AF149" s="144">
        <v>46125.0</v>
      </c>
      <c r="AG149" s="167" t="str">
        <f t="shared" si="54"/>
        <v/>
      </c>
      <c r="AH149" s="168" t="str">
        <f t="shared" si="322"/>
        <v/>
      </c>
      <c r="AI149" s="169" t="str">
        <f t="shared" si="323"/>
        <v/>
      </c>
      <c r="AJ149" s="172" t="str">
        <f t="shared" si="324"/>
        <v/>
      </c>
      <c r="AK149" s="171" t="str">
        <f t="array" ref="AK149">IFERROR(IF(AE149="ac"+ISNUMBER(SEARCH("'",AJ149))+AI149="","", IF(ISNUMBER(SEARCH("lw",AJ149)), W149 + SUBSTITUTE(AJ149,"lw+",""), MROUND(SWITCH(AE149,"sq",AI$7,"bn",AJ$7,"dl",AK$7,"")*IF(AJ149&gt;10, AJ149/100, VLOOKUP(AJ149, _rpe,SUBSTITUTE(AI149,"+","")+1,0)), IF( SWITCH(AE149,"sq",AI$7,"bn",AJ$7,"dl", AK$7,"")&lt; IF(_uom="lbs", 175, 80), 1.25, IF(_uom="lbs",5,2.5))))), "")</f>
        <v/>
      </c>
      <c r="AL149" s="148"/>
      <c r="AM149" s="33"/>
      <c r="AN149" s="171"/>
      <c r="AO149" s="124" t="str">
        <f>IFERROR(__xludf.DUMMYFUNCTION("IF(AK149=MAX(FILTER(AK$10:AK$199,LOOKUP(ROW(AE$10:AE$199),FILTER(ROW(AE$10:AE$199),AE$10:AE$199&lt;&gt;AE$9:AE$198))=LOOKUP(ROW(AE149),FILTER(ROW(AE$10:AE$199),AE$10:AE$199&lt;&gt;AE$9:AE$198)))),AL149,)"),"")</f>
        <v/>
      </c>
      <c r="AP149" s="122"/>
      <c r="AQ149" s="33"/>
      <c r="AR149" s="143" t="str">
        <f t="shared" si="16"/>
        <v/>
      </c>
      <c r="AS149" s="38" t="str">
        <f>IFERROR(__xludf.DUMMYFUNCTION("""COMPUTED_VALUE"""),"")</f>
        <v/>
      </c>
      <c r="AT149" s="144">
        <v>46132.0</v>
      </c>
      <c r="AU149" s="167" t="str">
        <f t="shared" si="26"/>
        <v/>
      </c>
      <c r="AV149" s="168" t="str">
        <f t="shared" si="325"/>
        <v/>
      </c>
      <c r="AW149" s="169" t="str">
        <f t="shared" si="326"/>
        <v/>
      </c>
      <c r="AX149" s="172" t="str">
        <f t="shared" si="327"/>
        <v/>
      </c>
      <c r="AY149" s="171" t="str">
        <f t="array" ref="AY149">IFERROR(IF(AS149="ac"+ISNUMBER(SEARCH("'",AX149))+AW149="","", IF(ISNUMBER(SEARCH("lw",AX149)), AK149 + SUBSTITUTE(AX149,"lw+",""), MROUND(SWITCH(AS149,"sq",AW$7,"bn",AX$7,"dl",AY$7,"")*IF(AX149&gt;10, AX149/100, VLOOKUP(AX149, _rpe,SUBSTITUTE(AW149,"+","")+1,0)), IF( SWITCH(AS149,"sq",AW$7,"bn",AX$7,"dl", AY$7,"")&lt; IF(_uom="lbs", 175, 80), 1.25, IF(_uom="lbs",5,2.5))))), "")</f>
        <v/>
      </c>
      <c r="AZ149" s="148"/>
      <c r="BA149" s="33"/>
      <c r="BB149" s="171"/>
      <c r="BC149" s="124" t="str">
        <f>IFERROR(__xludf.DUMMYFUNCTION("IF(AY149=MAX(FILTER(AY$10:AY$199,LOOKUP(ROW(AS$10:AS$199),FILTER(ROW(AS$10:AS$199),AS$10:AS$199&lt;&gt;AS$9:AS$198))=LOOKUP(ROW(AS149),FILTER(ROW(AS$10:AS$199),AS$10:AS$199&lt;&gt;AS$9:AS$198)))),AZ149,)"),"")</f>
        <v/>
      </c>
      <c r="BD149" s="122"/>
      <c r="BE149" s="33"/>
      <c r="BF149" s="143" t="str">
        <f t="shared" si="17"/>
        <v/>
      </c>
      <c r="BG149" s="38" t="str">
        <f>IFERROR(__xludf.DUMMYFUNCTION("""COMPUTED_VALUE"""),"")</f>
        <v/>
      </c>
      <c r="BH149" s="144">
        <v>46139.0</v>
      </c>
      <c r="BI149" s="167" t="str">
        <f t="shared" si="18"/>
        <v/>
      </c>
      <c r="BJ149" s="168" t="str">
        <f t="shared" si="328"/>
        <v/>
      </c>
      <c r="BK149" s="169" t="str">
        <f t="shared" si="329"/>
        <v/>
      </c>
      <c r="BL149" s="172" t="str">
        <f t="shared" si="330"/>
        <v/>
      </c>
      <c r="BM149" s="171" t="str">
        <f t="array" ref="BM149">IFERROR(IF(BG149="ac"+ISNUMBER(SEARCH("'",BL149))+BK149="","", IF(ISNUMBER(SEARCH("lw",BL149)), AY149 + SUBSTITUTE(BL149,"lw+",""), MROUND(SWITCH(BG149,"sq",BK$7,"bn",BL$7,"dl",BM$7,"")*IF(BL149&gt;10, BL149/100, VLOOKUP(BL149, _rpe,SUBSTITUTE(BK149,"+","")+1,0)), IF( SWITCH(BG149,"sq",BK$7,"bn",BL$7,"dl", BM$7,"")&lt; IF(_uom="lbs", 175, 80), 1.25, IF(_uom="lbs",5,2.5))))), "")</f>
        <v/>
      </c>
      <c r="BN149" s="148"/>
      <c r="BO149" s="33"/>
      <c r="BP149" s="171"/>
      <c r="BQ149" s="124" t="str">
        <f>IFERROR(__xludf.DUMMYFUNCTION("IF(BM149=MAX(FILTER(BM$10:BM$199,LOOKUP(ROW(BG$10:BG$199),FILTER(ROW(BG$10:BG$199),BG$10:BG$199&lt;&gt;BG$9:BG$198))=LOOKUP(ROW(BG149),FILTER(ROW(BG$10:BG$199),BG$10:BG$199&lt;&gt;BG$9:BG$198)))),BN149,)"),"")</f>
        <v/>
      </c>
      <c r="BR149" s="122"/>
      <c r="BS149" s="33"/>
      <c r="BT149" s="143" t="str">
        <f t="shared" si="19"/>
        <v/>
      </c>
      <c r="BU149" s="38" t="str">
        <f>IFERROR(__xludf.DUMMYFUNCTION("""COMPUTED_VALUE"""),"")</f>
        <v/>
      </c>
      <c r="BV149" s="144">
        <v>46146.0</v>
      </c>
      <c r="BW149" s="167" t="str">
        <f t="shared" si="20"/>
        <v/>
      </c>
      <c r="BX149" s="168" t="str">
        <f t="shared" si="331"/>
        <v/>
      </c>
      <c r="BY149" s="169" t="str">
        <f t="shared" si="332"/>
        <v/>
      </c>
      <c r="BZ149" s="172" t="str">
        <f t="shared" si="333"/>
        <v/>
      </c>
      <c r="CA149" s="171" t="str">
        <f t="array" ref="CA149">IFERROR(IF(BU149="ac"+ISNUMBER(SEARCH("'",BZ149))+BY149="","", IF(ISNUMBER(SEARCH("lw",BZ149)), BM149 + SUBSTITUTE(BZ149,"lw+",""), MROUND(SWITCH(BU149,"sq",BY$7,"bn",BZ$7,"dl",CA$7,"")*IF(BZ149&gt;10, BZ149/100, VLOOKUP(BZ149, _rpe,SUBSTITUTE(BY149,"+","")+1,0)), IF( SWITCH(BU149,"sq",BY$7,"bn",BZ$7,"dl", CA$7,"")&lt; IF(_uom="lbs", 175, 80), 1.25, IF(_uom="lbs",5,2.5))))), "")</f>
        <v/>
      </c>
      <c r="CB149" s="148"/>
      <c r="CC149" s="33"/>
      <c r="CD149" s="171"/>
      <c r="CE149" s="124" t="str">
        <f>IFERROR(__xludf.DUMMYFUNCTION("IF(CA149=MAX(FILTER(CA$10:CA$199,LOOKUP(ROW(BU$10:BU$199),FILTER(ROW(BU$10:BU$199),BU$10:BU$199&lt;&gt;BU$9:BU$198))=LOOKUP(ROW(BU149),FILTER(ROW(BU$10:BU$199),BU$10:BU$199&lt;&gt;BU$9:BU$198)))),CB149,)"),"")</f>
        <v/>
      </c>
      <c r="CF149" s="122"/>
      <c r="CG149" s="33"/>
      <c r="CH149" s="143" t="str">
        <f t="shared" si="21"/>
        <v/>
      </c>
      <c r="CI149" s="38" t="str">
        <f>IFERROR(__xludf.DUMMYFUNCTION("""COMPUTED_VALUE"""),"")</f>
        <v/>
      </c>
      <c r="CJ149" s="144">
        <v>46153.0</v>
      </c>
      <c r="CK149" s="167" t="str">
        <f t="shared" si="27"/>
        <v/>
      </c>
      <c r="CL149" s="168" t="str">
        <f t="shared" si="334"/>
        <v/>
      </c>
      <c r="CM149" s="169" t="str">
        <f t="shared" si="335"/>
        <v/>
      </c>
      <c r="CN149" s="172" t="str">
        <f t="shared" si="336"/>
        <v/>
      </c>
      <c r="CO149" s="171" t="str">
        <f t="array" ref="CO149">IFERROR(IF(CI149="ac"+ISNUMBER(SEARCH("'",CN149))+CM149="","", IF(ISNUMBER(SEARCH("lw",CN149)), CA149 + SUBSTITUTE(CN149,"lw+",""), MROUND(SWITCH(CI149,"sq",CM$7,"bn",CN$7,"dl",CO$7,"")*IF(CN149&gt;10, CN149/100, VLOOKUP(CN149, _rpe,SUBSTITUTE(CM149,"+","")+1,0)), IF( SWITCH(CI149,"sq",CM$7,"bn",CN$7,"dl", CO$7,"")&lt; IF(_uom="lbs", 175, 80), 1.25, IF(_uom="lbs",5,2.5))))), "")</f>
        <v/>
      </c>
      <c r="CP149" s="148"/>
      <c r="CQ149" s="33"/>
      <c r="CR149" s="171"/>
      <c r="CS149" s="124" t="str">
        <f>IFERROR(__xludf.DUMMYFUNCTION("IF(CO149=MAX(FILTER(CO$10:CO$199,LOOKUP(ROW(CI$10:CI$199),FILTER(ROW(CI$10:CI$199),CI$10:CI$199&lt;&gt;CI$9:CI$198))=LOOKUP(ROW(CI149),FILTER(ROW(CI$10:CI$199),CI$10:CI$199&lt;&gt;CI$9:CI$198)))),CP149,)"),"")</f>
        <v/>
      </c>
      <c r="CT149" s="122"/>
      <c r="CU149" s="33"/>
      <c r="CV149" s="143" t="str">
        <f t="shared" si="22"/>
        <v/>
      </c>
      <c r="CW149" s="38" t="str">
        <f>IFERROR(__xludf.DUMMYFUNCTION("""COMPUTED_VALUE"""),"")</f>
        <v/>
      </c>
      <c r="CX149" s="144">
        <v>46160.0</v>
      </c>
      <c r="CY149" s="167" t="str">
        <f t="shared" si="28"/>
        <v/>
      </c>
      <c r="CZ149" s="168" t="str">
        <f t="shared" si="337"/>
        <v/>
      </c>
      <c r="DA149" s="169" t="str">
        <f t="shared" si="338"/>
        <v/>
      </c>
      <c r="DB149" s="172" t="str">
        <f t="shared" si="339"/>
        <v/>
      </c>
      <c r="DC149" s="171" t="str">
        <f t="array" ref="DC149">IFERROR(IF(CW149="ac"+ISNUMBER(SEARCH("'",DB149))+DA149="","", IF(ISNUMBER(SEARCH("lw",DB149)), CO149 + SUBSTITUTE(DB149,"lw+",""), MROUND(SWITCH(CW149,"sq",DA$7,"bn",DB$7,"dl",DC$7,"")*IF(DB149&gt;10, DB149/100, VLOOKUP(DB149, _rpe,SUBSTITUTE(DA149,"+","")+1,0)), IF( SWITCH(CW149,"sq",DA$7,"bn",DB$7,"dl", DC$7,"")&lt; IF(_uom="lbs", 175, 80), 1.25, IF(_uom="lbs",5,2.5))))), "")</f>
        <v/>
      </c>
      <c r="DD149" s="148"/>
      <c r="DE149" s="33"/>
      <c r="DF149" s="171"/>
      <c r="DG149" s="124" t="str">
        <f>IFERROR(__xludf.DUMMYFUNCTION("IF(DC149=MAX(FILTER(DC$10:DC$199,LOOKUP(ROW(CW$10:CW$199),FILTER(ROW(CW$10:CW$199),CW$10:CW$199&lt;&gt;CW$9:CW$198))=LOOKUP(ROW(CW149),FILTER(ROW(CW$10:CW$199),CW$10:CW$199&lt;&gt;CW$9:CW$198)))),DD149,)"),"")</f>
        <v/>
      </c>
      <c r="DH149" s="122"/>
      <c r="DI149" s="33"/>
      <c r="DJ149" s="143" t="str">
        <f t="shared" si="23"/>
        <v/>
      </c>
      <c r="DK149" s="38" t="str">
        <f>IFERROR(__xludf.DUMMYFUNCTION("""COMPUTED_VALUE"""),"")</f>
        <v/>
      </c>
      <c r="DL149" s="144">
        <v>46167.0</v>
      </c>
      <c r="DM149" s="167" t="str">
        <f t="shared" ref="DM149:DN149" si="401">IF(ISBLANK(CY149),"",CY149)</f>
        <v/>
      </c>
      <c r="DN149" s="168" t="str">
        <f t="shared" si="401"/>
        <v/>
      </c>
      <c r="DO149" s="169" t="str">
        <f t="shared" si="341"/>
        <v/>
      </c>
      <c r="DP149" s="172" t="str">
        <f t="shared" si="342"/>
        <v/>
      </c>
      <c r="DQ149" s="171" t="str">
        <f t="array" ref="DQ149">IFERROR(IF(DK149="ac"+ISNUMBER(SEARCH("'",DP149))+DO149="","", IF(ISNUMBER(SEARCH("lw",DP149)), DC149 + SUBSTITUTE(DP149,"lw+",""), MROUND(SWITCH(DK149,"sq",DO$7,"bn",DP$7,"dl",DQ$7,"")*IF(DP149&gt;10, DP149/100, VLOOKUP(DP149, _rpe,SUBSTITUTE(DO149,"+","")+1,0)), IF( SWITCH(DK149,"sq",DO$7,"bn",DP$7,"dl", DQ$7,"")&lt; IF(_uom="lbs", 175, 80), 1.25, IF(_uom="lbs",5,2.5))))), "")</f>
        <v/>
      </c>
      <c r="DR149" s="148"/>
      <c r="DS149" s="33"/>
      <c r="DT149" s="171"/>
      <c r="DU149" s="124" t="str">
        <f>IFERROR(__xludf.DUMMYFUNCTION("IF(DQ149=MAX(FILTER(DQ$10:DQ$199,LOOKUP(ROW(DK$10:DK$199),FILTER(ROW(DK$10:DK$199),DK$10:DK$199&lt;&gt;DK$9:DK$198))=LOOKUP(ROW(DK149),FILTER(ROW(DK$10:DK$199),DK$10:DK$199&lt;&gt;DK$9:DK$198)))),DR149,)"),"")</f>
        <v/>
      </c>
      <c r="DV149" s="122"/>
      <c r="DW149" s="33"/>
      <c r="DX149" s="143"/>
      <c r="DY149" s="38"/>
      <c r="DZ149" s="144"/>
      <c r="EA149" s="150"/>
      <c r="EB149" s="174"/>
      <c r="EC149" s="175"/>
      <c r="ED149" s="176"/>
      <c r="EE149" s="155"/>
      <c r="EF149" s="148"/>
      <c r="EG149" s="33"/>
      <c r="EH149" s="155"/>
      <c r="EI149" s="148"/>
      <c r="EJ149" s="33"/>
      <c r="EK149" s="33"/>
      <c r="EL149" s="143"/>
      <c r="EM149" s="38"/>
      <c r="EN149" s="144"/>
      <c r="EO149" s="150"/>
      <c r="EP149" s="174"/>
      <c r="EQ149" s="175"/>
      <c r="ER149" s="176"/>
      <c r="ES149" s="155"/>
      <c r="ET149" s="148"/>
      <c r="EU149" s="33"/>
      <c r="EV149" s="155"/>
      <c r="EW149" s="148"/>
      <c r="EX149" s="33"/>
      <c r="EY149" s="33"/>
      <c r="EZ149" s="143"/>
      <c r="FA149" s="38"/>
      <c r="FB149" s="144"/>
      <c r="FC149" s="150"/>
      <c r="FD149" s="174"/>
      <c r="FE149" s="175"/>
      <c r="FF149" s="176"/>
      <c r="FG149" s="155"/>
      <c r="FH149" s="148"/>
      <c r="FI149" s="33"/>
      <c r="FJ149" s="155"/>
      <c r="FK149" s="148"/>
      <c r="FL149" s="33"/>
      <c r="FM149" s="33"/>
      <c r="FN149" s="143"/>
      <c r="FO149" s="38"/>
      <c r="FP149" s="144"/>
      <c r="FQ149" s="150"/>
      <c r="FR149" s="174"/>
      <c r="FS149" s="175"/>
      <c r="FT149" s="176"/>
      <c r="FU149" s="155"/>
      <c r="FV149" s="148"/>
      <c r="FW149" s="33"/>
      <c r="FX149" s="155"/>
      <c r="FY149" s="148"/>
      <c r="FZ149" s="33"/>
      <c r="GA149" s="33"/>
      <c r="GB149" s="143"/>
      <c r="GC149" s="38"/>
      <c r="GD149" s="144"/>
      <c r="GE149" s="150"/>
      <c r="GF149" s="174"/>
      <c r="GG149" s="175"/>
      <c r="GH149" s="176"/>
      <c r="GI149" s="155"/>
      <c r="GJ149" s="148"/>
      <c r="GK149" s="33"/>
      <c r="GL149" s="155"/>
      <c r="GM149" s="148"/>
      <c r="GN149" s="33"/>
      <c r="GO149" s="33"/>
      <c r="GP149" s="143"/>
      <c r="GQ149" s="38"/>
      <c r="GR149" s="144"/>
      <c r="GS149" s="150"/>
      <c r="GT149" s="174"/>
      <c r="GU149" s="175"/>
      <c r="GV149" s="176"/>
      <c r="GW149" s="155"/>
      <c r="GX149" s="148"/>
      <c r="GY149" s="33"/>
      <c r="GZ149" s="155"/>
      <c r="HA149" s="148"/>
      <c r="HB149" s="33"/>
      <c r="HC149" s="33"/>
      <c r="HD149" s="143"/>
      <c r="HE149" s="38"/>
      <c r="HF149" s="144"/>
      <c r="HG149" s="150"/>
      <c r="HH149" s="174"/>
      <c r="HI149" s="175"/>
      <c r="HJ149" s="176"/>
      <c r="HK149" s="155"/>
      <c r="HL149" s="148"/>
      <c r="HM149" s="33"/>
      <c r="HN149" s="155"/>
      <c r="HO149" s="148"/>
      <c r="HP149" s="33"/>
      <c r="HQ149" s="33"/>
      <c r="HR149" s="143"/>
      <c r="HS149" s="38"/>
      <c r="HT149" s="144"/>
      <c r="HU149" s="150"/>
      <c r="HV149" s="174"/>
      <c r="HW149" s="175"/>
      <c r="HX149" s="176"/>
      <c r="HY149" s="155"/>
      <c r="HZ149" s="148"/>
      <c r="IA149" s="33"/>
      <c r="IB149" s="155"/>
      <c r="IC149" s="148"/>
      <c r="ID149" s="33"/>
      <c r="IE149" s="33"/>
      <c r="IF149" s="143"/>
      <c r="IG149" s="38"/>
      <c r="IH149" s="144"/>
      <c r="II149" s="150"/>
      <c r="IJ149" s="174"/>
      <c r="IK149" s="175"/>
      <c r="IL149" s="176"/>
      <c r="IM149" s="155"/>
      <c r="IN149" s="148"/>
      <c r="IO149" s="33"/>
      <c r="IP149" s="155"/>
      <c r="IQ149" s="148"/>
      <c r="IR149" s="33"/>
      <c r="IS149" s="33"/>
      <c r="IT149" s="143"/>
      <c r="IU149" s="38"/>
      <c r="IV149" s="144"/>
      <c r="IW149" s="143"/>
      <c r="IX149" s="38"/>
      <c r="IY149" s="144" t="e">
        <v>#REF!</v>
      </c>
    </row>
    <row r="150">
      <c r="A150" s="33"/>
      <c r="B150" s="181"/>
      <c r="C150" s="38" t="str">
        <f>IFERROR(__xludf.DUMMYFUNCTION("""COMPUTED_VALUE"""),"")</f>
        <v/>
      </c>
      <c r="D150" s="144">
        <v>46111.0</v>
      </c>
      <c r="E150" s="182"/>
      <c r="F150" s="168"/>
      <c r="G150" s="169"/>
      <c r="H150" s="170"/>
      <c r="I150" s="171" t="str">
        <f t="array" ref="I150">IFERROR(IF(C150="ac"+ISNUMBER(SEARCH("'",H150))+G150="","", MROUND(SWITCH(C150,"sq",'Personal Info'!$O$15,"bn",'Personal Info'!$S$15,"dl",'Personal Info'!$W$15,"")*IF(H150&gt;10, H150/100, VLOOKUP(H150, _rpe,SUBSTITUTE(G150,"+","")+1,0)), IF( SWITCH(C150:C210,"sq",'Personal Info'!$O$15,"bn",'Personal Info'!$S$15,"dl", 'Personal Info'!$W$15,"")&lt; IF(_uom="lbs", 175, 80), 1.25, IF(_uom="lbs",5,2.5)))),"")</f>
        <v/>
      </c>
      <c r="J150" s="148"/>
      <c r="K150" s="33"/>
      <c r="L150" s="171"/>
      <c r="M150" s="124" t="str">
        <f>IFERROR(__xludf.DUMMYFUNCTION("IF(I150=MAX(FILTER(I$10:I$199,LOOKUP(ROW(C$10:C$199),FILTER(ROW(C$10:C$199),C$10:C$199&lt;&gt;C$9:C$198))=LOOKUP(ROW(C150),FILTER(ROW(C$10:C$199),C$10:C$199&lt;&gt;C$9:C$198)))),J150,)"),"")</f>
        <v/>
      </c>
      <c r="N150" s="122"/>
      <c r="O150" s="33"/>
      <c r="P150" s="143" t="str">
        <f t="shared" si="12"/>
        <v/>
      </c>
      <c r="Q150" s="38" t="str">
        <f>IFERROR(__xludf.DUMMYFUNCTION("""COMPUTED_VALUE"""),"")</f>
        <v/>
      </c>
      <c r="R150" s="144">
        <v>46118.0</v>
      </c>
      <c r="S150" s="167" t="str">
        <f t="shared" si="13"/>
        <v/>
      </c>
      <c r="T150" s="168" t="str">
        <f t="shared" si="319"/>
        <v/>
      </c>
      <c r="U150" s="169" t="str">
        <f t="shared" si="320"/>
        <v/>
      </c>
      <c r="V150" s="172" t="str">
        <f t="shared" si="321"/>
        <v/>
      </c>
      <c r="W150" s="171" t="str">
        <f t="array" ref="W150">IFERROR(IF(Q150="ac"+ISNUMBER(SEARCH("'",V150))+U150="","", IF(ISNUMBER(SEARCH("lw",V150)), I150 + SUBSTITUTE(V150,"lw+",""), MROUND(SWITCH(Q150,"sq",U$7,"bn",V$7,"dl",W$7,"")*IF(V150&gt;10, V150/100, VLOOKUP(V150, _rpe,SUBSTITUTE(U150,"+","")+1,0)), IF( SWITCH(Q150,"sq",U$7,"bn",V$7,"dl", W$7,"")&lt; IF(_uom="lbs", 175, 80), 1.25, IF(_uom="lbs",5,2.5))))), "")</f>
        <v/>
      </c>
      <c r="X150" s="148"/>
      <c r="Y150" s="33"/>
      <c r="Z150" s="171"/>
      <c r="AA150" s="124" t="str">
        <f>IFERROR(__xludf.DUMMYFUNCTION("IF(W150=MAX(FILTER(W$10:W$199,LOOKUP(ROW(Q$10:Q$199),FILTER(ROW(Q$10:Q$199),Q$10:Q$199&lt;&gt;Q$9:Q$198))=LOOKUP(ROW(Q150),FILTER(ROW(Q$10:Q$199),Q$10:Q$199&lt;&gt;Q$9:Q$198)))),X150,)"),"")</f>
        <v/>
      </c>
      <c r="AB150" s="122"/>
      <c r="AC150" s="33"/>
      <c r="AD150" s="143" t="str">
        <f t="shared" si="14"/>
        <v/>
      </c>
      <c r="AE150" s="38" t="str">
        <f>IFERROR(__xludf.DUMMYFUNCTION("""COMPUTED_VALUE"""),"")</f>
        <v/>
      </c>
      <c r="AF150" s="144">
        <v>46125.0</v>
      </c>
      <c r="AG150" s="167" t="str">
        <f t="shared" si="54"/>
        <v/>
      </c>
      <c r="AH150" s="168" t="str">
        <f t="shared" si="322"/>
        <v/>
      </c>
      <c r="AI150" s="169" t="str">
        <f t="shared" si="323"/>
        <v/>
      </c>
      <c r="AJ150" s="172" t="str">
        <f t="shared" si="324"/>
        <v/>
      </c>
      <c r="AK150" s="171" t="str">
        <f t="array" ref="AK150">IFERROR(IF(AE150="ac"+ISNUMBER(SEARCH("'",AJ150))+AI150="","", IF(ISNUMBER(SEARCH("lw",AJ150)), W150 + SUBSTITUTE(AJ150,"lw+",""), MROUND(SWITCH(AE150,"sq",AI$7,"bn",AJ$7,"dl",AK$7,"")*IF(AJ150&gt;10, AJ150/100, VLOOKUP(AJ150, _rpe,SUBSTITUTE(AI150,"+","")+1,0)), IF( SWITCH(AE150,"sq",AI$7,"bn",AJ$7,"dl", AK$7,"")&lt; IF(_uom="lbs", 175, 80), 1.25, IF(_uom="lbs",5,2.5))))), "")</f>
        <v/>
      </c>
      <c r="AL150" s="148"/>
      <c r="AM150" s="33"/>
      <c r="AN150" s="171"/>
      <c r="AO150" s="124" t="str">
        <f>IFERROR(__xludf.DUMMYFUNCTION("IF(AK150=MAX(FILTER(AK$10:AK$199,LOOKUP(ROW(AE$10:AE$199),FILTER(ROW(AE$10:AE$199),AE$10:AE$199&lt;&gt;AE$9:AE$198))=LOOKUP(ROW(AE150),FILTER(ROW(AE$10:AE$199),AE$10:AE$199&lt;&gt;AE$9:AE$198)))),AL150,)"),"")</f>
        <v/>
      </c>
      <c r="AP150" s="122"/>
      <c r="AQ150" s="33"/>
      <c r="AR150" s="143" t="str">
        <f t="shared" si="16"/>
        <v/>
      </c>
      <c r="AS150" s="38" t="str">
        <f>IFERROR(__xludf.DUMMYFUNCTION("""COMPUTED_VALUE"""),"")</f>
        <v/>
      </c>
      <c r="AT150" s="144">
        <v>46132.0</v>
      </c>
      <c r="AU150" s="167" t="str">
        <f t="shared" si="26"/>
        <v/>
      </c>
      <c r="AV150" s="168" t="str">
        <f t="shared" si="325"/>
        <v/>
      </c>
      <c r="AW150" s="169" t="str">
        <f t="shared" si="326"/>
        <v/>
      </c>
      <c r="AX150" s="172" t="str">
        <f t="shared" si="327"/>
        <v/>
      </c>
      <c r="AY150" s="171" t="str">
        <f t="array" ref="AY150">IFERROR(IF(AS150="ac"+ISNUMBER(SEARCH("'",AX150))+AW150="","", IF(ISNUMBER(SEARCH("lw",AX150)), AK150 + SUBSTITUTE(AX150,"lw+",""), MROUND(SWITCH(AS150,"sq",AW$7,"bn",AX$7,"dl",AY$7,"")*IF(AX150&gt;10, AX150/100, VLOOKUP(AX150, _rpe,SUBSTITUTE(AW150,"+","")+1,0)), IF( SWITCH(AS150,"sq",AW$7,"bn",AX$7,"dl", AY$7,"")&lt; IF(_uom="lbs", 175, 80), 1.25, IF(_uom="lbs",5,2.5))))), "")</f>
        <v/>
      </c>
      <c r="AZ150" s="148"/>
      <c r="BA150" s="33"/>
      <c r="BB150" s="171"/>
      <c r="BC150" s="124" t="str">
        <f>IFERROR(__xludf.DUMMYFUNCTION("IF(AY150=MAX(FILTER(AY$10:AY$199,LOOKUP(ROW(AS$10:AS$199),FILTER(ROW(AS$10:AS$199),AS$10:AS$199&lt;&gt;AS$9:AS$198))=LOOKUP(ROW(AS150),FILTER(ROW(AS$10:AS$199),AS$10:AS$199&lt;&gt;AS$9:AS$198)))),AZ150,)"),"")</f>
        <v/>
      </c>
      <c r="BD150" s="122"/>
      <c r="BE150" s="33"/>
      <c r="BF150" s="143" t="str">
        <f t="shared" si="17"/>
        <v/>
      </c>
      <c r="BG150" s="38" t="str">
        <f>IFERROR(__xludf.DUMMYFUNCTION("""COMPUTED_VALUE"""),"")</f>
        <v/>
      </c>
      <c r="BH150" s="144">
        <v>46139.0</v>
      </c>
      <c r="BI150" s="167" t="str">
        <f t="shared" si="18"/>
        <v/>
      </c>
      <c r="BJ150" s="168" t="str">
        <f t="shared" si="328"/>
        <v/>
      </c>
      <c r="BK150" s="169" t="str">
        <f t="shared" si="329"/>
        <v/>
      </c>
      <c r="BL150" s="172" t="str">
        <f t="shared" si="330"/>
        <v/>
      </c>
      <c r="BM150" s="171" t="str">
        <f t="array" ref="BM150">IFERROR(IF(BG150="ac"+ISNUMBER(SEARCH("'",BL150))+BK150="","", IF(ISNUMBER(SEARCH("lw",BL150)), AY150 + SUBSTITUTE(BL150,"lw+",""), MROUND(SWITCH(BG150,"sq",BK$7,"bn",BL$7,"dl",BM$7,"")*IF(BL150&gt;10, BL150/100, VLOOKUP(BL150, _rpe,SUBSTITUTE(BK150,"+","")+1,0)), IF( SWITCH(BG150,"sq",BK$7,"bn",BL$7,"dl", BM$7,"")&lt; IF(_uom="lbs", 175, 80), 1.25, IF(_uom="lbs",5,2.5))))), "")</f>
        <v/>
      </c>
      <c r="BN150" s="148"/>
      <c r="BO150" s="33"/>
      <c r="BP150" s="171"/>
      <c r="BQ150" s="124" t="str">
        <f>IFERROR(__xludf.DUMMYFUNCTION("IF(BM150=MAX(FILTER(BM$10:BM$199,LOOKUP(ROW(BG$10:BG$199),FILTER(ROW(BG$10:BG$199),BG$10:BG$199&lt;&gt;BG$9:BG$198))=LOOKUP(ROW(BG150),FILTER(ROW(BG$10:BG$199),BG$10:BG$199&lt;&gt;BG$9:BG$198)))),BN150,)"),"")</f>
        <v/>
      </c>
      <c r="BR150" s="122"/>
      <c r="BS150" s="33"/>
      <c r="BT150" s="143" t="str">
        <f t="shared" si="19"/>
        <v/>
      </c>
      <c r="BU150" s="38" t="str">
        <f>IFERROR(__xludf.DUMMYFUNCTION("""COMPUTED_VALUE"""),"")</f>
        <v/>
      </c>
      <c r="BV150" s="144">
        <v>46146.0</v>
      </c>
      <c r="BW150" s="167" t="str">
        <f t="shared" si="20"/>
        <v/>
      </c>
      <c r="BX150" s="168" t="str">
        <f t="shared" si="331"/>
        <v/>
      </c>
      <c r="BY150" s="169" t="str">
        <f t="shared" si="332"/>
        <v/>
      </c>
      <c r="BZ150" s="172" t="str">
        <f t="shared" si="333"/>
        <v/>
      </c>
      <c r="CA150" s="171" t="str">
        <f t="array" ref="CA150">IFERROR(IF(BU150="ac"+ISNUMBER(SEARCH("'",BZ150))+BY150="","", IF(ISNUMBER(SEARCH("lw",BZ150)), BM150 + SUBSTITUTE(BZ150,"lw+",""), MROUND(SWITCH(BU150,"sq",BY$7,"bn",BZ$7,"dl",CA$7,"")*IF(BZ150&gt;10, BZ150/100, VLOOKUP(BZ150, _rpe,SUBSTITUTE(BY150,"+","")+1,0)), IF( SWITCH(BU150,"sq",BY$7,"bn",BZ$7,"dl", CA$7,"")&lt; IF(_uom="lbs", 175, 80), 1.25, IF(_uom="lbs",5,2.5))))), "")</f>
        <v/>
      </c>
      <c r="CB150" s="148"/>
      <c r="CC150" s="33"/>
      <c r="CD150" s="171"/>
      <c r="CE150" s="124" t="str">
        <f>IFERROR(__xludf.DUMMYFUNCTION("IF(CA150=MAX(FILTER(CA$10:CA$199,LOOKUP(ROW(BU$10:BU$199),FILTER(ROW(BU$10:BU$199),BU$10:BU$199&lt;&gt;BU$9:BU$198))=LOOKUP(ROW(BU150),FILTER(ROW(BU$10:BU$199),BU$10:BU$199&lt;&gt;BU$9:BU$198)))),CB150,)"),"")</f>
        <v/>
      </c>
      <c r="CF150" s="122"/>
      <c r="CG150" s="33"/>
      <c r="CH150" s="143" t="str">
        <f t="shared" si="21"/>
        <v/>
      </c>
      <c r="CI150" s="38" t="str">
        <f>IFERROR(__xludf.DUMMYFUNCTION("""COMPUTED_VALUE"""),"")</f>
        <v/>
      </c>
      <c r="CJ150" s="144">
        <v>46153.0</v>
      </c>
      <c r="CK150" s="167" t="str">
        <f t="shared" si="27"/>
        <v/>
      </c>
      <c r="CL150" s="168" t="str">
        <f t="shared" si="334"/>
        <v/>
      </c>
      <c r="CM150" s="169" t="str">
        <f t="shared" si="335"/>
        <v/>
      </c>
      <c r="CN150" s="172" t="str">
        <f t="shared" si="336"/>
        <v/>
      </c>
      <c r="CO150" s="171" t="str">
        <f t="array" ref="CO150">IFERROR(IF(CI150="ac"+ISNUMBER(SEARCH("'",CN150))+CM150="","", IF(ISNUMBER(SEARCH("lw",CN150)), CA150 + SUBSTITUTE(CN150,"lw+",""), MROUND(SWITCH(CI150,"sq",CM$7,"bn",CN$7,"dl",CO$7,"")*IF(CN150&gt;10, CN150/100, VLOOKUP(CN150, _rpe,SUBSTITUTE(CM150,"+","")+1,0)), IF( SWITCH(CI150,"sq",CM$7,"bn",CN$7,"dl", CO$7,"")&lt; IF(_uom="lbs", 175, 80), 1.25, IF(_uom="lbs",5,2.5))))), "")</f>
        <v/>
      </c>
      <c r="CP150" s="148"/>
      <c r="CQ150" s="33"/>
      <c r="CR150" s="171"/>
      <c r="CS150" s="124" t="str">
        <f>IFERROR(__xludf.DUMMYFUNCTION("IF(CO150=MAX(FILTER(CO$10:CO$199,LOOKUP(ROW(CI$10:CI$199),FILTER(ROW(CI$10:CI$199),CI$10:CI$199&lt;&gt;CI$9:CI$198))=LOOKUP(ROW(CI150),FILTER(ROW(CI$10:CI$199),CI$10:CI$199&lt;&gt;CI$9:CI$198)))),CP150,)"),"")</f>
        <v/>
      </c>
      <c r="CT150" s="122"/>
      <c r="CU150" s="33"/>
      <c r="CV150" s="143" t="str">
        <f t="shared" si="22"/>
        <v/>
      </c>
      <c r="CW150" s="38" t="str">
        <f>IFERROR(__xludf.DUMMYFUNCTION("""COMPUTED_VALUE"""),"")</f>
        <v/>
      </c>
      <c r="CX150" s="144">
        <v>46160.0</v>
      </c>
      <c r="CY150" s="167" t="str">
        <f t="shared" si="28"/>
        <v/>
      </c>
      <c r="CZ150" s="168" t="str">
        <f t="shared" si="337"/>
        <v/>
      </c>
      <c r="DA150" s="169" t="str">
        <f t="shared" si="338"/>
        <v/>
      </c>
      <c r="DB150" s="172" t="str">
        <f t="shared" si="339"/>
        <v/>
      </c>
      <c r="DC150" s="171" t="str">
        <f t="array" ref="DC150">IFERROR(IF(CW150="ac"+ISNUMBER(SEARCH("'",DB150))+DA150="","", IF(ISNUMBER(SEARCH("lw",DB150)), CO150 + SUBSTITUTE(DB150,"lw+",""), MROUND(SWITCH(CW150,"sq",DA$7,"bn",DB$7,"dl",DC$7,"")*IF(DB150&gt;10, DB150/100, VLOOKUP(DB150, _rpe,SUBSTITUTE(DA150,"+","")+1,0)), IF( SWITCH(CW150,"sq",DA$7,"bn",DB$7,"dl", DC$7,"")&lt; IF(_uom="lbs", 175, 80), 1.25, IF(_uom="lbs",5,2.5))))), "")</f>
        <v/>
      </c>
      <c r="DD150" s="148"/>
      <c r="DE150" s="33"/>
      <c r="DF150" s="171"/>
      <c r="DG150" s="124" t="str">
        <f>IFERROR(__xludf.DUMMYFUNCTION("IF(DC150=MAX(FILTER(DC$10:DC$199,LOOKUP(ROW(CW$10:CW$199),FILTER(ROW(CW$10:CW$199),CW$10:CW$199&lt;&gt;CW$9:CW$198))=LOOKUP(ROW(CW150),FILTER(ROW(CW$10:CW$199),CW$10:CW$199&lt;&gt;CW$9:CW$198)))),DD150,)"),"")</f>
        <v/>
      </c>
      <c r="DH150" s="122"/>
      <c r="DI150" s="33"/>
      <c r="DJ150" s="143" t="str">
        <f t="shared" si="23"/>
        <v/>
      </c>
      <c r="DK150" s="38" t="str">
        <f>IFERROR(__xludf.DUMMYFUNCTION("""COMPUTED_VALUE"""),"")</f>
        <v/>
      </c>
      <c r="DL150" s="144">
        <v>46167.0</v>
      </c>
      <c r="DM150" s="167" t="str">
        <f t="shared" ref="DM150:DN150" si="402">IF(ISBLANK(CY150),"",CY150)</f>
        <v/>
      </c>
      <c r="DN150" s="168" t="str">
        <f t="shared" si="402"/>
        <v/>
      </c>
      <c r="DO150" s="169" t="str">
        <f t="shared" si="341"/>
        <v/>
      </c>
      <c r="DP150" s="172" t="str">
        <f t="shared" si="342"/>
        <v/>
      </c>
      <c r="DQ150" s="171" t="str">
        <f t="array" ref="DQ150">IFERROR(IF(DK150="ac"+ISNUMBER(SEARCH("'",DP150))+DO150="","", IF(ISNUMBER(SEARCH("lw",DP150)), DC150 + SUBSTITUTE(DP150,"lw+",""), MROUND(SWITCH(DK150,"sq",DO$7,"bn",DP$7,"dl",DQ$7,"")*IF(DP150&gt;10, DP150/100, VLOOKUP(DP150, _rpe,SUBSTITUTE(DO150,"+","")+1,0)), IF( SWITCH(DK150,"sq",DO$7,"bn",DP$7,"dl", DQ$7,"")&lt; IF(_uom="lbs", 175, 80), 1.25, IF(_uom="lbs",5,2.5))))), "")</f>
        <v/>
      </c>
      <c r="DR150" s="148"/>
      <c r="DS150" s="33"/>
      <c r="DT150" s="171"/>
      <c r="DU150" s="124" t="str">
        <f>IFERROR(__xludf.DUMMYFUNCTION("IF(DQ150=MAX(FILTER(DQ$10:DQ$199,LOOKUP(ROW(DK$10:DK$199),FILTER(ROW(DK$10:DK$199),DK$10:DK$199&lt;&gt;DK$9:DK$198))=LOOKUP(ROW(DK150),FILTER(ROW(DK$10:DK$199),DK$10:DK$199&lt;&gt;DK$9:DK$198)))),DR150,)"),"")</f>
        <v/>
      </c>
      <c r="DV150" s="122"/>
      <c r="DW150" s="33"/>
      <c r="DX150" s="143"/>
      <c r="DY150" s="38"/>
      <c r="DZ150" s="144"/>
      <c r="EA150" s="150"/>
      <c r="EB150" s="174"/>
      <c r="EC150" s="175"/>
      <c r="ED150" s="176"/>
      <c r="EE150" s="155"/>
      <c r="EF150" s="148"/>
      <c r="EG150" s="33"/>
      <c r="EH150" s="155"/>
      <c r="EI150" s="148"/>
      <c r="EJ150" s="33"/>
      <c r="EK150" s="33"/>
      <c r="EL150" s="143"/>
      <c r="EM150" s="38"/>
      <c r="EN150" s="144"/>
      <c r="EO150" s="150"/>
      <c r="EP150" s="174"/>
      <c r="EQ150" s="175"/>
      <c r="ER150" s="176"/>
      <c r="ES150" s="155"/>
      <c r="ET150" s="148"/>
      <c r="EU150" s="33"/>
      <c r="EV150" s="155"/>
      <c r="EW150" s="148"/>
      <c r="EX150" s="33"/>
      <c r="EY150" s="33"/>
      <c r="EZ150" s="143"/>
      <c r="FA150" s="38"/>
      <c r="FB150" s="144"/>
      <c r="FC150" s="150"/>
      <c r="FD150" s="174"/>
      <c r="FE150" s="175"/>
      <c r="FF150" s="176"/>
      <c r="FG150" s="155"/>
      <c r="FH150" s="148"/>
      <c r="FI150" s="33"/>
      <c r="FJ150" s="155"/>
      <c r="FK150" s="148"/>
      <c r="FL150" s="33"/>
      <c r="FM150" s="33"/>
      <c r="FN150" s="143"/>
      <c r="FO150" s="38"/>
      <c r="FP150" s="144"/>
      <c r="FQ150" s="150"/>
      <c r="FR150" s="174"/>
      <c r="FS150" s="175"/>
      <c r="FT150" s="176"/>
      <c r="FU150" s="155"/>
      <c r="FV150" s="148"/>
      <c r="FW150" s="33"/>
      <c r="FX150" s="155"/>
      <c r="FY150" s="148"/>
      <c r="FZ150" s="33"/>
      <c r="GA150" s="33"/>
      <c r="GB150" s="143"/>
      <c r="GC150" s="38"/>
      <c r="GD150" s="144"/>
      <c r="GE150" s="150"/>
      <c r="GF150" s="174"/>
      <c r="GG150" s="175"/>
      <c r="GH150" s="176"/>
      <c r="GI150" s="155"/>
      <c r="GJ150" s="148"/>
      <c r="GK150" s="33"/>
      <c r="GL150" s="155"/>
      <c r="GM150" s="148"/>
      <c r="GN150" s="33"/>
      <c r="GO150" s="33"/>
      <c r="GP150" s="143"/>
      <c r="GQ150" s="38"/>
      <c r="GR150" s="144"/>
      <c r="GS150" s="150"/>
      <c r="GT150" s="174"/>
      <c r="GU150" s="175"/>
      <c r="GV150" s="176"/>
      <c r="GW150" s="155"/>
      <c r="GX150" s="148"/>
      <c r="GY150" s="33"/>
      <c r="GZ150" s="155"/>
      <c r="HA150" s="148"/>
      <c r="HB150" s="33"/>
      <c r="HC150" s="33"/>
      <c r="HD150" s="143"/>
      <c r="HE150" s="38"/>
      <c r="HF150" s="144"/>
      <c r="HG150" s="150"/>
      <c r="HH150" s="174"/>
      <c r="HI150" s="175"/>
      <c r="HJ150" s="176"/>
      <c r="HK150" s="155"/>
      <c r="HL150" s="148"/>
      <c r="HM150" s="33"/>
      <c r="HN150" s="155"/>
      <c r="HO150" s="148"/>
      <c r="HP150" s="33"/>
      <c r="HQ150" s="33"/>
      <c r="HR150" s="143"/>
      <c r="HS150" s="38"/>
      <c r="HT150" s="144"/>
      <c r="HU150" s="150"/>
      <c r="HV150" s="174"/>
      <c r="HW150" s="175"/>
      <c r="HX150" s="176"/>
      <c r="HY150" s="155"/>
      <c r="HZ150" s="148"/>
      <c r="IA150" s="33"/>
      <c r="IB150" s="155"/>
      <c r="IC150" s="148"/>
      <c r="ID150" s="33"/>
      <c r="IE150" s="33"/>
      <c r="IF150" s="143"/>
      <c r="IG150" s="38"/>
      <c r="IH150" s="144"/>
      <c r="II150" s="150"/>
      <c r="IJ150" s="174"/>
      <c r="IK150" s="175"/>
      <c r="IL150" s="176"/>
      <c r="IM150" s="155"/>
      <c r="IN150" s="148"/>
      <c r="IO150" s="33"/>
      <c r="IP150" s="155"/>
      <c r="IQ150" s="148"/>
      <c r="IR150" s="33"/>
      <c r="IS150" s="33"/>
      <c r="IT150" s="143"/>
      <c r="IU150" s="38"/>
      <c r="IV150" s="144"/>
      <c r="IW150" s="143"/>
      <c r="IX150" s="38"/>
      <c r="IY150" s="144" t="e">
        <v>#REF!</v>
      </c>
    </row>
    <row r="151">
      <c r="A151" s="33"/>
      <c r="B151" s="181"/>
      <c r="C151" s="38" t="str">
        <f>IFERROR(__xludf.DUMMYFUNCTION("""COMPUTED_VALUE"""),"")</f>
        <v/>
      </c>
      <c r="D151" s="144">
        <v>46111.0</v>
      </c>
      <c r="E151" s="182"/>
      <c r="F151" s="168"/>
      <c r="G151" s="169"/>
      <c r="H151" s="170"/>
      <c r="I151" s="171" t="str">
        <f t="array" ref="I151">IFERROR(IF(C151="ac"+ISNUMBER(SEARCH("'",H151))+G151="","", MROUND(SWITCH(C151,"sq",'Personal Info'!$O$15,"bn",'Personal Info'!$S$15,"dl",'Personal Info'!$W$15,"")*IF(H151&gt;10, H151/100, VLOOKUP(H151, _rpe,SUBSTITUTE(G151,"+","")+1,0)), IF( SWITCH(C151:C210,"sq",'Personal Info'!$O$15,"bn",'Personal Info'!$S$15,"dl", 'Personal Info'!$W$15,"")&lt; IF(_uom="lbs", 175, 80), 1.25, IF(_uom="lbs",5,2.5)))),"")</f>
        <v/>
      </c>
      <c r="J151" s="148"/>
      <c r="K151" s="33"/>
      <c r="L151" s="171"/>
      <c r="M151" s="124" t="str">
        <f>IFERROR(__xludf.DUMMYFUNCTION("IF(I151=MAX(FILTER(I$10:I$199,LOOKUP(ROW(C$10:C$199),FILTER(ROW(C$10:C$199),C$10:C$199&lt;&gt;C$9:C$198))=LOOKUP(ROW(C151),FILTER(ROW(C$10:C$199),C$10:C$199&lt;&gt;C$9:C$198)))),J151,)"),"")</f>
        <v/>
      </c>
      <c r="N151" s="122"/>
      <c r="O151" s="33"/>
      <c r="P151" s="143" t="str">
        <f t="shared" si="12"/>
        <v/>
      </c>
      <c r="Q151" s="38" t="str">
        <f>IFERROR(__xludf.DUMMYFUNCTION("""COMPUTED_VALUE"""),"")</f>
        <v/>
      </c>
      <c r="R151" s="144">
        <v>46118.0</v>
      </c>
      <c r="S151" s="167" t="str">
        <f t="shared" si="13"/>
        <v/>
      </c>
      <c r="T151" s="168" t="str">
        <f t="shared" si="319"/>
        <v/>
      </c>
      <c r="U151" s="169" t="str">
        <f t="shared" si="320"/>
        <v/>
      </c>
      <c r="V151" s="172" t="str">
        <f t="shared" si="321"/>
        <v/>
      </c>
      <c r="W151" s="171" t="str">
        <f t="array" ref="W151">IFERROR(IF(Q151="ac"+ISNUMBER(SEARCH("'",V151))+U151="","", IF(ISNUMBER(SEARCH("lw",V151)), I151 + SUBSTITUTE(V151,"lw+",""), MROUND(SWITCH(Q151,"sq",U$7,"bn",V$7,"dl",W$7,"")*IF(V151&gt;10, V151/100, VLOOKUP(V151, _rpe,SUBSTITUTE(U151,"+","")+1,0)), IF( SWITCH(Q151,"sq",U$7,"bn",V$7,"dl", W$7,"")&lt; IF(_uom="lbs", 175, 80), 1.25, IF(_uom="lbs",5,2.5))))), "")</f>
        <v/>
      </c>
      <c r="X151" s="148"/>
      <c r="Y151" s="33"/>
      <c r="Z151" s="171"/>
      <c r="AA151" s="124" t="str">
        <f>IFERROR(__xludf.DUMMYFUNCTION("IF(W151=MAX(FILTER(W$10:W$199,LOOKUP(ROW(Q$10:Q$199),FILTER(ROW(Q$10:Q$199),Q$10:Q$199&lt;&gt;Q$9:Q$198))=LOOKUP(ROW(Q151),FILTER(ROW(Q$10:Q$199),Q$10:Q$199&lt;&gt;Q$9:Q$198)))),X151,)"),"")</f>
        <v/>
      </c>
      <c r="AB151" s="122"/>
      <c r="AC151" s="33"/>
      <c r="AD151" s="143" t="str">
        <f t="shared" si="14"/>
        <v/>
      </c>
      <c r="AE151" s="38" t="str">
        <f>IFERROR(__xludf.DUMMYFUNCTION("""COMPUTED_VALUE"""),"")</f>
        <v/>
      </c>
      <c r="AF151" s="144">
        <v>46125.0</v>
      </c>
      <c r="AG151" s="167" t="str">
        <f t="shared" si="54"/>
        <v/>
      </c>
      <c r="AH151" s="168" t="str">
        <f t="shared" si="322"/>
        <v/>
      </c>
      <c r="AI151" s="169" t="str">
        <f t="shared" si="323"/>
        <v/>
      </c>
      <c r="AJ151" s="172" t="str">
        <f t="shared" si="324"/>
        <v/>
      </c>
      <c r="AK151" s="171" t="str">
        <f t="array" ref="AK151">IFERROR(IF(AE151="ac"+ISNUMBER(SEARCH("'",AJ151))+AI151="","", IF(ISNUMBER(SEARCH("lw",AJ151)), W151 + SUBSTITUTE(AJ151,"lw+",""), MROUND(SWITCH(AE151,"sq",AI$7,"bn",AJ$7,"dl",AK$7,"")*IF(AJ151&gt;10, AJ151/100, VLOOKUP(AJ151, _rpe,SUBSTITUTE(AI151,"+","")+1,0)), IF( SWITCH(AE151,"sq",AI$7,"bn",AJ$7,"dl", AK$7,"")&lt; IF(_uom="lbs", 175, 80), 1.25, IF(_uom="lbs",5,2.5))))), "")</f>
        <v/>
      </c>
      <c r="AL151" s="148"/>
      <c r="AM151" s="33"/>
      <c r="AN151" s="171"/>
      <c r="AO151" s="124" t="str">
        <f>IFERROR(__xludf.DUMMYFUNCTION("IF(AK151=MAX(FILTER(AK$10:AK$199,LOOKUP(ROW(AE$10:AE$199),FILTER(ROW(AE$10:AE$199),AE$10:AE$199&lt;&gt;AE$9:AE$198))=LOOKUP(ROW(AE151),FILTER(ROW(AE$10:AE$199),AE$10:AE$199&lt;&gt;AE$9:AE$198)))),AL151,)"),"")</f>
        <v/>
      </c>
      <c r="AP151" s="122"/>
      <c r="AQ151" s="33"/>
      <c r="AR151" s="143" t="str">
        <f t="shared" si="16"/>
        <v/>
      </c>
      <c r="AS151" s="38" t="str">
        <f>IFERROR(__xludf.DUMMYFUNCTION("""COMPUTED_VALUE"""),"")</f>
        <v/>
      </c>
      <c r="AT151" s="144">
        <v>46132.0</v>
      </c>
      <c r="AU151" s="167" t="str">
        <f t="shared" si="26"/>
        <v/>
      </c>
      <c r="AV151" s="168" t="str">
        <f t="shared" si="325"/>
        <v/>
      </c>
      <c r="AW151" s="169" t="str">
        <f t="shared" si="326"/>
        <v/>
      </c>
      <c r="AX151" s="172" t="str">
        <f t="shared" si="327"/>
        <v/>
      </c>
      <c r="AY151" s="171" t="str">
        <f t="array" ref="AY151">IFERROR(IF(AS151="ac"+ISNUMBER(SEARCH("'",AX151))+AW151="","", IF(ISNUMBER(SEARCH("lw",AX151)), AK151 + SUBSTITUTE(AX151,"lw+",""), MROUND(SWITCH(AS151,"sq",AW$7,"bn",AX$7,"dl",AY$7,"")*IF(AX151&gt;10, AX151/100, VLOOKUP(AX151, _rpe,SUBSTITUTE(AW151,"+","")+1,0)), IF( SWITCH(AS151,"sq",AW$7,"bn",AX$7,"dl", AY$7,"")&lt; IF(_uom="lbs", 175, 80), 1.25, IF(_uom="lbs",5,2.5))))), "")</f>
        <v/>
      </c>
      <c r="AZ151" s="148"/>
      <c r="BA151" s="33"/>
      <c r="BB151" s="171"/>
      <c r="BC151" s="124" t="str">
        <f>IFERROR(__xludf.DUMMYFUNCTION("IF(AY151=MAX(FILTER(AY$10:AY$199,LOOKUP(ROW(AS$10:AS$199),FILTER(ROW(AS$10:AS$199),AS$10:AS$199&lt;&gt;AS$9:AS$198))=LOOKUP(ROW(AS151),FILTER(ROW(AS$10:AS$199),AS$10:AS$199&lt;&gt;AS$9:AS$198)))),AZ151,)"),"")</f>
        <v/>
      </c>
      <c r="BD151" s="122"/>
      <c r="BE151" s="33"/>
      <c r="BF151" s="143" t="str">
        <f t="shared" si="17"/>
        <v/>
      </c>
      <c r="BG151" s="38" t="str">
        <f>IFERROR(__xludf.DUMMYFUNCTION("""COMPUTED_VALUE"""),"")</f>
        <v/>
      </c>
      <c r="BH151" s="144">
        <v>46139.0</v>
      </c>
      <c r="BI151" s="167" t="str">
        <f t="shared" si="18"/>
        <v/>
      </c>
      <c r="BJ151" s="168" t="str">
        <f t="shared" si="328"/>
        <v/>
      </c>
      <c r="BK151" s="169" t="str">
        <f t="shared" si="329"/>
        <v/>
      </c>
      <c r="BL151" s="172" t="str">
        <f t="shared" si="330"/>
        <v/>
      </c>
      <c r="BM151" s="171" t="str">
        <f t="array" ref="BM151">IFERROR(IF(BG151="ac"+ISNUMBER(SEARCH("'",BL151))+BK151="","", IF(ISNUMBER(SEARCH("lw",BL151)), AY151 + SUBSTITUTE(BL151,"lw+",""), MROUND(SWITCH(BG151,"sq",BK$7,"bn",BL$7,"dl",BM$7,"")*IF(BL151&gt;10, BL151/100, VLOOKUP(BL151, _rpe,SUBSTITUTE(BK151,"+","")+1,0)), IF( SWITCH(BG151,"sq",BK$7,"bn",BL$7,"dl", BM$7,"")&lt; IF(_uom="lbs", 175, 80), 1.25, IF(_uom="lbs",5,2.5))))), "")</f>
        <v/>
      </c>
      <c r="BN151" s="148"/>
      <c r="BO151" s="33"/>
      <c r="BP151" s="171"/>
      <c r="BQ151" s="124" t="str">
        <f>IFERROR(__xludf.DUMMYFUNCTION("IF(BM151=MAX(FILTER(BM$10:BM$199,LOOKUP(ROW(BG$10:BG$199),FILTER(ROW(BG$10:BG$199),BG$10:BG$199&lt;&gt;BG$9:BG$198))=LOOKUP(ROW(BG151),FILTER(ROW(BG$10:BG$199),BG$10:BG$199&lt;&gt;BG$9:BG$198)))),BN151,)"),"")</f>
        <v/>
      </c>
      <c r="BR151" s="122"/>
      <c r="BS151" s="33"/>
      <c r="BT151" s="143" t="str">
        <f t="shared" si="19"/>
        <v/>
      </c>
      <c r="BU151" s="38" t="str">
        <f>IFERROR(__xludf.DUMMYFUNCTION("""COMPUTED_VALUE"""),"")</f>
        <v/>
      </c>
      <c r="BV151" s="144">
        <v>46146.0</v>
      </c>
      <c r="BW151" s="167" t="str">
        <f t="shared" si="20"/>
        <v/>
      </c>
      <c r="BX151" s="168" t="str">
        <f t="shared" si="331"/>
        <v/>
      </c>
      <c r="BY151" s="169" t="str">
        <f t="shared" si="332"/>
        <v/>
      </c>
      <c r="BZ151" s="172" t="str">
        <f t="shared" si="333"/>
        <v/>
      </c>
      <c r="CA151" s="171" t="str">
        <f t="array" ref="CA151">IFERROR(IF(BU151="ac"+ISNUMBER(SEARCH("'",BZ151))+BY151="","", IF(ISNUMBER(SEARCH("lw",BZ151)), BM151 + SUBSTITUTE(BZ151,"lw+",""), MROUND(SWITCH(BU151,"sq",BY$7,"bn",BZ$7,"dl",CA$7,"")*IF(BZ151&gt;10, BZ151/100, VLOOKUP(BZ151, _rpe,SUBSTITUTE(BY151,"+","")+1,0)), IF( SWITCH(BU151,"sq",BY$7,"bn",BZ$7,"dl", CA$7,"")&lt; IF(_uom="lbs", 175, 80), 1.25, IF(_uom="lbs",5,2.5))))), "")</f>
        <v/>
      </c>
      <c r="CB151" s="148"/>
      <c r="CC151" s="33"/>
      <c r="CD151" s="171"/>
      <c r="CE151" s="124" t="str">
        <f>IFERROR(__xludf.DUMMYFUNCTION("IF(CA151=MAX(FILTER(CA$10:CA$199,LOOKUP(ROW(BU$10:BU$199),FILTER(ROW(BU$10:BU$199),BU$10:BU$199&lt;&gt;BU$9:BU$198))=LOOKUP(ROW(BU151),FILTER(ROW(BU$10:BU$199),BU$10:BU$199&lt;&gt;BU$9:BU$198)))),CB151,)"),"")</f>
        <v/>
      </c>
      <c r="CF151" s="122"/>
      <c r="CG151" s="33"/>
      <c r="CH151" s="143" t="str">
        <f t="shared" si="21"/>
        <v/>
      </c>
      <c r="CI151" s="38" t="str">
        <f>IFERROR(__xludf.DUMMYFUNCTION("""COMPUTED_VALUE"""),"")</f>
        <v/>
      </c>
      <c r="CJ151" s="144">
        <v>46153.0</v>
      </c>
      <c r="CK151" s="167" t="str">
        <f t="shared" si="27"/>
        <v/>
      </c>
      <c r="CL151" s="168" t="str">
        <f t="shared" si="334"/>
        <v/>
      </c>
      <c r="CM151" s="169" t="str">
        <f t="shared" si="335"/>
        <v/>
      </c>
      <c r="CN151" s="172" t="str">
        <f t="shared" si="336"/>
        <v/>
      </c>
      <c r="CO151" s="171" t="str">
        <f t="array" ref="CO151">IFERROR(IF(CI151="ac"+ISNUMBER(SEARCH("'",CN151))+CM151="","", IF(ISNUMBER(SEARCH("lw",CN151)), CA151 + SUBSTITUTE(CN151,"lw+",""), MROUND(SWITCH(CI151,"sq",CM$7,"bn",CN$7,"dl",CO$7,"")*IF(CN151&gt;10, CN151/100, VLOOKUP(CN151, _rpe,SUBSTITUTE(CM151,"+","")+1,0)), IF( SWITCH(CI151,"sq",CM$7,"bn",CN$7,"dl", CO$7,"")&lt; IF(_uom="lbs", 175, 80), 1.25, IF(_uom="lbs",5,2.5))))), "")</f>
        <v/>
      </c>
      <c r="CP151" s="148"/>
      <c r="CQ151" s="33"/>
      <c r="CR151" s="171"/>
      <c r="CS151" s="124" t="str">
        <f>IFERROR(__xludf.DUMMYFUNCTION("IF(CO151=MAX(FILTER(CO$10:CO$199,LOOKUP(ROW(CI$10:CI$199),FILTER(ROW(CI$10:CI$199),CI$10:CI$199&lt;&gt;CI$9:CI$198))=LOOKUP(ROW(CI151),FILTER(ROW(CI$10:CI$199),CI$10:CI$199&lt;&gt;CI$9:CI$198)))),CP151,)"),"")</f>
        <v/>
      </c>
      <c r="CT151" s="122"/>
      <c r="CU151" s="33"/>
      <c r="CV151" s="143" t="str">
        <f t="shared" si="22"/>
        <v/>
      </c>
      <c r="CW151" s="38" t="str">
        <f>IFERROR(__xludf.DUMMYFUNCTION("""COMPUTED_VALUE"""),"")</f>
        <v/>
      </c>
      <c r="CX151" s="144">
        <v>46160.0</v>
      </c>
      <c r="CY151" s="167" t="str">
        <f t="shared" si="28"/>
        <v/>
      </c>
      <c r="CZ151" s="168" t="str">
        <f t="shared" si="337"/>
        <v/>
      </c>
      <c r="DA151" s="169" t="str">
        <f t="shared" si="338"/>
        <v/>
      </c>
      <c r="DB151" s="172" t="str">
        <f t="shared" si="339"/>
        <v/>
      </c>
      <c r="DC151" s="171" t="str">
        <f t="array" ref="DC151">IFERROR(IF(CW151="ac"+ISNUMBER(SEARCH("'",DB151))+DA151="","", IF(ISNUMBER(SEARCH("lw",DB151)), CO151 + SUBSTITUTE(DB151,"lw+",""), MROUND(SWITCH(CW151,"sq",DA$7,"bn",DB$7,"dl",DC$7,"")*IF(DB151&gt;10, DB151/100, VLOOKUP(DB151, _rpe,SUBSTITUTE(DA151,"+","")+1,0)), IF( SWITCH(CW151,"sq",DA$7,"bn",DB$7,"dl", DC$7,"")&lt; IF(_uom="lbs", 175, 80), 1.25, IF(_uom="lbs",5,2.5))))), "")</f>
        <v/>
      </c>
      <c r="DD151" s="148"/>
      <c r="DE151" s="33"/>
      <c r="DF151" s="171"/>
      <c r="DG151" s="124" t="str">
        <f>IFERROR(__xludf.DUMMYFUNCTION("IF(DC151=MAX(FILTER(DC$10:DC$199,LOOKUP(ROW(CW$10:CW$199),FILTER(ROW(CW$10:CW$199),CW$10:CW$199&lt;&gt;CW$9:CW$198))=LOOKUP(ROW(CW151),FILTER(ROW(CW$10:CW$199),CW$10:CW$199&lt;&gt;CW$9:CW$198)))),DD151,)"),"")</f>
        <v/>
      </c>
      <c r="DH151" s="122"/>
      <c r="DI151" s="33"/>
      <c r="DJ151" s="143" t="str">
        <f t="shared" si="23"/>
        <v/>
      </c>
      <c r="DK151" s="38" t="str">
        <f>IFERROR(__xludf.DUMMYFUNCTION("""COMPUTED_VALUE"""),"")</f>
        <v/>
      </c>
      <c r="DL151" s="144">
        <v>46167.0</v>
      </c>
      <c r="DM151" s="167" t="str">
        <f t="shared" ref="DM151:DN151" si="403">IF(ISBLANK(CY151),"",CY151)</f>
        <v/>
      </c>
      <c r="DN151" s="168" t="str">
        <f t="shared" si="403"/>
        <v/>
      </c>
      <c r="DO151" s="169" t="str">
        <f t="shared" si="341"/>
        <v/>
      </c>
      <c r="DP151" s="172" t="str">
        <f t="shared" si="342"/>
        <v/>
      </c>
      <c r="DQ151" s="171" t="str">
        <f t="array" ref="DQ151">IFERROR(IF(DK151="ac"+ISNUMBER(SEARCH("'",DP151))+DO151="","", IF(ISNUMBER(SEARCH("lw",DP151)), DC151 + SUBSTITUTE(DP151,"lw+",""), MROUND(SWITCH(DK151,"sq",DO$7,"bn",DP$7,"dl",DQ$7,"")*IF(DP151&gt;10, DP151/100, VLOOKUP(DP151, _rpe,SUBSTITUTE(DO151,"+","")+1,0)), IF( SWITCH(DK151,"sq",DO$7,"bn",DP$7,"dl", DQ$7,"")&lt; IF(_uom="lbs", 175, 80), 1.25, IF(_uom="lbs",5,2.5))))), "")</f>
        <v/>
      </c>
      <c r="DR151" s="148"/>
      <c r="DS151" s="33"/>
      <c r="DT151" s="171"/>
      <c r="DU151" s="124" t="str">
        <f>IFERROR(__xludf.DUMMYFUNCTION("IF(DQ151=MAX(FILTER(DQ$10:DQ$199,LOOKUP(ROW(DK$10:DK$199),FILTER(ROW(DK$10:DK$199),DK$10:DK$199&lt;&gt;DK$9:DK$198))=LOOKUP(ROW(DK151),FILTER(ROW(DK$10:DK$199),DK$10:DK$199&lt;&gt;DK$9:DK$198)))),DR151,)"),"")</f>
        <v/>
      </c>
      <c r="DV151" s="122"/>
      <c r="DW151" s="33"/>
      <c r="DX151" s="143"/>
      <c r="DY151" s="38"/>
      <c r="DZ151" s="144"/>
      <c r="EA151" s="150"/>
      <c r="EB151" s="174"/>
      <c r="EC151" s="175"/>
      <c r="ED151" s="176"/>
      <c r="EE151" s="155"/>
      <c r="EF151" s="148"/>
      <c r="EG151" s="33"/>
      <c r="EH151" s="155"/>
      <c r="EI151" s="148"/>
      <c r="EJ151" s="33"/>
      <c r="EK151" s="33"/>
      <c r="EL151" s="143"/>
      <c r="EM151" s="38"/>
      <c r="EN151" s="144"/>
      <c r="EO151" s="150"/>
      <c r="EP151" s="174"/>
      <c r="EQ151" s="175"/>
      <c r="ER151" s="176"/>
      <c r="ES151" s="155"/>
      <c r="ET151" s="148"/>
      <c r="EU151" s="33"/>
      <c r="EV151" s="155"/>
      <c r="EW151" s="148"/>
      <c r="EX151" s="33"/>
      <c r="EY151" s="33"/>
      <c r="EZ151" s="143"/>
      <c r="FA151" s="38"/>
      <c r="FB151" s="144"/>
      <c r="FC151" s="150"/>
      <c r="FD151" s="174"/>
      <c r="FE151" s="175"/>
      <c r="FF151" s="176"/>
      <c r="FG151" s="155"/>
      <c r="FH151" s="148"/>
      <c r="FI151" s="33"/>
      <c r="FJ151" s="155"/>
      <c r="FK151" s="148"/>
      <c r="FL151" s="33"/>
      <c r="FM151" s="33"/>
      <c r="FN151" s="143"/>
      <c r="FO151" s="38"/>
      <c r="FP151" s="144"/>
      <c r="FQ151" s="150"/>
      <c r="FR151" s="174"/>
      <c r="FS151" s="175"/>
      <c r="FT151" s="176"/>
      <c r="FU151" s="155"/>
      <c r="FV151" s="148"/>
      <c r="FW151" s="33"/>
      <c r="FX151" s="155"/>
      <c r="FY151" s="148"/>
      <c r="FZ151" s="33"/>
      <c r="GA151" s="33"/>
      <c r="GB151" s="143"/>
      <c r="GC151" s="38"/>
      <c r="GD151" s="144"/>
      <c r="GE151" s="150"/>
      <c r="GF151" s="174"/>
      <c r="GG151" s="175"/>
      <c r="GH151" s="176"/>
      <c r="GI151" s="155"/>
      <c r="GJ151" s="148"/>
      <c r="GK151" s="33"/>
      <c r="GL151" s="155"/>
      <c r="GM151" s="148"/>
      <c r="GN151" s="33"/>
      <c r="GO151" s="33"/>
      <c r="GP151" s="143"/>
      <c r="GQ151" s="38"/>
      <c r="GR151" s="144"/>
      <c r="GS151" s="150"/>
      <c r="GT151" s="174"/>
      <c r="GU151" s="175"/>
      <c r="GV151" s="176"/>
      <c r="GW151" s="155"/>
      <c r="GX151" s="148"/>
      <c r="GY151" s="33"/>
      <c r="GZ151" s="155"/>
      <c r="HA151" s="148"/>
      <c r="HB151" s="33"/>
      <c r="HC151" s="33"/>
      <c r="HD151" s="143"/>
      <c r="HE151" s="38"/>
      <c r="HF151" s="144"/>
      <c r="HG151" s="150"/>
      <c r="HH151" s="174"/>
      <c r="HI151" s="175"/>
      <c r="HJ151" s="176"/>
      <c r="HK151" s="155"/>
      <c r="HL151" s="148"/>
      <c r="HM151" s="33"/>
      <c r="HN151" s="155"/>
      <c r="HO151" s="148"/>
      <c r="HP151" s="33"/>
      <c r="HQ151" s="33"/>
      <c r="HR151" s="143"/>
      <c r="HS151" s="38"/>
      <c r="HT151" s="144"/>
      <c r="HU151" s="150"/>
      <c r="HV151" s="174"/>
      <c r="HW151" s="175"/>
      <c r="HX151" s="176"/>
      <c r="HY151" s="155"/>
      <c r="HZ151" s="148"/>
      <c r="IA151" s="33"/>
      <c r="IB151" s="155"/>
      <c r="IC151" s="148"/>
      <c r="ID151" s="33"/>
      <c r="IE151" s="33"/>
      <c r="IF151" s="143"/>
      <c r="IG151" s="38"/>
      <c r="IH151" s="144"/>
      <c r="II151" s="150"/>
      <c r="IJ151" s="174"/>
      <c r="IK151" s="175"/>
      <c r="IL151" s="176"/>
      <c r="IM151" s="155"/>
      <c r="IN151" s="148"/>
      <c r="IO151" s="33"/>
      <c r="IP151" s="155"/>
      <c r="IQ151" s="148"/>
      <c r="IR151" s="33"/>
      <c r="IS151" s="33"/>
      <c r="IT151" s="143"/>
      <c r="IU151" s="38"/>
      <c r="IV151" s="144"/>
      <c r="IW151" s="143"/>
      <c r="IX151" s="38"/>
      <c r="IY151" s="144" t="e">
        <v>#REF!</v>
      </c>
    </row>
    <row r="152">
      <c r="A152" s="33"/>
      <c r="B152" s="181"/>
      <c r="C152" s="38" t="str">
        <f>IFERROR(__xludf.DUMMYFUNCTION("""COMPUTED_VALUE"""),"")</f>
        <v/>
      </c>
      <c r="D152" s="144">
        <v>46111.0</v>
      </c>
      <c r="E152" s="182"/>
      <c r="F152" s="168"/>
      <c r="G152" s="169"/>
      <c r="H152" s="170"/>
      <c r="I152" s="171" t="str">
        <f t="array" ref="I152">IFERROR(IF(C152="ac"+ISNUMBER(SEARCH("'",H152))+G152="","", MROUND(SWITCH(C152,"sq",'Personal Info'!$O$15,"bn",'Personal Info'!$S$15,"dl",'Personal Info'!$W$15,"")*IF(H152&gt;10, H152/100, VLOOKUP(H152, _rpe,SUBSTITUTE(G152,"+","")+1,0)), IF( SWITCH(C152:C210,"sq",'Personal Info'!$O$15,"bn",'Personal Info'!$S$15,"dl", 'Personal Info'!$W$15,"")&lt; IF(_uom="lbs", 175, 80), 1.25, IF(_uom="lbs",5,2.5)))),"")</f>
        <v/>
      </c>
      <c r="J152" s="148"/>
      <c r="K152" s="33"/>
      <c r="L152" s="171"/>
      <c r="M152" s="124" t="str">
        <f>IFERROR(__xludf.DUMMYFUNCTION("IF(I152=MAX(FILTER(I$10:I$199,LOOKUP(ROW(C$10:C$199),FILTER(ROW(C$10:C$199),C$10:C$199&lt;&gt;C$9:C$198))=LOOKUP(ROW(C152),FILTER(ROW(C$10:C$199),C$10:C$199&lt;&gt;C$9:C$198)))),J152,)"),"")</f>
        <v/>
      </c>
      <c r="N152" s="122"/>
      <c r="O152" s="33"/>
      <c r="P152" s="143" t="str">
        <f t="shared" si="12"/>
        <v/>
      </c>
      <c r="Q152" s="38" t="str">
        <f>IFERROR(__xludf.DUMMYFUNCTION("""COMPUTED_VALUE"""),"")</f>
        <v/>
      </c>
      <c r="R152" s="144">
        <v>46118.0</v>
      </c>
      <c r="S152" s="167" t="str">
        <f t="shared" si="13"/>
        <v/>
      </c>
      <c r="T152" s="168" t="str">
        <f t="shared" si="319"/>
        <v/>
      </c>
      <c r="U152" s="169" t="str">
        <f t="shared" si="320"/>
        <v/>
      </c>
      <c r="V152" s="172" t="str">
        <f t="shared" si="321"/>
        <v/>
      </c>
      <c r="W152" s="171" t="str">
        <f t="array" ref="W152">IFERROR(IF(Q152="ac"+ISNUMBER(SEARCH("'",V152))+U152="","", IF(ISNUMBER(SEARCH("lw",V152)), I152 + SUBSTITUTE(V152,"lw+",""), MROUND(SWITCH(Q152,"sq",U$7,"bn",V$7,"dl",W$7,"")*IF(V152&gt;10, V152/100, VLOOKUP(V152, _rpe,SUBSTITUTE(U152,"+","")+1,0)), IF( SWITCH(Q152,"sq",U$7,"bn",V$7,"dl", W$7,"")&lt; IF(_uom="lbs", 175, 80), 1.25, IF(_uom="lbs",5,2.5))))), "")</f>
        <v/>
      </c>
      <c r="X152" s="148"/>
      <c r="Y152" s="33"/>
      <c r="Z152" s="171"/>
      <c r="AA152" s="124" t="str">
        <f>IFERROR(__xludf.DUMMYFUNCTION("IF(W152=MAX(FILTER(W$10:W$199,LOOKUP(ROW(Q$10:Q$199),FILTER(ROW(Q$10:Q$199),Q$10:Q$199&lt;&gt;Q$9:Q$198))=LOOKUP(ROW(Q152),FILTER(ROW(Q$10:Q$199),Q$10:Q$199&lt;&gt;Q$9:Q$198)))),X152,)"),"")</f>
        <v/>
      </c>
      <c r="AB152" s="122"/>
      <c r="AC152" s="33"/>
      <c r="AD152" s="143" t="str">
        <f t="shared" si="14"/>
        <v/>
      </c>
      <c r="AE152" s="38" t="str">
        <f>IFERROR(__xludf.DUMMYFUNCTION("""COMPUTED_VALUE"""),"")</f>
        <v/>
      </c>
      <c r="AF152" s="144">
        <v>46125.0</v>
      </c>
      <c r="AG152" s="167" t="str">
        <f t="shared" si="54"/>
        <v/>
      </c>
      <c r="AH152" s="168" t="str">
        <f t="shared" si="322"/>
        <v/>
      </c>
      <c r="AI152" s="169" t="str">
        <f t="shared" si="323"/>
        <v/>
      </c>
      <c r="AJ152" s="172" t="str">
        <f t="shared" si="324"/>
        <v/>
      </c>
      <c r="AK152" s="171" t="str">
        <f t="array" ref="AK152">IFERROR(IF(AE152="ac"+ISNUMBER(SEARCH("'",AJ152))+AI152="","", IF(ISNUMBER(SEARCH("lw",AJ152)), W152 + SUBSTITUTE(AJ152,"lw+",""), MROUND(SWITCH(AE152,"sq",AI$7,"bn",AJ$7,"dl",AK$7,"")*IF(AJ152&gt;10, AJ152/100, VLOOKUP(AJ152, _rpe,SUBSTITUTE(AI152,"+","")+1,0)), IF( SWITCH(AE152,"sq",AI$7,"bn",AJ$7,"dl", AK$7,"")&lt; IF(_uom="lbs", 175, 80), 1.25, IF(_uom="lbs",5,2.5))))), "")</f>
        <v/>
      </c>
      <c r="AL152" s="148"/>
      <c r="AM152" s="33"/>
      <c r="AN152" s="171"/>
      <c r="AO152" s="124" t="str">
        <f>IFERROR(__xludf.DUMMYFUNCTION("IF(AK152=MAX(FILTER(AK$10:AK$199,LOOKUP(ROW(AE$10:AE$199),FILTER(ROW(AE$10:AE$199),AE$10:AE$199&lt;&gt;AE$9:AE$198))=LOOKUP(ROW(AE152),FILTER(ROW(AE$10:AE$199),AE$10:AE$199&lt;&gt;AE$9:AE$198)))),AL152,)"),"")</f>
        <v/>
      </c>
      <c r="AP152" s="122"/>
      <c r="AQ152" s="33"/>
      <c r="AR152" s="143" t="str">
        <f t="shared" si="16"/>
        <v/>
      </c>
      <c r="AS152" s="38" t="str">
        <f>IFERROR(__xludf.DUMMYFUNCTION("""COMPUTED_VALUE"""),"")</f>
        <v/>
      </c>
      <c r="AT152" s="144">
        <v>46132.0</v>
      </c>
      <c r="AU152" s="167" t="str">
        <f t="shared" si="26"/>
        <v/>
      </c>
      <c r="AV152" s="168" t="str">
        <f t="shared" si="325"/>
        <v/>
      </c>
      <c r="AW152" s="169" t="str">
        <f t="shared" si="326"/>
        <v/>
      </c>
      <c r="AX152" s="172" t="str">
        <f t="shared" si="327"/>
        <v/>
      </c>
      <c r="AY152" s="171" t="str">
        <f t="array" ref="AY152">IFERROR(IF(AS152="ac"+ISNUMBER(SEARCH("'",AX152))+AW152="","", IF(ISNUMBER(SEARCH("lw",AX152)), AK152 + SUBSTITUTE(AX152,"lw+",""), MROUND(SWITCH(AS152,"sq",AW$7,"bn",AX$7,"dl",AY$7,"")*IF(AX152&gt;10, AX152/100, VLOOKUP(AX152, _rpe,SUBSTITUTE(AW152,"+","")+1,0)), IF( SWITCH(AS152,"sq",AW$7,"bn",AX$7,"dl", AY$7,"")&lt; IF(_uom="lbs", 175, 80), 1.25, IF(_uom="lbs",5,2.5))))), "")</f>
        <v/>
      </c>
      <c r="AZ152" s="148"/>
      <c r="BA152" s="33"/>
      <c r="BB152" s="171"/>
      <c r="BC152" s="124" t="str">
        <f>IFERROR(__xludf.DUMMYFUNCTION("IF(AY152=MAX(FILTER(AY$10:AY$199,LOOKUP(ROW(AS$10:AS$199),FILTER(ROW(AS$10:AS$199),AS$10:AS$199&lt;&gt;AS$9:AS$198))=LOOKUP(ROW(AS152),FILTER(ROW(AS$10:AS$199),AS$10:AS$199&lt;&gt;AS$9:AS$198)))),AZ152,)"),"")</f>
        <v/>
      </c>
      <c r="BD152" s="122"/>
      <c r="BE152" s="33"/>
      <c r="BF152" s="143" t="str">
        <f t="shared" si="17"/>
        <v/>
      </c>
      <c r="BG152" s="38" t="str">
        <f>IFERROR(__xludf.DUMMYFUNCTION("""COMPUTED_VALUE"""),"")</f>
        <v/>
      </c>
      <c r="BH152" s="144">
        <v>46139.0</v>
      </c>
      <c r="BI152" s="167" t="str">
        <f t="shared" si="18"/>
        <v/>
      </c>
      <c r="BJ152" s="168" t="str">
        <f t="shared" si="328"/>
        <v/>
      </c>
      <c r="BK152" s="169" t="str">
        <f t="shared" si="329"/>
        <v/>
      </c>
      <c r="BL152" s="172" t="str">
        <f t="shared" si="330"/>
        <v/>
      </c>
      <c r="BM152" s="171" t="str">
        <f t="array" ref="BM152">IFERROR(IF(BG152="ac"+ISNUMBER(SEARCH("'",BL152))+BK152="","", IF(ISNUMBER(SEARCH("lw",BL152)), AY152 + SUBSTITUTE(BL152,"lw+",""), MROUND(SWITCH(BG152,"sq",BK$7,"bn",BL$7,"dl",BM$7,"")*IF(BL152&gt;10, BL152/100, VLOOKUP(BL152, _rpe,SUBSTITUTE(BK152,"+","")+1,0)), IF( SWITCH(BG152,"sq",BK$7,"bn",BL$7,"dl", BM$7,"")&lt; IF(_uom="lbs", 175, 80), 1.25, IF(_uom="lbs",5,2.5))))), "")</f>
        <v/>
      </c>
      <c r="BN152" s="148"/>
      <c r="BO152" s="33"/>
      <c r="BP152" s="171"/>
      <c r="BQ152" s="124" t="str">
        <f>IFERROR(__xludf.DUMMYFUNCTION("IF(BM152=MAX(FILTER(BM$10:BM$199,LOOKUP(ROW(BG$10:BG$199),FILTER(ROW(BG$10:BG$199),BG$10:BG$199&lt;&gt;BG$9:BG$198))=LOOKUP(ROW(BG152),FILTER(ROW(BG$10:BG$199),BG$10:BG$199&lt;&gt;BG$9:BG$198)))),BN152,)"),"")</f>
        <v/>
      </c>
      <c r="BR152" s="122"/>
      <c r="BS152" s="33"/>
      <c r="BT152" s="143" t="str">
        <f t="shared" si="19"/>
        <v/>
      </c>
      <c r="BU152" s="38" t="str">
        <f>IFERROR(__xludf.DUMMYFUNCTION("""COMPUTED_VALUE"""),"")</f>
        <v/>
      </c>
      <c r="BV152" s="144">
        <v>46146.0</v>
      </c>
      <c r="BW152" s="167" t="str">
        <f t="shared" si="20"/>
        <v/>
      </c>
      <c r="BX152" s="168" t="str">
        <f t="shared" si="331"/>
        <v/>
      </c>
      <c r="BY152" s="169" t="str">
        <f t="shared" si="332"/>
        <v/>
      </c>
      <c r="BZ152" s="172" t="str">
        <f t="shared" si="333"/>
        <v/>
      </c>
      <c r="CA152" s="171" t="str">
        <f t="array" ref="CA152">IFERROR(IF(BU152="ac"+ISNUMBER(SEARCH("'",BZ152))+BY152="","", IF(ISNUMBER(SEARCH("lw",BZ152)), BM152 + SUBSTITUTE(BZ152,"lw+",""), MROUND(SWITCH(BU152,"sq",BY$7,"bn",BZ$7,"dl",CA$7,"")*IF(BZ152&gt;10, BZ152/100, VLOOKUP(BZ152, _rpe,SUBSTITUTE(BY152,"+","")+1,0)), IF( SWITCH(BU152,"sq",BY$7,"bn",BZ$7,"dl", CA$7,"")&lt; IF(_uom="lbs", 175, 80), 1.25, IF(_uom="lbs",5,2.5))))), "")</f>
        <v/>
      </c>
      <c r="CB152" s="148"/>
      <c r="CC152" s="33"/>
      <c r="CD152" s="171"/>
      <c r="CE152" s="124" t="str">
        <f>IFERROR(__xludf.DUMMYFUNCTION("IF(CA152=MAX(FILTER(CA$10:CA$199,LOOKUP(ROW(BU$10:BU$199),FILTER(ROW(BU$10:BU$199),BU$10:BU$199&lt;&gt;BU$9:BU$198))=LOOKUP(ROW(BU152),FILTER(ROW(BU$10:BU$199),BU$10:BU$199&lt;&gt;BU$9:BU$198)))),CB152,)"),"")</f>
        <v/>
      </c>
      <c r="CF152" s="122"/>
      <c r="CG152" s="33"/>
      <c r="CH152" s="143" t="str">
        <f t="shared" si="21"/>
        <v/>
      </c>
      <c r="CI152" s="38" t="str">
        <f>IFERROR(__xludf.DUMMYFUNCTION("""COMPUTED_VALUE"""),"")</f>
        <v/>
      </c>
      <c r="CJ152" s="144">
        <v>46153.0</v>
      </c>
      <c r="CK152" s="167" t="str">
        <f t="shared" si="27"/>
        <v/>
      </c>
      <c r="CL152" s="168" t="str">
        <f t="shared" si="334"/>
        <v/>
      </c>
      <c r="CM152" s="169" t="str">
        <f t="shared" si="335"/>
        <v/>
      </c>
      <c r="CN152" s="172" t="str">
        <f t="shared" si="336"/>
        <v/>
      </c>
      <c r="CO152" s="171" t="str">
        <f t="array" ref="CO152">IFERROR(IF(CI152="ac"+ISNUMBER(SEARCH("'",CN152))+CM152="","", IF(ISNUMBER(SEARCH("lw",CN152)), CA152 + SUBSTITUTE(CN152,"lw+",""), MROUND(SWITCH(CI152,"sq",CM$7,"bn",CN$7,"dl",CO$7,"")*IF(CN152&gt;10, CN152/100, VLOOKUP(CN152, _rpe,SUBSTITUTE(CM152,"+","")+1,0)), IF( SWITCH(CI152,"sq",CM$7,"bn",CN$7,"dl", CO$7,"")&lt; IF(_uom="lbs", 175, 80), 1.25, IF(_uom="lbs",5,2.5))))), "")</f>
        <v/>
      </c>
      <c r="CP152" s="148"/>
      <c r="CQ152" s="33"/>
      <c r="CR152" s="171"/>
      <c r="CS152" s="124" t="str">
        <f>IFERROR(__xludf.DUMMYFUNCTION("IF(CO152=MAX(FILTER(CO$10:CO$199,LOOKUP(ROW(CI$10:CI$199),FILTER(ROW(CI$10:CI$199),CI$10:CI$199&lt;&gt;CI$9:CI$198))=LOOKUP(ROW(CI152),FILTER(ROW(CI$10:CI$199),CI$10:CI$199&lt;&gt;CI$9:CI$198)))),CP152,)"),"")</f>
        <v/>
      </c>
      <c r="CT152" s="122"/>
      <c r="CU152" s="33"/>
      <c r="CV152" s="143" t="str">
        <f t="shared" si="22"/>
        <v/>
      </c>
      <c r="CW152" s="38" t="str">
        <f>IFERROR(__xludf.DUMMYFUNCTION("""COMPUTED_VALUE"""),"")</f>
        <v/>
      </c>
      <c r="CX152" s="144">
        <v>46160.0</v>
      </c>
      <c r="CY152" s="167" t="str">
        <f t="shared" si="28"/>
        <v/>
      </c>
      <c r="CZ152" s="168" t="str">
        <f t="shared" si="337"/>
        <v/>
      </c>
      <c r="DA152" s="169" t="str">
        <f t="shared" si="338"/>
        <v/>
      </c>
      <c r="DB152" s="172" t="str">
        <f t="shared" si="339"/>
        <v/>
      </c>
      <c r="DC152" s="171" t="str">
        <f t="array" ref="DC152">IFERROR(IF(CW152="ac"+ISNUMBER(SEARCH("'",DB152))+DA152="","", IF(ISNUMBER(SEARCH("lw",DB152)), CO152 + SUBSTITUTE(DB152,"lw+",""), MROUND(SWITCH(CW152,"sq",DA$7,"bn",DB$7,"dl",DC$7,"")*IF(DB152&gt;10, DB152/100, VLOOKUP(DB152, _rpe,SUBSTITUTE(DA152,"+","")+1,0)), IF( SWITCH(CW152,"sq",DA$7,"bn",DB$7,"dl", DC$7,"")&lt; IF(_uom="lbs", 175, 80), 1.25, IF(_uom="lbs",5,2.5))))), "")</f>
        <v/>
      </c>
      <c r="DD152" s="148"/>
      <c r="DE152" s="33"/>
      <c r="DF152" s="171"/>
      <c r="DG152" s="124" t="str">
        <f>IFERROR(__xludf.DUMMYFUNCTION("IF(DC152=MAX(FILTER(DC$10:DC$199,LOOKUP(ROW(CW$10:CW$199),FILTER(ROW(CW$10:CW$199),CW$10:CW$199&lt;&gt;CW$9:CW$198))=LOOKUP(ROW(CW152),FILTER(ROW(CW$10:CW$199),CW$10:CW$199&lt;&gt;CW$9:CW$198)))),DD152,)"),"")</f>
        <v/>
      </c>
      <c r="DH152" s="122"/>
      <c r="DI152" s="33"/>
      <c r="DJ152" s="143" t="str">
        <f t="shared" si="23"/>
        <v/>
      </c>
      <c r="DK152" s="38" t="str">
        <f>IFERROR(__xludf.DUMMYFUNCTION("""COMPUTED_VALUE"""),"")</f>
        <v/>
      </c>
      <c r="DL152" s="144">
        <v>46167.0</v>
      </c>
      <c r="DM152" s="167" t="str">
        <f t="shared" ref="DM152:DN152" si="404">IF(ISBLANK(CY152),"",CY152)</f>
        <v/>
      </c>
      <c r="DN152" s="168" t="str">
        <f t="shared" si="404"/>
        <v/>
      </c>
      <c r="DO152" s="169" t="str">
        <f t="shared" si="341"/>
        <v/>
      </c>
      <c r="DP152" s="172" t="str">
        <f t="shared" si="342"/>
        <v/>
      </c>
      <c r="DQ152" s="171" t="str">
        <f t="array" ref="DQ152">IFERROR(IF(DK152="ac"+ISNUMBER(SEARCH("'",DP152))+DO152="","", IF(ISNUMBER(SEARCH("lw",DP152)), DC152 + SUBSTITUTE(DP152,"lw+",""), MROUND(SWITCH(DK152,"sq",DO$7,"bn",DP$7,"dl",DQ$7,"")*IF(DP152&gt;10, DP152/100, VLOOKUP(DP152, _rpe,SUBSTITUTE(DO152,"+","")+1,0)), IF( SWITCH(DK152,"sq",DO$7,"bn",DP$7,"dl", DQ$7,"")&lt; IF(_uom="lbs", 175, 80), 1.25, IF(_uom="lbs",5,2.5))))), "")</f>
        <v/>
      </c>
      <c r="DR152" s="148"/>
      <c r="DS152" s="33"/>
      <c r="DT152" s="171"/>
      <c r="DU152" s="124" t="str">
        <f>IFERROR(__xludf.DUMMYFUNCTION("IF(DQ152=MAX(FILTER(DQ$10:DQ$199,LOOKUP(ROW(DK$10:DK$199),FILTER(ROW(DK$10:DK$199),DK$10:DK$199&lt;&gt;DK$9:DK$198))=LOOKUP(ROW(DK152),FILTER(ROW(DK$10:DK$199),DK$10:DK$199&lt;&gt;DK$9:DK$198)))),DR152,)"),"")</f>
        <v/>
      </c>
      <c r="DV152" s="122"/>
      <c r="DW152" s="33"/>
      <c r="DX152" s="143"/>
      <c r="DY152" s="38"/>
      <c r="DZ152" s="144"/>
      <c r="EA152" s="150"/>
      <c r="EB152" s="174"/>
      <c r="EC152" s="175"/>
      <c r="ED152" s="176"/>
      <c r="EE152" s="155"/>
      <c r="EF152" s="148"/>
      <c r="EG152" s="33"/>
      <c r="EH152" s="155"/>
      <c r="EI152" s="148"/>
      <c r="EJ152" s="33"/>
      <c r="EK152" s="33"/>
      <c r="EL152" s="143"/>
      <c r="EM152" s="38"/>
      <c r="EN152" s="144"/>
      <c r="EO152" s="150"/>
      <c r="EP152" s="174"/>
      <c r="EQ152" s="175"/>
      <c r="ER152" s="176"/>
      <c r="ES152" s="155"/>
      <c r="ET152" s="148"/>
      <c r="EU152" s="33"/>
      <c r="EV152" s="155"/>
      <c r="EW152" s="148"/>
      <c r="EX152" s="33"/>
      <c r="EY152" s="33"/>
      <c r="EZ152" s="143"/>
      <c r="FA152" s="38"/>
      <c r="FB152" s="144"/>
      <c r="FC152" s="150"/>
      <c r="FD152" s="174"/>
      <c r="FE152" s="175"/>
      <c r="FF152" s="176"/>
      <c r="FG152" s="155"/>
      <c r="FH152" s="148"/>
      <c r="FI152" s="33"/>
      <c r="FJ152" s="155"/>
      <c r="FK152" s="148"/>
      <c r="FL152" s="33"/>
      <c r="FM152" s="33"/>
      <c r="FN152" s="143"/>
      <c r="FO152" s="38"/>
      <c r="FP152" s="144"/>
      <c r="FQ152" s="150"/>
      <c r="FR152" s="174"/>
      <c r="FS152" s="175"/>
      <c r="FT152" s="176"/>
      <c r="FU152" s="155"/>
      <c r="FV152" s="148"/>
      <c r="FW152" s="33"/>
      <c r="FX152" s="155"/>
      <c r="FY152" s="148"/>
      <c r="FZ152" s="33"/>
      <c r="GA152" s="33"/>
      <c r="GB152" s="143"/>
      <c r="GC152" s="38"/>
      <c r="GD152" s="144"/>
      <c r="GE152" s="150"/>
      <c r="GF152" s="174"/>
      <c r="GG152" s="175"/>
      <c r="GH152" s="176"/>
      <c r="GI152" s="155"/>
      <c r="GJ152" s="148"/>
      <c r="GK152" s="33"/>
      <c r="GL152" s="155"/>
      <c r="GM152" s="148"/>
      <c r="GN152" s="33"/>
      <c r="GO152" s="33"/>
      <c r="GP152" s="143"/>
      <c r="GQ152" s="38"/>
      <c r="GR152" s="144"/>
      <c r="GS152" s="150"/>
      <c r="GT152" s="174"/>
      <c r="GU152" s="175"/>
      <c r="GV152" s="176"/>
      <c r="GW152" s="155"/>
      <c r="GX152" s="148"/>
      <c r="GY152" s="33"/>
      <c r="GZ152" s="155"/>
      <c r="HA152" s="148"/>
      <c r="HB152" s="33"/>
      <c r="HC152" s="33"/>
      <c r="HD152" s="143"/>
      <c r="HE152" s="38"/>
      <c r="HF152" s="144"/>
      <c r="HG152" s="150"/>
      <c r="HH152" s="174"/>
      <c r="HI152" s="175"/>
      <c r="HJ152" s="176"/>
      <c r="HK152" s="155"/>
      <c r="HL152" s="148"/>
      <c r="HM152" s="33"/>
      <c r="HN152" s="155"/>
      <c r="HO152" s="148"/>
      <c r="HP152" s="33"/>
      <c r="HQ152" s="33"/>
      <c r="HR152" s="143"/>
      <c r="HS152" s="38"/>
      <c r="HT152" s="144"/>
      <c r="HU152" s="150"/>
      <c r="HV152" s="174"/>
      <c r="HW152" s="175"/>
      <c r="HX152" s="176"/>
      <c r="HY152" s="155"/>
      <c r="HZ152" s="148"/>
      <c r="IA152" s="33"/>
      <c r="IB152" s="155"/>
      <c r="IC152" s="148"/>
      <c r="ID152" s="33"/>
      <c r="IE152" s="33"/>
      <c r="IF152" s="143"/>
      <c r="IG152" s="38"/>
      <c r="IH152" s="144"/>
      <c r="II152" s="150"/>
      <c r="IJ152" s="174"/>
      <c r="IK152" s="175"/>
      <c r="IL152" s="176"/>
      <c r="IM152" s="155"/>
      <c r="IN152" s="148"/>
      <c r="IO152" s="33"/>
      <c r="IP152" s="155"/>
      <c r="IQ152" s="148"/>
      <c r="IR152" s="33"/>
      <c r="IS152" s="33"/>
      <c r="IT152" s="143"/>
      <c r="IU152" s="38"/>
      <c r="IV152" s="144"/>
      <c r="IW152" s="143"/>
      <c r="IX152" s="38"/>
      <c r="IY152" s="144" t="e">
        <v>#REF!</v>
      </c>
    </row>
    <row r="153">
      <c r="A153" s="33"/>
      <c r="B153" s="181"/>
      <c r="C153" s="38" t="str">
        <f>IFERROR(__xludf.DUMMYFUNCTION("""COMPUTED_VALUE"""),"")</f>
        <v/>
      </c>
      <c r="D153" s="144">
        <v>46111.0</v>
      </c>
      <c r="E153" s="182"/>
      <c r="F153" s="168"/>
      <c r="G153" s="169"/>
      <c r="H153" s="170"/>
      <c r="I153" s="171" t="str">
        <f t="array" ref="I153">IFERROR(IF(C153="ac"+ISNUMBER(SEARCH("'",H153))+G153="","", MROUND(SWITCH(C153,"sq",'Personal Info'!$O$15,"bn",'Personal Info'!$S$15,"dl",'Personal Info'!$W$15,"")*IF(H153&gt;10, H153/100, VLOOKUP(H153, _rpe,SUBSTITUTE(G153,"+","")+1,0)), IF( SWITCH(C153:C210,"sq",'Personal Info'!$O$15,"bn",'Personal Info'!$S$15,"dl", 'Personal Info'!$W$15,"")&lt; IF(_uom="lbs", 175, 80), 1.25, IF(_uom="lbs",5,2.5)))),"")</f>
        <v/>
      </c>
      <c r="J153" s="148"/>
      <c r="K153" s="33"/>
      <c r="L153" s="171"/>
      <c r="M153" s="124" t="str">
        <f>IFERROR(__xludf.DUMMYFUNCTION("IF(I153=MAX(FILTER(I$10:I$199,LOOKUP(ROW(C$10:C$199),FILTER(ROW(C$10:C$199),C$10:C$199&lt;&gt;C$9:C$198))=LOOKUP(ROW(C153),FILTER(ROW(C$10:C$199),C$10:C$199&lt;&gt;C$9:C$198)))),J153,)"),"")</f>
        <v/>
      </c>
      <c r="N153" s="122"/>
      <c r="O153" s="33"/>
      <c r="P153" s="143" t="str">
        <f t="shared" si="12"/>
        <v/>
      </c>
      <c r="Q153" s="38" t="str">
        <f>IFERROR(__xludf.DUMMYFUNCTION("""COMPUTED_VALUE"""),"")</f>
        <v/>
      </c>
      <c r="R153" s="144">
        <v>46118.0</v>
      </c>
      <c r="S153" s="167" t="str">
        <f t="shared" si="13"/>
        <v/>
      </c>
      <c r="T153" s="168" t="str">
        <f t="shared" si="319"/>
        <v/>
      </c>
      <c r="U153" s="169" t="str">
        <f t="shared" si="320"/>
        <v/>
      </c>
      <c r="V153" s="172" t="str">
        <f t="shared" si="321"/>
        <v/>
      </c>
      <c r="W153" s="171" t="str">
        <f t="array" ref="W153">IFERROR(IF(Q153="ac"+ISNUMBER(SEARCH("'",V153))+U153="","", IF(ISNUMBER(SEARCH("lw",V153)), I153 + SUBSTITUTE(V153,"lw+",""), MROUND(SWITCH(Q153,"sq",U$7,"bn",V$7,"dl",W$7,"")*IF(V153&gt;10, V153/100, VLOOKUP(V153, _rpe,SUBSTITUTE(U153,"+","")+1,0)), IF( SWITCH(Q153,"sq",U$7,"bn",V$7,"dl", W$7,"")&lt; IF(_uom="lbs", 175, 80), 1.25, IF(_uom="lbs",5,2.5))))), "")</f>
        <v/>
      </c>
      <c r="X153" s="148"/>
      <c r="Y153" s="33"/>
      <c r="Z153" s="171"/>
      <c r="AA153" s="124" t="str">
        <f>IFERROR(__xludf.DUMMYFUNCTION("IF(W153=MAX(FILTER(W$10:W$199,LOOKUP(ROW(Q$10:Q$199),FILTER(ROW(Q$10:Q$199),Q$10:Q$199&lt;&gt;Q$9:Q$198))=LOOKUP(ROW(Q153),FILTER(ROW(Q$10:Q$199),Q$10:Q$199&lt;&gt;Q$9:Q$198)))),X153,)"),"")</f>
        <v/>
      </c>
      <c r="AB153" s="122"/>
      <c r="AC153" s="33"/>
      <c r="AD153" s="143" t="str">
        <f t="shared" si="14"/>
        <v/>
      </c>
      <c r="AE153" s="38" t="str">
        <f>IFERROR(__xludf.DUMMYFUNCTION("""COMPUTED_VALUE"""),"")</f>
        <v/>
      </c>
      <c r="AF153" s="144">
        <v>46125.0</v>
      </c>
      <c r="AG153" s="167" t="str">
        <f t="shared" si="54"/>
        <v/>
      </c>
      <c r="AH153" s="168" t="str">
        <f t="shared" si="322"/>
        <v/>
      </c>
      <c r="AI153" s="169" t="str">
        <f t="shared" si="323"/>
        <v/>
      </c>
      <c r="AJ153" s="172" t="str">
        <f t="shared" si="324"/>
        <v/>
      </c>
      <c r="AK153" s="171" t="str">
        <f t="array" ref="AK153">IFERROR(IF(AE153="ac"+ISNUMBER(SEARCH("'",AJ153))+AI153="","", IF(ISNUMBER(SEARCH("lw",AJ153)), W153 + SUBSTITUTE(AJ153,"lw+",""), MROUND(SWITCH(AE153,"sq",AI$7,"bn",AJ$7,"dl",AK$7,"")*IF(AJ153&gt;10, AJ153/100, VLOOKUP(AJ153, _rpe,SUBSTITUTE(AI153,"+","")+1,0)), IF( SWITCH(AE153,"sq",AI$7,"bn",AJ$7,"dl", AK$7,"")&lt; IF(_uom="lbs", 175, 80), 1.25, IF(_uom="lbs",5,2.5))))), "")</f>
        <v/>
      </c>
      <c r="AL153" s="148"/>
      <c r="AM153" s="33"/>
      <c r="AN153" s="171"/>
      <c r="AO153" s="124" t="str">
        <f>IFERROR(__xludf.DUMMYFUNCTION("IF(AK153=MAX(FILTER(AK$10:AK$199,LOOKUP(ROW(AE$10:AE$199),FILTER(ROW(AE$10:AE$199),AE$10:AE$199&lt;&gt;AE$9:AE$198))=LOOKUP(ROW(AE153),FILTER(ROW(AE$10:AE$199),AE$10:AE$199&lt;&gt;AE$9:AE$198)))),AL153,)"),"")</f>
        <v/>
      </c>
      <c r="AP153" s="122"/>
      <c r="AQ153" s="33"/>
      <c r="AR153" s="143" t="str">
        <f t="shared" si="16"/>
        <v/>
      </c>
      <c r="AS153" s="38" t="str">
        <f>IFERROR(__xludf.DUMMYFUNCTION("""COMPUTED_VALUE"""),"")</f>
        <v/>
      </c>
      <c r="AT153" s="144">
        <v>46132.0</v>
      </c>
      <c r="AU153" s="167" t="str">
        <f t="shared" si="26"/>
        <v/>
      </c>
      <c r="AV153" s="168" t="str">
        <f t="shared" si="325"/>
        <v/>
      </c>
      <c r="AW153" s="169" t="str">
        <f t="shared" si="326"/>
        <v/>
      </c>
      <c r="AX153" s="172" t="str">
        <f t="shared" si="327"/>
        <v/>
      </c>
      <c r="AY153" s="171" t="str">
        <f t="array" ref="AY153">IFERROR(IF(AS153="ac"+ISNUMBER(SEARCH("'",AX153))+AW153="","", IF(ISNUMBER(SEARCH("lw",AX153)), AK153 + SUBSTITUTE(AX153,"lw+",""), MROUND(SWITCH(AS153,"sq",AW$7,"bn",AX$7,"dl",AY$7,"")*IF(AX153&gt;10, AX153/100, VLOOKUP(AX153, _rpe,SUBSTITUTE(AW153,"+","")+1,0)), IF( SWITCH(AS153,"sq",AW$7,"bn",AX$7,"dl", AY$7,"")&lt; IF(_uom="lbs", 175, 80), 1.25, IF(_uom="lbs",5,2.5))))), "")</f>
        <v/>
      </c>
      <c r="AZ153" s="148"/>
      <c r="BA153" s="33"/>
      <c r="BB153" s="171"/>
      <c r="BC153" s="124" t="str">
        <f>IFERROR(__xludf.DUMMYFUNCTION("IF(AY153=MAX(FILTER(AY$10:AY$199,LOOKUP(ROW(AS$10:AS$199),FILTER(ROW(AS$10:AS$199),AS$10:AS$199&lt;&gt;AS$9:AS$198))=LOOKUP(ROW(AS153),FILTER(ROW(AS$10:AS$199),AS$10:AS$199&lt;&gt;AS$9:AS$198)))),AZ153,)"),"")</f>
        <v/>
      </c>
      <c r="BD153" s="122"/>
      <c r="BE153" s="33"/>
      <c r="BF153" s="143" t="str">
        <f t="shared" si="17"/>
        <v/>
      </c>
      <c r="BG153" s="38" t="str">
        <f>IFERROR(__xludf.DUMMYFUNCTION("""COMPUTED_VALUE"""),"")</f>
        <v/>
      </c>
      <c r="BH153" s="144">
        <v>46139.0</v>
      </c>
      <c r="BI153" s="167" t="str">
        <f t="shared" si="18"/>
        <v/>
      </c>
      <c r="BJ153" s="168" t="str">
        <f t="shared" si="328"/>
        <v/>
      </c>
      <c r="BK153" s="169" t="str">
        <f t="shared" si="329"/>
        <v/>
      </c>
      <c r="BL153" s="172" t="str">
        <f t="shared" si="330"/>
        <v/>
      </c>
      <c r="BM153" s="171" t="str">
        <f t="array" ref="BM153">IFERROR(IF(BG153="ac"+ISNUMBER(SEARCH("'",BL153))+BK153="","", IF(ISNUMBER(SEARCH("lw",BL153)), AY153 + SUBSTITUTE(BL153,"lw+",""), MROUND(SWITCH(BG153,"sq",BK$7,"bn",BL$7,"dl",BM$7,"")*IF(BL153&gt;10, BL153/100, VLOOKUP(BL153, _rpe,SUBSTITUTE(BK153,"+","")+1,0)), IF( SWITCH(BG153,"sq",BK$7,"bn",BL$7,"dl", BM$7,"")&lt; IF(_uom="lbs", 175, 80), 1.25, IF(_uom="lbs",5,2.5))))), "")</f>
        <v/>
      </c>
      <c r="BN153" s="148"/>
      <c r="BO153" s="33"/>
      <c r="BP153" s="171"/>
      <c r="BQ153" s="124" t="str">
        <f>IFERROR(__xludf.DUMMYFUNCTION("IF(BM153=MAX(FILTER(BM$10:BM$199,LOOKUP(ROW(BG$10:BG$199),FILTER(ROW(BG$10:BG$199),BG$10:BG$199&lt;&gt;BG$9:BG$198))=LOOKUP(ROW(BG153),FILTER(ROW(BG$10:BG$199),BG$10:BG$199&lt;&gt;BG$9:BG$198)))),BN153,)"),"")</f>
        <v/>
      </c>
      <c r="BR153" s="122"/>
      <c r="BS153" s="33"/>
      <c r="BT153" s="143" t="str">
        <f t="shared" si="19"/>
        <v/>
      </c>
      <c r="BU153" s="38" t="str">
        <f>IFERROR(__xludf.DUMMYFUNCTION("""COMPUTED_VALUE"""),"")</f>
        <v/>
      </c>
      <c r="BV153" s="144">
        <v>46146.0</v>
      </c>
      <c r="BW153" s="167" t="str">
        <f t="shared" si="20"/>
        <v/>
      </c>
      <c r="BX153" s="168" t="str">
        <f t="shared" si="331"/>
        <v/>
      </c>
      <c r="BY153" s="169" t="str">
        <f t="shared" si="332"/>
        <v/>
      </c>
      <c r="BZ153" s="172" t="str">
        <f t="shared" si="333"/>
        <v/>
      </c>
      <c r="CA153" s="171" t="str">
        <f t="array" ref="CA153">IFERROR(IF(BU153="ac"+ISNUMBER(SEARCH("'",BZ153))+BY153="","", IF(ISNUMBER(SEARCH("lw",BZ153)), BM153 + SUBSTITUTE(BZ153,"lw+",""), MROUND(SWITCH(BU153,"sq",BY$7,"bn",BZ$7,"dl",CA$7,"")*IF(BZ153&gt;10, BZ153/100, VLOOKUP(BZ153, _rpe,SUBSTITUTE(BY153,"+","")+1,0)), IF( SWITCH(BU153,"sq",BY$7,"bn",BZ$7,"dl", CA$7,"")&lt; IF(_uom="lbs", 175, 80), 1.25, IF(_uom="lbs",5,2.5))))), "")</f>
        <v/>
      </c>
      <c r="CB153" s="148"/>
      <c r="CC153" s="33"/>
      <c r="CD153" s="171"/>
      <c r="CE153" s="124" t="str">
        <f>IFERROR(__xludf.DUMMYFUNCTION("IF(CA153=MAX(FILTER(CA$10:CA$199,LOOKUP(ROW(BU$10:BU$199),FILTER(ROW(BU$10:BU$199),BU$10:BU$199&lt;&gt;BU$9:BU$198))=LOOKUP(ROW(BU153),FILTER(ROW(BU$10:BU$199),BU$10:BU$199&lt;&gt;BU$9:BU$198)))),CB153,)"),"")</f>
        <v/>
      </c>
      <c r="CF153" s="122"/>
      <c r="CG153" s="33"/>
      <c r="CH153" s="143" t="str">
        <f t="shared" si="21"/>
        <v/>
      </c>
      <c r="CI153" s="38" t="str">
        <f>IFERROR(__xludf.DUMMYFUNCTION("""COMPUTED_VALUE"""),"")</f>
        <v/>
      </c>
      <c r="CJ153" s="144">
        <v>46153.0</v>
      </c>
      <c r="CK153" s="167" t="str">
        <f t="shared" si="27"/>
        <v/>
      </c>
      <c r="CL153" s="168" t="str">
        <f t="shared" si="334"/>
        <v/>
      </c>
      <c r="CM153" s="169" t="str">
        <f t="shared" si="335"/>
        <v/>
      </c>
      <c r="CN153" s="172" t="str">
        <f t="shared" si="336"/>
        <v/>
      </c>
      <c r="CO153" s="171" t="str">
        <f t="array" ref="CO153">IFERROR(IF(CI153="ac"+ISNUMBER(SEARCH("'",CN153))+CM153="","", IF(ISNUMBER(SEARCH("lw",CN153)), CA153 + SUBSTITUTE(CN153,"lw+",""), MROUND(SWITCH(CI153,"sq",CM$7,"bn",CN$7,"dl",CO$7,"")*IF(CN153&gt;10, CN153/100, VLOOKUP(CN153, _rpe,SUBSTITUTE(CM153,"+","")+1,0)), IF( SWITCH(CI153,"sq",CM$7,"bn",CN$7,"dl", CO$7,"")&lt; IF(_uom="lbs", 175, 80), 1.25, IF(_uom="lbs",5,2.5))))), "")</f>
        <v/>
      </c>
      <c r="CP153" s="148"/>
      <c r="CQ153" s="33"/>
      <c r="CR153" s="171"/>
      <c r="CS153" s="124" t="str">
        <f>IFERROR(__xludf.DUMMYFUNCTION("IF(CO153=MAX(FILTER(CO$10:CO$199,LOOKUP(ROW(CI$10:CI$199),FILTER(ROW(CI$10:CI$199),CI$10:CI$199&lt;&gt;CI$9:CI$198))=LOOKUP(ROW(CI153),FILTER(ROW(CI$10:CI$199),CI$10:CI$199&lt;&gt;CI$9:CI$198)))),CP153,)"),"")</f>
        <v/>
      </c>
      <c r="CT153" s="122"/>
      <c r="CU153" s="33"/>
      <c r="CV153" s="143" t="str">
        <f t="shared" si="22"/>
        <v/>
      </c>
      <c r="CW153" s="38" t="str">
        <f>IFERROR(__xludf.DUMMYFUNCTION("""COMPUTED_VALUE"""),"")</f>
        <v/>
      </c>
      <c r="CX153" s="144">
        <v>46160.0</v>
      </c>
      <c r="CY153" s="167" t="str">
        <f t="shared" si="28"/>
        <v/>
      </c>
      <c r="CZ153" s="168" t="str">
        <f t="shared" si="337"/>
        <v/>
      </c>
      <c r="DA153" s="169" t="str">
        <f t="shared" si="338"/>
        <v/>
      </c>
      <c r="DB153" s="172" t="str">
        <f t="shared" si="339"/>
        <v/>
      </c>
      <c r="DC153" s="171" t="str">
        <f t="array" ref="DC153">IFERROR(IF(CW153="ac"+ISNUMBER(SEARCH("'",DB153))+DA153="","", IF(ISNUMBER(SEARCH("lw",DB153)), CO153 + SUBSTITUTE(DB153,"lw+",""), MROUND(SWITCH(CW153,"sq",DA$7,"bn",DB$7,"dl",DC$7,"")*IF(DB153&gt;10, DB153/100, VLOOKUP(DB153, _rpe,SUBSTITUTE(DA153,"+","")+1,0)), IF( SWITCH(CW153,"sq",DA$7,"bn",DB$7,"dl", DC$7,"")&lt; IF(_uom="lbs", 175, 80), 1.25, IF(_uom="lbs",5,2.5))))), "")</f>
        <v/>
      </c>
      <c r="DD153" s="148"/>
      <c r="DE153" s="33"/>
      <c r="DF153" s="171"/>
      <c r="DG153" s="124" t="str">
        <f>IFERROR(__xludf.DUMMYFUNCTION("IF(DC153=MAX(FILTER(DC$10:DC$199,LOOKUP(ROW(CW$10:CW$199),FILTER(ROW(CW$10:CW$199),CW$10:CW$199&lt;&gt;CW$9:CW$198))=LOOKUP(ROW(CW153),FILTER(ROW(CW$10:CW$199),CW$10:CW$199&lt;&gt;CW$9:CW$198)))),DD153,)"),"")</f>
        <v/>
      </c>
      <c r="DH153" s="122"/>
      <c r="DI153" s="33"/>
      <c r="DJ153" s="143" t="str">
        <f t="shared" si="23"/>
        <v/>
      </c>
      <c r="DK153" s="38" t="str">
        <f>IFERROR(__xludf.DUMMYFUNCTION("""COMPUTED_VALUE"""),"")</f>
        <v/>
      </c>
      <c r="DL153" s="144">
        <v>46167.0</v>
      </c>
      <c r="DM153" s="167" t="str">
        <f t="shared" ref="DM153:DN153" si="405">IF(ISBLANK(CY153),"",CY153)</f>
        <v/>
      </c>
      <c r="DN153" s="168" t="str">
        <f t="shared" si="405"/>
        <v/>
      </c>
      <c r="DO153" s="169" t="str">
        <f t="shared" si="341"/>
        <v/>
      </c>
      <c r="DP153" s="172" t="str">
        <f t="shared" si="342"/>
        <v/>
      </c>
      <c r="DQ153" s="171" t="str">
        <f t="array" ref="DQ153">IFERROR(IF(DK153="ac"+ISNUMBER(SEARCH("'",DP153))+DO153="","", IF(ISNUMBER(SEARCH("lw",DP153)), DC153 + SUBSTITUTE(DP153,"lw+",""), MROUND(SWITCH(DK153,"sq",DO$7,"bn",DP$7,"dl",DQ$7,"")*IF(DP153&gt;10, DP153/100, VLOOKUP(DP153, _rpe,SUBSTITUTE(DO153,"+","")+1,0)), IF( SWITCH(DK153,"sq",DO$7,"bn",DP$7,"dl", DQ$7,"")&lt; IF(_uom="lbs", 175, 80), 1.25, IF(_uom="lbs",5,2.5))))), "")</f>
        <v/>
      </c>
      <c r="DR153" s="148"/>
      <c r="DS153" s="33"/>
      <c r="DT153" s="171"/>
      <c r="DU153" s="124" t="str">
        <f>IFERROR(__xludf.DUMMYFUNCTION("IF(DQ153=MAX(FILTER(DQ$10:DQ$199,LOOKUP(ROW(DK$10:DK$199),FILTER(ROW(DK$10:DK$199),DK$10:DK$199&lt;&gt;DK$9:DK$198))=LOOKUP(ROW(DK153),FILTER(ROW(DK$10:DK$199),DK$10:DK$199&lt;&gt;DK$9:DK$198)))),DR153,)"),"")</f>
        <v/>
      </c>
      <c r="DV153" s="122"/>
      <c r="DW153" s="33"/>
      <c r="DX153" s="143"/>
      <c r="DY153" s="38"/>
      <c r="DZ153" s="144"/>
      <c r="EA153" s="150"/>
      <c r="EB153" s="174"/>
      <c r="EC153" s="175"/>
      <c r="ED153" s="176"/>
      <c r="EE153" s="155"/>
      <c r="EF153" s="148"/>
      <c r="EG153" s="33"/>
      <c r="EH153" s="155"/>
      <c r="EI153" s="148"/>
      <c r="EJ153" s="33"/>
      <c r="EK153" s="33"/>
      <c r="EL153" s="143"/>
      <c r="EM153" s="38"/>
      <c r="EN153" s="144"/>
      <c r="EO153" s="150"/>
      <c r="EP153" s="174"/>
      <c r="EQ153" s="175"/>
      <c r="ER153" s="176"/>
      <c r="ES153" s="155"/>
      <c r="ET153" s="148"/>
      <c r="EU153" s="33"/>
      <c r="EV153" s="155"/>
      <c r="EW153" s="148"/>
      <c r="EX153" s="33"/>
      <c r="EY153" s="33"/>
      <c r="EZ153" s="143"/>
      <c r="FA153" s="38"/>
      <c r="FB153" s="144"/>
      <c r="FC153" s="150"/>
      <c r="FD153" s="174"/>
      <c r="FE153" s="175"/>
      <c r="FF153" s="176"/>
      <c r="FG153" s="155"/>
      <c r="FH153" s="148"/>
      <c r="FI153" s="33"/>
      <c r="FJ153" s="155"/>
      <c r="FK153" s="148"/>
      <c r="FL153" s="33"/>
      <c r="FM153" s="33"/>
      <c r="FN153" s="143"/>
      <c r="FO153" s="38"/>
      <c r="FP153" s="144"/>
      <c r="FQ153" s="150"/>
      <c r="FR153" s="174"/>
      <c r="FS153" s="175"/>
      <c r="FT153" s="176"/>
      <c r="FU153" s="155"/>
      <c r="FV153" s="148"/>
      <c r="FW153" s="33"/>
      <c r="FX153" s="155"/>
      <c r="FY153" s="148"/>
      <c r="FZ153" s="33"/>
      <c r="GA153" s="33"/>
      <c r="GB153" s="143"/>
      <c r="GC153" s="38"/>
      <c r="GD153" s="144"/>
      <c r="GE153" s="150"/>
      <c r="GF153" s="174"/>
      <c r="GG153" s="175"/>
      <c r="GH153" s="176"/>
      <c r="GI153" s="155"/>
      <c r="GJ153" s="148"/>
      <c r="GK153" s="33"/>
      <c r="GL153" s="155"/>
      <c r="GM153" s="148"/>
      <c r="GN153" s="33"/>
      <c r="GO153" s="33"/>
      <c r="GP153" s="143"/>
      <c r="GQ153" s="38"/>
      <c r="GR153" s="144"/>
      <c r="GS153" s="150"/>
      <c r="GT153" s="174"/>
      <c r="GU153" s="175"/>
      <c r="GV153" s="176"/>
      <c r="GW153" s="155"/>
      <c r="GX153" s="148"/>
      <c r="GY153" s="33"/>
      <c r="GZ153" s="155"/>
      <c r="HA153" s="148"/>
      <c r="HB153" s="33"/>
      <c r="HC153" s="33"/>
      <c r="HD153" s="143"/>
      <c r="HE153" s="38"/>
      <c r="HF153" s="144"/>
      <c r="HG153" s="150"/>
      <c r="HH153" s="174"/>
      <c r="HI153" s="175"/>
      <c r="HJ153" s="176"/>
      <c r="HK153" s="155"/>
      <c r="HL153" s="148"/>
      <c r="HM153" s="33"/>
      <c r="HN153" s="155"/>
      <c r="HO153" s="148"/>
      <c r="HP153" s="33"/>
      <c r="HQ153" s="33"/>
      <c r="HR153" s="143"/>
      <c r="HS153" s="38"/>
      <c r="HT153" s="144"/>
      <c r="HU153" s="150"/>
      <c r="HV153" s="174"/>
      <c r="HW153" s="175"/>
      <c r="HX153" s="176"/>
      <c r="HY153" s="155"/>
      <c r="HZ153" s="148"/>
      <c r="IA153" s="33"/>
      <c r="IB153" s="155"/>
      <c r="IC153" s="148"/>
      <c r="ID153" s="33"/>
      <c r="IE153" s="33"/>
      <c r="IF153" s="143"/>
      <c r="IG153" s="38"/>
      <c r="IH153" s="144"/>
      <c r="II153" s="150"/>
      <c r="IJ153" s="174"/>
      <c r="IK153" s="175"/>
      <c r="IL153" s="176"/>
      <c r="IM153" s="155"/>
      <c r="IN153" s="148"/>
      <c r="IO153" s="33"/>
      <c r="IP153" s="155"/>
      <c r="IQ153" s="148"/>
      <c r="IR153" s="33"/>
      <c r="IS153" s="33"/>
      <c r="IT153" s="143"/>
      <c r="IU153" s="38"/>
      <c r="IV153" s="144"/>
      <c r="IW153" s="143"/>
      <c r="IX153" s="38"/>
      <c r="IY153" s="144" t="e">
        <v>#REF!</v>
      </c>
    </row>
    <row r="154">
      <c r="A154" s="33"/>
      <c r="B154" s="181"/>
      <c r="C154" s="38" t="str">
        <f>IFERROR(__xludf.DUMMYFUNCTION("""COMPUTED_VALUE"""),"")</f>
        <v/>
      </c>
      <c r="D154" s="144">
        <v>46111.0</v>
      </c>
      <c r="E154" s="182"/>
      <c r="F154" s="168"/>
      <c r="G154" s="169"/>
      <c r="H154" s="170"/>
      <c r="I154" s="171" t="str">
        <f t="array" ref="I154">IFERROR(IF(C154="ac"+ISNUMBER(SEARCH("'",H154))+G154="","", MROUND(SWITCH(C154,"sq",'Personal Info'!$O$15,"bn",'Personal Info'!$S$15,"dl",'Personal Info'!$W$15,"")*IF(H154&gt;10, H154/100, VLOOKUP(H154, _rpe,SUBSTITUTE(G154,"+","")+1,0)), IF( SWITCH(C154:C210,"sq",'Personal Info'!$O$15,"bn",'Personal Info'!$S$15,"dl", 'Personal Info'!$W$15,"")&lt; IF(_uom="lbs", 175, 80), 1.25, IF(_uom="lbs",5,2.5)))),"")</f>
        <v/>
      </c>
      <c r="J154" s="148"/>
      <c r="K154" s="33"/>
      <c r="L154" s="171"/>
      <c r="M154" s="124" t="str">
        <f>IFERROR(__xludf.DUMMYFUNCTION("IF(I154=MAX(FILTER(I$10:I$199,LOOKUP(ROW(C$10:C$199),FILTER(ROW(C$10:C$199),C$10:C$199&lt;&gt;C$9:C$198))=LOOKUP(ROW(C154),FILTER(ROW(C$10:C$199),C$10:C$199&lt;&gt;C$9:C$198)))),J154,)"),"")</f>
        <v/>
      </c>
      <c r="N154" s="122"/>
      <c r="O154" s="33"/>
      <c r="P154" s="143" t="str">
        <f t="shared" si="12"/>
        <v/>
      </c>
      <c r="Q154" s="38" t="str">
        <f>IFERROR(__xludf.DUMMYFUNCTION("""COMPUTED_VALUE"""),"")</f>
        <v/>
      </c>
      <c r="R154" s="144">
        <v>46118.0</v>
      </c>
      <c r="S154" s="167" t="str">
        <f t="shared" si="13"/>
        <v/>
      </c>
      <c r="T154" s="168" t="str">
        <f t="shared" si="319"/>
        <v/>
      </c>
      <c r="U154" s="169" t="str">
        <f t="shared" si="320"/>
        <v/>
      </c>
      <c r="V154" s="172" t="str">
        <f t="shared" si="321"/>
        <v/>
      </c>
      <c r="W154" s="171" t="str">
        <f t="array" ref="W154">IFERROR(IF(Q154="ac"+ISNUMBER(SEARCH("'",V154))+U154="","", IF(ISNUMBER(SEARCH("lw",V154)), I154 + SUBSTITUTE(V154,"lw+",""), MROUND(SWITCH(Q154,"sq",U$7,"bn",V$7,"dl",W$7,"")*IF(V154&gt;10, V154/100, VLOOKUP(V154, _rpe,SUBSTITUTE(U154,"+","")+1,0)), IF( SWITCH(Q154,"sq",U$7,"bn",V$7,"dl", W$7,"")&lt; IF(_uom="lbs", 175, 80), 1.25, IF(_uom="lbs",5,2.5))))), "")</f>
        <v/>
      </c>
      <c r="X154" s="148"/>
      <c r="Y154" s="33"/>
      <c r="Z154" s="171"/>
      <c r="AA154" s="124" t="str">
        <f>IFERROR(__xludf.DUMMYFUNCTION("IF(W154=MAX(FILTER(W$10:W$199,LOOKUP(ROW(Q$10:Q$199),FILTER(ROW(Q$10:Q$199),Q$10:Q$199&lt;&gt;Q$9:Q$198))=LOOKUP(ROW(Q154),FILTER(ROW(Q$10:Q$199),Q$10:Q$199&lt;&gt;Q$9:Q$198)))),X154,)"),"")</f>
        <v/>
      </c>
      <c r="AB154" s="122"/>
      <c r="AC154" s="33"/>
      <c r="AD154" s="143" t="str">
        <f t="shared" si="14"/>
        <v/>
      </c>
      <c r="AE154" s="38" t="str">
        <f>IFERROR(__xludf.DUMMYFUNCTION("""COMPUTED_VALUE"""),"")</f>
        <v/>
      </c>
      <c r="AF154" s="144">
        <v>46125.0</v>
      </c>
      <c r="AG154" s="167" t="str">
        <f t="shared" si="54"/>
        <v/>
      </c>
      <c r="AH154" s="168" t="str">
        <f t="shared" si="322"/>
        <v/>
      </c>
      <c r="AI154" s="169" t="str">
        <f t="shared" si="323"/>
        <v/>
      </c>
      <c r="AJ154" s="172" t="str">
        <f t="shared" si="324"/>
        <v/>
      </c>
      <c r="AK154" s="171" t="str">
        <f t="array" ref="AK154">IFERROR(IF(AE154="ac"+ISNUMBER(SEARCH("'",AJ154))+AI154="","", IF(ISNUMBER(SEARCH("lw",AJ154)), W154 + SUBSTITUTE(AJ154,"lw+",""), MROUND(SWITCH(AE154,"sq",AI$7,"bn",AJ$7,"dl",AK$7,"")*IF(AJ154&gt;10, AJ154/100, VLOOKUP(AJ154, _rpe,SUBSTITUTE(AI154,"+","")+1,0)), IF( SWITCH(AE154,"sq",AI$7,"bn",AJ$7,"dl", AK$7,"")&lt; IF(_uom="lbs", 175, 80), 1.25, IF(_uom="lbs",5,2.5))))), "")</f>
        <v/>
      </c>
      <c r="AL154" s="148"/>
      <c r="AM154" s="33"/>
      <c r="AN154" s="171"/>
      <c r="AO154" s="124" t="str">
        <f>IFERROR(__xludf.DUMMYFUNCTION("IF(AK154=MAX(FILTER(AK$10:AK$199,LOOKUP(ROW(AE$10:AE$199),FILTER(ROW(AE$10:AE$199),AE$10:AE$199&lt;&gt;AE$9:AE$198))=LOOKUP(ROW(AE154),FILTER(ROW(AE$10:AE$199),AE$10:AE$199&lt;&gt;AE$9:AE$198)))),AL154,)"),"")</f>
        <v/>
      </c>
      <c r="AP154" s="122"/>
      <c r="AQ154" s="33"/>
      <c r="AR154" s="143" t="str">
        <f t="shared" si="16"/>
        <v/>
      </c>
      <c r="AS154" s="38" t="str">
        <f>IFERROR(__xludf.DUMMYFUNCTION("""COMPUTED_VALUE"""),"")</f>
        <v/>
      </c>
      <c r="AT154" s="144">
        <v>46132.0</v>
      </c>
      <c r="AU154" s="167" t="str">
        <f t="shared" si="26"/>
        <v/>
      </c>
      <c r="AV154" s="168" t="str">
        <f t="shared" si="325"/>
        <v/>
      </c>
      <c r="AW154" s="169" t="str">
        <f t="shared" si="326"/>
        <v/>
      </c>
      <c r="AX154" s="172" t="str">
        <f t="shared" si="327"/>
        <v/>
      </c>
      <c r="AY154" s="171" t="str">
        <f t="array" ref="AY154">IFERROR(IF(AS154="ac"+ISNUMBER(SEARCH("'",AX154))+AW154="","", IF(ISNUMBER(SEARCH("lw",AX154)), AK154 + SUBSTITUTE(AX154,"lw+",""), MROUND(SWITCH(AS154,"sq",AW$7,"bn",AX$7,"dl",AY$7,"")*IF(AX154&gt;10, AX154/100, VLOOKUP(AX154, _rpe,SUBSTITUTE(AW154,"+","")+1,0)), IF( SWITCH(AS154,"sq",AW$7,"bn",AX$7,"dl", AY$7,"")&lt; IF(_uom="lbs", 175, 80), 1.25, IF(_uom="lbs",5,2.5))))), "")</f>
        <v/>
      </c>
      <c r="AZ154" s="148"/>
      <c r="BA154" s="33"/>
      <c r="BB154" s="171"/>
      <c r="BC154" s="124" t="str">
        <f>IFERROR(__xludf.DUMMYFUNCTION("IF(AY154=MAX(FILTER(AY$10:AY$199,LOOKUP(ROW(AS$10:AS$199),FILTER(ROW(AS$10:AS$199),AS$10:AS$199&lt;&gt;AS$9:AS$198))=LOOKUP(ROW(AS154),FILTER(ROW(AS$10:AS$199),AS$10:AS$199&lt;&gt;AS$9:AS$198)))),AZ154,)"),"")</f>
        <v/>
      </c>
      <c r="BD154" s="122"/>
      <c r="BE154" s="33"/>
      <c r="BF154" s="143" t="str">
        <f t="shared" si="17"/>
        <v/>
      </c>
      <c r="BG154" s="38" t="str">
        <f>IFERROR(__xludf.DUMMYFUNCTION("""COMPUTED_VALUE"""),"")</f>
        <v/>
      </c>
      <c r="BH154" s="144">
        <v>46139.0</v>
      </c>
      <c r="BI154" s="167" t="str">
        <f t="shared" si="18"/>
        <v/>
      </c>
      <c r="BJ154" s="168" t="str">
        <f t="shared" si="328"/>
        <v/>
      </c>
      <c r="BK154" s="169" t="str">
        <f t="shared" si="329"/>
        <v/>
      </c>
      <c r="BL154" s="172" t="str">
        <f t="shared" si="330"/>
        <v/>
      </c>
      <c r="BM154" s="171" t="str">
        <f t="array" ref="BM154">IFERROR(IF(BG154="ac"+ISNUMBER(SEARCH("'",BL154))+BK154="","", IF(ISNUMBER(SEARCH("lw",BL154)), AY154 + SUBSTITUTE(BL154,"lw+",""), MROUND(SWITCH(BG154,"sq",BK$7,"bn",BL$7,"dl",BM$7,"")*IF(BL154&gt;10, BL154/100, VLOOKUP(BL154, _rpe,SUBSTITUTE(BK154,"+","")+1,0)), IF( SWITCH(BG154,"sq",BK$7,"bn",BL$7,"dl", BM$7,"")&lt; IF(_uom="lbs", 175, 80), 1.25, IF(_uom="lbs",5,2.5))))), "")</f>
        <v/>
      </c>
      <c r="BN154" s="148"/>
      <c r="BO154" s="33"/>
      <c r="BP154" s="171"/>
      <c r="BQ154" s="124" t="str">
        <f>IFERROR(__xludf.DUMMYFUNCTION("IF(BM154=MAX(FILTER(BM$10:BM$199,LOOKUP(ROW(BG$10:BG$199),FILTER(ROW(BG$10:BG$199),BG$10:BG$199&lt;&gt;BG$9:BG$198))=LOOKUP(ROW(BG154),FILTER(ROW(BG$10:BG$199),BG$10:BG$199&lt;&gt;BG$9:BG$198)))),BN154,)"),"")</f>
        <v/>
      </c>
      <c r="BR154" s="122"/>
      <c r="BS154" s="33"/>
      <c r="BT154" s="143" t="str">
        <f t="shared" si="19"/>
        <v/>
      </c>
      <c r="BU154" s="38" t="str">
        <f>IFERROR(__xludf.DUMMYFUNCTION("""COMPUTED_VALUE"""),"")</f>
        <v/>
      </c>
      <c r="BV154" s="144">
        <v>46146.0</v>
      </c>
      <c r="BW154" s="167" t="str">
        <f t="shared" si="20"/>
        <v/>
      </c>
      <c r="BX154" s="168" t="str">
        <f t="shared" si="331"/>
        <v/>
      </c>
      <c r="BY154" s="169" t="str">
        <f t="shared" si="332"/>
        <v/>
      </c>
      <c r="BZ154" s="172" t="str">
        <f t="shared" si="333"/>
        <v/>
      </c>
      <c r="CA154" s="171" t="str">
        <f t="array" ref="CA154">IFERROR(IF(BU154="ac"+ISNUMBER(SEARCH("'",BZ154))+BY154="","", IF(ISNUMBER(SEARCH("lw",BZ154)), BM154 + SUBSTITUTE(BZ154,"lw+",""), MROUND(SWITCH(BU154,"sq",BY$7,"bn",BZ$7,"dl",CA$7,"")*IF(BZ154&gt;10, BZ154/100, VLOOKUP(BZ154, _rpe,SUBSTITUTE(BY154,"+","")+1,0)), IF( SWITCH(BU154,"sq",BY$7,"bn",BZ$7,"dl", CA$7,"")&lt; IF(_uom="lbs", 175, 80), 1.25, IF(_uom="lbs",5,2.5))))), "")</f>
        <v/>
      </c>
      <c r="CB154" s="148"/>
      <c r="CC154" s="33"/>
      <c r="CD154" s="171"/>
      <c r="CE154" s="124" t="str">
        <f>IFERROR(__xludf.DUMMYFUNCTION("IF(CA154=MAX(FILTER(CA$10:CA$199,LOOKUP(ROW(BU$10:BU$199),FILTER(ROW(BU$10:BU$199),BU$10:BU$199&lt;&gt;BU$9:BU$198))=LOOKUP(ROW(BU154),FILTER(ROW(BU$10:BU$199),BU$10:BU$199&lt;&gt;BU$9:BU$198)))),CB154,)"),"")</f>
        <v/>
      </c>
      <c r="CF154" s="122"/>
      <c r="CG154" s="33"/>
      <c r="CH154" s="143" t="str">
        <f t="shared" si="21"/>
        <v/>
      </c>
      <c r="CI154" s="38" t="str">
        <f>IFERROR(__xludf.DUMMYFUNCTION("""COMPUTED_VALUE"""),"")</f>
        <v/>
      </c>
      <c r="CJ154" s="144">
        <v>46153.0</v>
      </c>
      <c r="CK154" s="167" t="str">
        <f t="shared" si="27"/>
        <v/>
      </c>
      <c r="CL154" s="168" t="str">
        <f t="shared" si="334"/>
        <v/>
      </c>
      <c r="CM154" s="169" t="str">
        <f t="shared" si="335"/>
        <v/>
      </c>
      <c r="CN154" s="172" t="str">
        <f t="shared" si="336"/>
        <v/>
      </c>
      <c r="CO154" s="171" t="str">
        <f t="array" ref="CO154">IFERROR(IF(CI154="ac"+ISNUMBER(SEARCH("'",CN154))+CM154="","", IF(ISNUMBER(SEARCH("lw",CN154)), CA154 + SUBSTITUTE(CN154,"lw+",""), MROUND(SWITCH(CI154,"sq",CM$7,"bn",CN$7,"dl",CO$7,"")*IF(CN154&gt;10, CN154/100, VLOOKUP(CN154, _rpe,SUBSTITUTE(CM154,"+","")+1,0)), IF( SWITCH(CI154,"sq",CM$7,"bn",CN$7,"dl", CO$7,"")&lt; IF(_uom="lbs", 175, 80), 1.25, IF(_uom="lbs",5,2.5))))), "")</f>
        <v/>
      </c>
      <c r="CP154" s="148"/>
      <c r="CQ154" s="33"/>
      <c r="CR154" s="171"/>
      <c r="CS154" s="124" t="str">
        <f>IFERROR(__xludf.DUMMYFUNCTION("IF(CO154=MAX(FILTER(CO$10:CO$199,LOOKUP(ROW(CI$10:CI$199),FILTER(ROW(CI$10:CI$199),CI$10:CI$199&lt;&gt;CI$9:CI$198))=LOOKUP(ROW(CI154),FILTER(ROW(CI$10:CI$199),CI$10:CI$199&lt;&gt;CI$9:CI$198)))),CP154,)"),"")</f>
        <v/>
      </c>
      <c r="CT154" s="122"/>
      <c r="CU154" s="33"/>
      <c r="CV154" s="143" t="str">
        <f t="shared" si="22"/>
        <v/>
      </c>
      <c r="CW154" s="38" t="str">
        <f>IFERROR(__xludf.DUMMYFUNCTION("""COMPUTED_VALUE"""),"")</f>
        <v/>
      </c>
      <c r="CX154" s="144">
        <v>46160.0</v>
      </c>
      <c r="CY154" s="167" t="str">
        <f t="shared" si="28"/>
        <v/>
      </c>
      <c r="CZ154" s="168" t="str">
        <f t="shared" si="337"/>
        <v/>
      </c>
      <c r="DA154" s="169" t="str">
        <f t="shared" si="338"/>
        <v/>
      </c>
      <c r="DB154" s="172" t="str">
        <f t="shared" si="339"/>
        <v/>
      </c>
      <c r="DC154" s="171" t="str">
        <f t="array" ref="DC154">IFERROR(IF(CW154="ac"+ISNUMBER(SEARCH("'",DB154))+DA154="","", IF(ISNUMBER(SEARCH("lw",DB154)), CO154 + SUBSTITUTE(DB154,"lw+",""), MROUND(SWITCH(CW154,"sq",DA$7,"bn",DB$7,"dl",DC$7,"")*IF(DB154&gt;10, DB154/100, VLOOKUP(DB154, _rpe,SUBSTITUTE(DA154,"+","")+1,0)), IF( SWITCH(CW154,"sq",DA$7,"bn",DB$7,"dl", DC$7,"")&lt; IF(_uom="lbs", 175, 80), 1.25, IF(_uom="lbs",5,2.5))))), "")</f>
        <v/>
      </c>
      <c r="DD154" s="148"/>
      <c r="DE154" s="33"/>
      <c r="DF154" s="171"/>
      <c r="DG154" s="124" t="str">
        <f>IFERROR(__xludf.DUMMYFUNCTION("IF(DC154=MAX(FILTER(DC$10:DC$199,LOOKUP(ROW(CW$10:CW$199),FILTER(ROW(CW$10:CW$199),CW$10:CW$199&lt;&gt;CW$9:CW$198))=LOOKUP(ROW(CW154),FILTER(ROW(CW$10:CW$199),CW$10:CW$199&lt;&gt;CW$9:CW$198)))),DD154,)"),"")</f>
        <v/>
      </c>
      <c r="DH154" s="122"/>
      <c r="DI154" s="33"/>
      <c r="DJ154" s="143" t="str">
        <f t="shared" si="23"/>
        <v/>
      </c>
      <c r="DK154" s="38" t="str">
        <f>IFERROR(__xludf.DUMMYFUNCTION("""COMPUTED_VALUE"""),"")</f>
        <v/>
      </c>
      <c r="DL154" s="144">
        <v>46167.0</v>
      </c>
      <c r="DM154" s="167" t="str">
        <f t="shared" ref="DM154:DN154" si="406">IF(ISBLANK(CY154),"",CY154)</f>
        <v/>
      </c>
      <c r="DN154" s="168" t="str">
        <f t="shared" si="406"/>
        <v/>
      </c>
      <c r="DO154" s="169" t="str">
        <f t="shared" si="341"/>
        <v/>
      </c>
      <c r="DP154" s="172" t="str">
        <f t="shared" si="342"/>
        <v/>
      </c>
      <c r="DQ154" s="171" t="str">
        <f t="array" ref="DQ154">IFERROR(IF(DK154="ac"+ISNUMBER(SEARCH("'",DP154))+DO154="","", IF(ISNUMBER(SEARCH("lw",DP154)), DC154 + SUBSTITUTE(DP154,"lw+",""), MROUND(SWITCH(DK154,"sq",DO$7,"bn",DP$7,"dl",DQ$7,"")*IF(DP154&gt;10, DP154/100, VLOOKUP(DP154, _rpe,SUBSTITUTE(DO154,"+","")+1,0)), IF( SWITCH(DK154,"sq",DO$7,"bn",DP$7,"dl", DQ$7,"")&lt; IF(_uom="lbs", 175, 80), 1.25, IF(_uom="lbs",5,2.5))))), "")</f>
        <v/>
      </c>
      <c r="DR154" s="148"/>
      <c r="DS154" s="33"/>
      <c r="DT154" s="171"/>
      <c r="DU154" s="124" t="str">
        <f>IFERROR(__xludf.DUMMYFUNCTION("IF(DQ154=MAX(FILTER(DQ$10:DQ$199,LOOKUP(ROW(DK$10:DK$199),FILTER(ROW(DK$10:DK$199),DK$10:DK$199&lt;&gt;DK$9:DK$198))=LOOKUP(ROW(DK154),FILTER(ROW(DK$10:DK$199),DK$10:DK$199&lt;&gt;DK$9:DK$198)))),DR154,)"),"")</f>
        <v/>
      </c>
      <c r="DV154" s="122"/>
      <c r="DW154" s="33"/>
      <c r="DX154" s="143"/>
      <c r="DY154" s="38"/>
      <c r="DZ154" s="144"/>
      <c r="EA154" s="150"/>
      <c r="EB154" s="174"/>
      <c r="EC154" s="175"/>
      <c r="ED154" s="176"/>
      <c r="EE154" s="155"/>
      <c r="EF154" s="148"/>
      <c r="EG154" s="33"/>
      <c r="EH154" s="155"/>
      <c r="EI154" s="148"/>
      <c r="EJ154" s="33"/>
      <c r="EK154" s="33"/>
      <c r="EL154" s="143"/>
      <c r="EM154" s="38"/>
      <c r="EN154" s="144"/>
      <c r="EO154" s="150"/>
      <c r="EP154" s="174"/>
      <c r="EQ154" s="175"/>
      <c r="ER154" s="176"/>
      <c r="ES154" s="155"/>
      <c r="ET154" s="148"/>
      <c r="EU154" s="33"/>
      <c r="EV154" s="155"/>
      <c r="EW154" s="148"/>
      <c r="EX154" s="33"/>
      <c r="EY154" s="33"/>
      <c r="EZ154" s="143"/>
      <c r="FA154" s="38"/>
      <c r="FB154" s="144"/>
      <c r="FC154" s="150"/>
      <c r="FD154" s="174"/>
      <c r="FE154" s="175"/>
      <c r="FF154" s="176"/>
      <c r="FG154" s="155"/>
      <c r="FH154" s="148"/>
      <c r="FI154" s="33"/>
      <c r="FJ154" s="155"/>
      <c r="FK154" s="148"/>
      <c r="FL154" s="33"/>
      <c r="FM154" s="33"/>
      <c r="FN154" s="143"/>
      <c r="FO154" s="38"/>
      <c r="FP154" s="144"/>
      <c r="FQ154" s="150"/>
      <c r="FR154" s="174"/>
      <c r="FS154" s="175"/>
      <c r="FT154" s="176"/>
      <c r="FU154" s="155"/>
      <c r="FV154" s="148"/>
      <c r="FW154" s="33"/>
      <c r="FX154" s="155"/>
      <c r="FY154" s="148"/>
      <c r="FZ154" s="33"/>
      <c r="GA154" s="33"/>
      <c r="GB154" s="143"/>
      <c r="GC154" s="38"/>
      <c r="GD154" s="144"/>
      <c r="GE154" s="150"/>
      <c r="GF154" s="174"/>
      <c r="GG154" s="175"/>
      <c r="GH154" s="176"/>
      <c r="GI154" s="155"/>
      <c r="GJ154" s="148"/>
      <c r="GK154" s="33"/>
      <c r="GL154" s="155"/>
      <c r="GM154" s="148"/>
      <c r="GN154" s="33"/>
      <c r="GO154" s="33"/>
      <c r="GP154" s="143"/>
      <c r="GQ154" s="38"/>
      <c r="GR154" s="144"/>
      <c r="GS154" s="150"/>
      <c r="GT154" s="174"/>
      <c r="GU154" s="175"/>
      <c r="GV154" s="176"/>
      <c r="GW154" s="155"/>
      <c r="GX154" s="148"/>
      <c r="GY154" s="33"/>
      <c r="GZ154" s="155"/>
      <c r="HA154" s="148"/>
      <c r="HB154" s="33"/>
      <c r="HC154" s="33"/>
      <c r="HD154" s="143"/>
      <c r="HE154" s="38"/>
      <c r="HF154" s="144"/>
      <c r="HG154" s="150"/>
      <c r="HH154" s="174"/>
      <c r="HI154" s="175"/>
      <c r="HJ154" s="176"/>
      <c r="HK154" s="155"/>
      <c r="HL154" s="148"/>
      <c r="HM154" s="33"/>
      <c r="HN154" s="155"/>
      <c r="HO154" s="148"/>
      <c r="HP154" s="33"/>
      <c r="HQ154" s="33"/>
      <c r="HR154" s="143"/>
      <c r="HS154" s="38"/>
      <c r="HT154" s="144"/>
      <c r="HU154" s="150"/>
      <c r="HV154" s="174"/>
      <c r="HW154" s="175"/>
      <c r="HX154" s="176"/>
      <c r="HY154" s="155"/>
      <c r="HZ154" s="148"/>
      <c r="IA154" s="33"/>
      <c r="IB154" s="155"/>
      <c r="IC154" s="148"/>
      <c r="ID154" s="33"/>
      <c r="IE154" s="33"/>
      <c r="IF154" s="143"/>
      <c r="IG154" s="38"/>
      <c r="IH154" s="144"/>
      <c r="II154" s="150"/>
      <c r="IJ154" s="174"/>
      <c r="IK154" s="175"/>
      <c r="IL154" s="176"/>
      <c r="IM154" s="155"/>
      <c r="IN154" s="148"/>
      <c r="IO154" s="33"/>
      <c r="IP154" s="155"/>
      <c r="IQ154" s="148"/>
      <c r="IR154" s="33"/>
      <c r="IS154" s="33"/>
      <c r="IT154" s="143"/>
      <c r="IU154" s="38"/>
      <c r="IV154" s="144"/>
      <c r="IW154" s="143"/>
      <c r="IX154" s="38"/>
      <c r="IY154" s="144" t="e">
        <v>#REF!</v>
      </c>
    </row>
    <row r="155">
      <c r="A155" s="33"/>
      <c r="B155" s="181"/>
      <c r="C155" s="38" t="str">
        <f>IFERROR(__xludf.DUMMYFUNCTION("""COMPUTED_VALUE"""),"")</f>
        <v/>
      </c>
      <c r="D155" s="144">
        <v>46111.0</v>
      </c>
      <c r="E155" s="182"/>
      <c r="F155" s="168"/>
      <c r="G155" s="169"/>
      <c r="H155" s="170"/>
      <c r="I155" s="171" t="str">
        <f t="array" ref="I155">IFERROR(IF(C155="ac"+ISNUMBER(SEARCH("'",H155))+G155="","", MROUND(SWITCH(C155,"sq",'Personal Info'!$O$15,"bn",'Personal Info'!$S$15,"dl",'Personal Info'!$W$15,"")*IF(H155&gt;10, H155/100, VLOOKUP(H155, _rpe,SUBSTITUTE(G155,"+","")+1,0)), IF( SWITCH(C155:C210,"sq",'Personal Info'!$O$15,"bn",'Personal Info'!$S$15,"dl", 'Personal Info'!$W$15,"")&lt; IF(_uom="lbs", 175, 80), 1.25, IF(_uom="lbs",5,2.5)))),"")</f>
        <v/>
      </c>
      <c r="J155" s="148"/>
      <c r="K155" s="33"/>
      <c r="L155" s="171"/>
      <c r="M155" s="124" t="str">
        <f>IFERROR(__xludf.DUMMYFUNCTION("IF(I155=MAX(FILTER(I$10:I$199,LOOKUP(ROW(C$10:C$199),FILTER(ROW(C$10:C$199),C$10:C$199&lt;&gt;C$9:C$198))=LOOKUP(ROW(C155),FILTER(ROW(C$10:C$199),C$10:C$199&lt;&gt;C$9:C$198)))),J155,)"),"")</f>
        <v/>
      </c>
      <c r="N155" s="122"/>
      <c r="O155" s="33"/>
      <c r="P155" s="143" t="str">
        <f t="shared" si="12"/>
        <v/>
      </c>
      <c r="Q155" s="38" t="str">
        <f>IFERROR(__xludf.DUMMYFUNCTION("""COMPUTED_VALUE"""),"")</f>
        <v/>
      </c>
      <c r="R155" s="144">
        <v>46118.0</v>
      </c>
      <c r="S155" s="167" t="str">
        <f t="shared" si="13"/>
        <v/>
      </c>
      <c r="T155" s="168" t="str">
        <f t="shared" si="319"/>
        <v/>
      </c>
      <c r="U155" s="169" t="str">
        <f t="shared" si="320"/>
        <v/>
      </c>
      <c r="V155" s="172" t="str">
        <f t="shared" si="321"/>
        <v/>
      </c>
      <c r="W155" s="171" t="str">
        <f t="array" ref="W155">IFERROR(IF(Q155="ac"+ISNUMBER(SEARCH("'",V155))+U155="","", IF(ISNUMBER(SEARCH("lw",V155)), I155 + SUBSTITUTE(V155,"lw+",""), MROUND(SWITCH(Q155,"sq",U$7,"bn",V$7,"dl",W$7,"")*IF(V155&gt;10, V155/100, VLOOKUP(V155, _rpe,SUBSTITUTE(U155,"+","")+1,0)), IF( SWITCH(Q155,"sq",U$7,"bn",V$7,"dl", W$7,"")&lt; IF(_uom="lbs", 175, 80), 1.25, IF(_uom="lbs",5,2.5))))), "")</f>
        <v/>
      </c>
      <c r="X155" s="148"/>
      <c r="Y155" s="33"/>
      <c r="Z155" s="171"/>
      <c r="AA155" s="124" t="str">
        <f>IFERROR(__xludf.DUMMYFUNCTION("IF(W155=MAX(FILTER(W$10:W$199,LOOKUP(ROW(Q$10:Q$199),FILTER(ROW(Q$10:Q$199),Q$10:Q$199&lt;&gt;Q$9:Q$198))=LOOKUP(ROW(Q155),FILTER(ROW(Q$10:Q$199),Q$10:Q$199&lt;&gt;Q$9:Q$198)))),X155,)"),"")</f>
        <v/>
      </c>
      <c r="AB155" s="122"/>
      <c r="AC155" s="33"/>
      <c r="AD155" s="143" t="str">
        <f t="shared" si="14"/>
        <v/>
      </c>
      <c r="AE155" s="38" t="str">
        <f>IFERROR(__xludf.DUMMYFUNCTION("""COMPUTED_VALUE"""),"")</f>
        <v/>
      </c>
      <c r="AF155" s="144">
        <v>46125.0</v>
      </c>
      <c r="AG155" s="167" t="str">
        <f t="shared" si="54"/>
        <v/>
      </c>
      <c r="AH155" s="168" t="str">
        <f t="shared" si="322"/>
        <v/>
      </c>
      <c r="AI155" s="169" t="str">
        <f t="shared" si="323"/>
        <v/>
      </c>
      <c r="AJ155" s="172" t="str">
        <f t="shared" si="324"/>
        <v/>
      </c>
      <c r="AK155" s="171" t="str">
        <f t="array" ref="AK155">IFERROR(IF(AE155="ac"+ISNUMBER(SEARCH("'",AJ155))+AI155="","", IF(ISNUMBER(SEARCH("lw",AJ155)), W155 + SUBSTITUTE(AJ155,"lw+",""), MROUND(SWITCH(AE155,"sq",AI$7,"bn",AJ$7,"dl",AK$7,"")*IF(AJ155&gt;10, AJ155/100, VLOOKUP(AJ155, _rpe,SUBSTITUTE(AI155,"+","")+1,0)), IF( SWITCH(AE155,"sq",AI$7,"bn",AJ$7,"dl", AK$7,"")&lt; IF(_uom="lbs", 175, 80), 1.25, IF(_uom="lbs",5,2.5))))), "")</f>
        <v/>
      </c>
      <c r="AL155" s="148"/>
      <c r="AM155" s="33"/>
      <c r="AN155" s="171"/>
      <c r="AO155" s="124" t="str">
        <f>IFERROR(__xludf.DUMMYFUNCTION("IF(AK155=MAX(FILTER(AK$10:AK$199,LOOKUP(ROW(AE$10:AE$199),FILTER(ROW(AE$10:AE$199),AE$10:AE$199&lt;&gt;AE$9:AE$198))=LOOKUP(ROW(AE155),FILTER(ROW(AE$10:AE$199),AE$10:AE$199&lt;&gt;AE$9:AE$198)))),AL155,)"),"")</f>
        <v/>
      </c>
      <c r="AP155" s="122"/>
      <c r="AQ155" s="33"/>
      <c r="AR155" s="143" t="str">
        <f t="shared" si="16"/>
        <v/>
      </c>
      <c r="AS155" s="38" t="str">
        <f>IFERROR(__xludf.DUMMYFUNCTION("""COMPUTED_VALUE"""),"")</f>
        <v/>
      </c>
      <c r="AT155" s="144">
        <v>46132.0</v>
      </c>
      <c r="AU155" s="167" t="str">
        <f t="shared" si="26"/>
        <v/>
      </c>
      <c r="AV155" s="168" t="str">
        <f t="shared" si="325"/>
        <v/>
      </c>
      <c r="AW155" s="169" t="str">
        <f t="shared" si="326"/>
        <v/>
      </c>
      <c r="AX155" s="172" t="str">
        <f t="shared" si="327"/>
        <v/>
      </c>
      <c r="AY155" s="171" t="str">
        <f t="array" ref="AY155">IFERROR(IF(AS155="ac"+ISNUMBER(SEARCH("'",AX155))+AW155="","", IF(ISNUMBER(SEARCH("lw",AX155)), AK155 + SUBSTITUTE(AX155,"lw+",""), MROUND(SWITCH(AS155,"sq",AW$7,"bn",AX$7,"dl",AY$7,"")*IF(AX155&gt;10, AX155/100, VLOOKUP(AX155, _rpe,SUBSTITUTE(AW155,"+","")+1,0)), IF( SWITCH(AS155,"sq",AW$7,"bn",AX$7,"dl", AY$7,"")&lt; IF(_uom="lbs", 175, 80), 1.25, IF(_uom="lbs",5,2.5))))), "")</f>
        <v/>
      </c>
      <c r="AZ155" s="148"/>
      <c r="BA155" s="33"/>
      <c r="BB155" s="171"/>
      <c r="BC155" s="124" t="str">
        <f>IFERROR(__xludf.DUMMYFUNCTION("IF(AY155=MAX(FILTER(AY$10:AY$199,LOOKUP(ROW(AS$10:AS$199),FILTER(ROW(AS$10:AS$199),AS$10:AS$199&lt;&gt;AS$9:AS$198))=LOOKUP(ROW(AS155),FILTER(ROW(AS$10:AS$199),AS$10:AS$199&lt;&gt;AS$9:AS$198)))),AZ155,)"),"")</f>
        <v/>
      </c>
      <c r="BD155" s="122"/>
      <c r="BE155" s="33"/>
      <c r="BF155" s="143" t="str">
        <f t="shared" si="17"/>
        <v/>
      </c>
      <c r="BG155" s="38" t="str">
        <f>IFERROR(__xludf.DUMMYFUNCTION("""COMPUTED_VALUE"""),"")</f>
        <v/>
      </c>
      <c r="BH155" s="144">
        <v>46139.0</v>
      </c>
      <c r="BI155" s="167" t="str">
        <f t="shared" si="18"/>
        <v/>
      </c>
      <c r="BJ155" s="168" t="str">
        <f t="shared" si="328"/>
        <v/>
      </c>
      <c r="BK155" s="169" t="str">
        <f t="shared" si="329"/>
        <v/>
      </c>
      <c r="BL155" s="172" t="str">
        <f t="shared" si="330"/>
        <v/>
      </c>
      <c r="BM155" s="171" t="str">
        <f t="array" ref="BM155">IFERROR(IF(BG155="ac"+ISNUMBER(SEARCH("'",BL155))+BK155="","", IF(ISNUMBER(SEARCH("lw",BL155)), AY155 + SUBSTITUTE(BL155,"lw+",""), MROUND(SWITCH(BG155,"sq",BK$7,"bn",BL$7,"dl",BM$7,"")*IF(BL155&gt;10, BL155/100, VLOOKUP(BL155, _rpe,SUBSTITUTE(BK155,"+","")+1,0)), IF( SWITCH(BG155,"sq",BK$7,"bn",BL$7,"dl", BM$7,"")&lt; IF(_uom="lbs", 175, 80), 1.25, IF(_uom="lbs",5,2.5))))), "")</f>
        <v/>
      </c>
      <c r="BN155" s="148"/>
      <c r="BO155" s="33"/>
      <c r="BP155" s="171"/>
      <c r="BQ155" s="124" t="str">
        <f>IFERROR(__xludf.DUMMYFUNCTION("IF(BM155=MAX(FILTER(BM$10:BM$199,LOOKUP(ROW(BG$10:BG$199),FILTER(ROW(BG$10:BG$199),BG$10:BG$199&lt;&gt;BG$9:BG$198))=LOOKUP(ROW(BG155),FILTER(ROW(BG$10:BG$199),BG$10:BG$199&lt;&gt;BG$9:BG$198)))),BN155,)"),"")</f>
        <v/>
      </c>
      <c r="BR155" s="122"/>
      <c r="BS155" s="33"/>
      <c r="BT155" s="143" t="str">
        <f t="shared" si="19"/>
        <v/>
      </c>
      <c r="BU155" s="38" t="str">
        <f>IFERROR(__xludf.DUMMYFUNCTION("""COMPUTED_VALUE"""),"")</f>
        <v/>
      </c>
      <c r="BV155" s="144">
        <v>46146.0</v>
      </c>
      <c r="BW155" s="167" t="str">
        <f t="shared" si="20"/>
        <v/>
      </c>
      <c r="BX155" s="168" t="str">
        <f t="shared" si="331"/>
        <v/>
      </c>
      <c r="BY155" s="169" t="str">
        <f t="shared" si="332"/>
        <v/>
      </c>
      <c r="BZ155" s="172" t="str">
        <f t="shared" si="333"/>
        <v/>
      </c>
      <c r="CA155" s="171" t="str">
        <f t="array" ref="CA155">IFERROR(IF(BU155="ac"+ISNUMBER(SEARCH("'",BZ155))+BY155="","", IF(ISNUMBER(SEARCH("lw",BZ155)), BM155 + SUBSTITUTE(BZ155,"lw+",""), MROUND(SWITCH(BU155,"sq",BY$7,"bn",BZ$7,"dl",CA$7,"")*IF(BZ155&gt;10, BZ155/100, VLOOKUP(BZ155, _rpe,SUBSTITUTE(BY155,"+","")+1,0)), IF( SWITCH(BU155,"sq",BY$7,"bn",BZ$7,"dl", CA$7,"")&lt; IF(_uom="lbs", 175, 80), 1.25, IF(_uom="lbs",5,2.5))))), "")</f>
        <v/>
      </c>
      <c r="CB155" s="148"/>
      <c r="CC155" s="33"/>
      <c r="CD155" s="171"/>
      <c r="CE155" s="124" t="str">
        <f>IFERROR(__xludf.DUMMYFUNCTION("IF(CA155=MAX(FILTER(CA$10:CA$199,LOOKUP(ROW(BU$10:BU$199),FILTER(ROW(BU$10:BU$199),BU$10:BU$199&lt;&gt;BU$9:BU$198))=LOOKUP(ROW(BU155),FILTER(ROW(BU$10:BU$199),BU$10:BU$199&lt;&gt;BU$9:BU$198)))),CB155,)"),"")</f>
        <v/>
      </c>
      <c r="CF155" s="122"/>
      <c r="CG155" s="33"/>
      <c r="CH155" s="143" t="str">
        <f t="shared" si="21"/>
        <v/>
      </c>
      <c r="CI155" s="38" t="str">
        <f>IFERROR(__xludf.DUMMYFUNCTION("""COMPUTED_VALUE"""),"")</f>
        <v/>
      </c>
      <c r="CJ155" s="144">
        <v>46153.0</v>
      </c>
      <c r="CK155" s="167" t="str">
        <f t="shared" si="27"/>
        <v/>
      </c>
      <c r="CL155" s="168" t="str">
        <f t="shared" si="334"/>
        <v/>
      </c>
      <c r="CM155" s="169" t="str">
        <f t="shared" si="335"/>
        <v/>
      </c>
      <c r="CN155" s="172" t="str">
        <f t="shared" si="336"/>
        <v/>
      </c>
      <c r="CO155" s="171" t="str">
        <f t="array" ref="CO155">IFERROR(IF(CI155="ac"+ISNUMBER(SEARCH("'",CN155))+CM155="","", IF(ISNUMBER(SEARCH("lw",CN155)), CA155 + SUBSTITUTE(CN155,"lw+",""), MROUND(SWITCH(CI155,"sq",CM$7,"bn",CN$7,"dl",CO$7,"")*IF(CN155&gt;10, CN155/100, VLOOKUP(CN155, _rpe,SUBSTITUTE(CM155,"+","")+1,0)), IF( SWITCH(CI155,"sq",CM$7,"bn",CN$7,"dl", CO$7,"")&lt; IF(_uom="lbs", 175, 80), 1.25, IF(_uom="lbs",5,2.5))))), "")</f>
        <v/>
      </c>
      <c r="CP155" s="148"/>
      <c r="CQ155" s="33"/>
      <c r="CR155" s="171"/>
      <c r="CS155" s="124" t="str">
        <f>IFERROR(__xludf.DUMMYFUNCTION("IF(CO155=MAX(FILTER(CO$10:CO$199,LOOKUP(ROW(CI$10:CI$199),FILTER(ROW(CI$10:CI$199),CI$10:CI$199&lt;&gt;CI$9:CI$198))=LOOKUP(ROW(CI155),FILTER(ROW(CI$10:CI$199),CI$10:CI$199&lt;&gt;CI$9:CI$198)))),CP155,)"),"")</f>
        <v/>
      </c>
      <c r="CT155" s="122"/>
      <c r="CU155" s="33"/>
      <c r="CV155" s="143" t="str">
        <f t="shared" si="22"/>
        <v/>
      </c>
      <c r="CW155" s="38" t="str">
        <f>IFERROR(__xludf.DUMMYFUNCTION("""COMPUTED_VALUE"""),"")</f>
        <v/>
      </c>
      <c r="CX155" s="144">
        <v>46160.0</v>
      </c>
      <c r="CY155" s="167" t="str">
        <f t="shared" si="28"/>
        <v/>
      </c>
      <c r="CZ155" s="168" t="str">
        <f t="shared" si="337"/>
        <v/>
      </c>
      <c r="DA155" s="169" t="str">
        <f t="shared" si="338"/>
        <v/>
      </c>
      <c r="DB155" s="172" t="str">
        <f t="shared" si="339"/>
        <v/>
      </c>
      <c r="DC155" s="171" t="str">
        <f t="array" ref="DC155">IFERROR(IF(CW155="ac"+ISNUMBER(SEARCH("'",DB155))+DA155="","", IF(ISNUMBER(SEARCH("lw",DB155)), CO155 + SUBSTITUTE(DB155,"lw+",""), MROUND(SWITCH(CW155,"sq",DA$7,"bn",DB$7,"dl",DC$7,"")*IF(DB155&gt;10, DB155/100, VLOOKUP(DB155, _rpe,SUBSTITUTE(DA155,"+","")+1,0)), IF( SWITCH(CW155,"sq",DA$7,"bn",DB$7,"dl", DC$7,"")&lt; IF(_uom="lbs", 175, 80), 1.25, IF(_uom="lbs",5,2.5))))), "")</f>
        <v/>
      </c>
      <c r="DD155" s="148"/>
      <c r="DE155" s="33"/>
      <c r="DF155" s="171"/>
      <c r="DG155" s="124" t="str">
        <f>IFERROR(__xludf.DUMMYFUNCTION("IF(DC155=MAX(FILTER(DC$10:DC$199,LOOKUP(ROW(CW$10:CW$199),FILTER(ROW(CW$10:CW$199),CW$10:CW$199&lt;&gt;CW$9:CW$198))=LOOKUP(ROW(CW155),FILTER(ROW(CW$10:CW$199),CW$10:CW$199&lt;&gt;CW$9:CW$198)))),DD155,)"),"")</f>
        <v/>
      </c>
      <c r="DH155" s="122"/>
      <c r="DI155" s="33"/>
      <c r="DJ155" s="143" t="str">
        <f t="shared" si="23"/>
        <v/>
      </c>
      <c r="DK155" s="38" t="str">
        <f>IFERROR(__xludf.DUMMYFUNCTION("""COMPUTED_VALUE"""),"")</f>
        <v/>
      </c>
      <c r="DL155" s="144">
        <v>46167.0</v>
      </c>
      <c r="DM155" s="167" t="str">
        <f t="shared" ref="DM155:DN155" si="407">IF(ISBLANK(CY155),"",CY155)</f>
        <v/>
      </c>
      <c r="DN155" s="168" t="str">
        <f t="shared" si="407"/>
        <v/>
      </c>
      <c r="DO155" s="169" t="str">
        <f t="shared" si="341"/>
        <v/>
      </c>
      <c r="DP155" s="172" t="str">
        <f t="shared" si="342"/>
        <v/>
      </c>
      <c r="DQ155" s="171" t="str">
        <f t="array" ref="DQ155">IFERROR(IF(DK155="ac"+ISNUMBER(SEARCH("'",DP155))+DO155="","", IF(ISNUMBER(SEARCH("lw",DP155)), DC155 + SUBSTITUTE(DP155,"lw+",""), MROUND(SWITCH(DK155,"sq",DO$7,"bn",DP$7,"dl",DQ$7,"")*IF(DP155&gt;10, DP155/100, VLOOKUP(DP155, _rpe,SUBSTITUTE(DO155,"+","")+1,0)), IF( SWITCH(DK155,"sq",DO$7,"bn",DP$7,"dl", DQ$7,"")&lt; IF(_uom="lbs", 175, 80), 1.25, IF(_uom="lbs",5,2.5))))), "")</f>
        <v/>
      </c>
      <c r="DR155" s="148"/>
      <c r="DS155" s="33"/>
      <c r="DT155" s="171"/>
      <c r="DU155" s="124" t="str">
        <f>IFERROR(__xludf.DUMMYFUNCTION("IF(DQ155=MAX(FILTER(DQ$10:DQ$199,LOOKUP(ROW(DK$10:DK$199),FILTER(ROW(DK$10:DK$199),DK$10:DK$199&lt;&gt;DK$9:DK$198))=LOOKUP(ROW(DK155),FILTER(ROW(DK$10:DK$199),DK$10:DK$199&lt;&gt;DK$9:DK$198)))),DR155,)"),"")</f>
        <v/>
      </c>
      <c r="DV155" s="122"/>
      <c r="DW155" s="33"/>
      <c r="DX155" s="143"/>
      <c r="DY155" s="38"/>
      <c r="DZ155" s="144"/>
      <c r="EA155" s="150"/>
      <c r="EB155" s="174"/>
      <c r="EC155" s="175"/>
      <c r="ED155" s="176"/>
      <c r="EE155" s="155"/>
      <c r="EF155" s="148"/>
      <c r="EG155" s="33"/>
      <c r="EH155" s="155"/>
      <c r="EI155" s="148"/>
      <c r="EJ155" s="33"/>
      <c r="EK155" s="33"/>
      <c r="EL155" s="143"/>
      <c r="EM155" s="38"/>
      <c r="EN155" s="144"/>
      <c r="EO155" s="150"/>
      <c r="EP155" s="174"/>
      <c r="EQ155" s="175"/>
      <c r="ER155" s="176"/>
      <c r="ES155" s="155"/>
      <c r="ET155" s="148"/>
      <c r="EU155" s="33"/>
      <c r="EV155" s="155"/>
      <c r="EW155" s="148"/>
      <c r="EX155" s="33"/>
      <c r="EY155" s="33"/>
      <c r="EZ155" s="143"/>
      <c r="FA155" s="38"/>
      <c r="FB155" s="144"/>
      <c r="FC155" s="150"/>
      <c r="FD155" s="174"/>
      <c r="FE155" s="175"/>
      <c r="FF155" s="176"/>
      <c r="FG155" s="155"/>
      <c r="FH155" s="148"/>
      <c r="FI155" s="33"/>
      <c r="FJ155" s="155"/>
      <c r="FK155" s="148"/>
      <c r="FL155" s="33"/>
      <c r="FM155" s="33"/>
      <c r="FN155" s="143"/>
      <c r="FO155" s="38"/>
      <c r="FP155" s="144"/>
      <c r="FQ155" s="150"/>
      <c r="FR155" s="174"/>
      <c r="FS155" s="175"/>
      <c r="FT155" s="176"/>
      <c r="FU155" s="155"/>
      <c r="FV155" s="148"/>
      <c r="FW155" s="33"/>
      <c r="FX155" s="155"/>
      <c r="FY155" s="148"/>
      <c r="FZ155" s="33"/>
      <c r="GA155" s="33"/>
      <c r="GB155" s="143"/>
      <c r="GC155" s="38"/>
      <c r="GD155" s="144"/>
      <c r="GE155" s="150"/>
      <c r="GF155" s="174"/>
      <c r="GG155" s="175"/>
      <c r="GH155" s="176"/>
      <c r="GI155" s="155"/>
      <c r="GJ155" s="148"/>
      <c r="GK155" s="33"/>
      <c r="GL155" s="155"/>
      <c r="GM155" s="148"/>
      <c r="GN155" s="33"/>
      <c r="GO155" s="33"/>
      <c r="GP155" s="143"/>
      <c r="GQ155" s="38"/>
      <c r="GR155" s="144"/>
      <c r="GS155" s="150"/>
      <c r="GT155" s="174"/>
      <c r="GU155" s="175"/>
      <c r="GV155" s="176"/>
      <c r="GW155" s="155"/>
      <c r="GX155" s="148"/>
      <c r="GY155" s="33"/>
      <c r="GZ155" s="155"/>
      <c r="HA155" s="148"/>
      <c r="HB155" s="33"/>
      <c r="HC155" s="33"/>
      <c r="HD155" s="143"/>
      <c r="HE155" s="38"/>
      <c r="HF155" s="144"/>
      <c r="HG155" s="150"/>
      <c r="HH155" s="174"/>
      <c r="HI155" s="175"/>
      <c r="HJ155" s="176"/>
      <c r="HK155" s="155"/>
      <c r="HL155" s="148"/>
      <c r="HM155" s="33"/>
      <c r="HN155" s="155"/>
      <c r="HO155" s="148"/>
      <c r="HP155" s="33"/>
      <c r="HQ155" s="33"/>
      <c r="HR155" s="143"/>
      <c r="HS155" s="38"/>
      <c r="HT155" s="144"/>
      <c r="HU155" s="150"/>
      <c r="HV155" s="174"/>
      <c r="HW155" s="175"/>
      <c r="HX155" s="176"/>
      <c r="HY155" s="155"/>
      <c r="HZ155" s="148"/>
      <c r="IA155" s="33"/>
      <c r="IB155" s="155"/>
      <c r="IC155" s="148"/>
      <c r="ID155" s="33"/>
      <c r="IE155" s="33"/>
      <c r="IF155" s="143"/>
      <c r="IG155" s="38"/>
      <c r="IH155" s="144"/>
      <c r="II155" s="150"/>
      <c r="IJ155" s="174"/>
      <c r="IK155" s="175"/>
      <c r="IL155" s="176"/>
      <c r="IM155" s="155"/>
      <c r="IN155" s="148"/>
      <c r="IO155" s="33"/>
      <c r="IP155" s="155"/>
      <c r="IQ155" s="148"/>
      <c r="IR155" s="33"/>
      <c r="IS155" s="33"/>
      <c r="IT155" s="143"/>
      <c r="IU155" s="38"/>
      <c r="IV155" s="144"/>
      <c r="IW155" s="143"/>
      <c r="IX155" s="38"/>
      <c r="IY155" s="144" t="e">
        <v>#REF!</v>
      </c>
    </row>
    <row r="156">
      <c r="A156" s="33"/>
      <c r="B156" s="181"/>
      <c r="C156" s="38" t="str">
        <f>IFERROR(__xludf.DUMMYFUNCTION("""COMPUTED_VALUE"""),"")</f>
        <v/>
      </c>
      <c r="D156" s="144">
        <v>46111.0</v>
      </c>
      <c r="E156" s="182"/>
      <c r="F156" s="168"/>
      <c r="G156" s="169"/>
      <c r="H156" s="170"/>
      <c r="I156" s="171" t="str">
        <f t="array" ref="I156">IFERROR(IF(C156="ac"+ISNUMBER(SEARCH("'",H156))+G156="","", MROUND(SWITCH(C156,"sq",'Personal Info'!$O$15,"bn",'Personal Info'!$S$15,"dl",'Personal Info'!$W$15,"")*IF(H156&gt;10, H156/100, VLOOKUP(H156, _rpe,SUBSTITUTE(G156,"+","")+1,0)), IF( SWITCH(C156:C210,"sq",'Personal Info'!$O$15,"bn",'Personal Info'!$S$15,"dl", 'Personal Info'!$W$15,"")&lt; IF(_uom="lbs", 175, 80), 1.25, IF(_uom="lbs",5,2.5)))),"")</f>
        <v/>
      </c>
      <c r="J156" s="148"/>
      <c r="K156" s="33"/>
      <c r="L156" s="171"/>
      <c r="M156" s="124" t="str">
        <f>IFERROR(__xludf.DUMMYFUNCTION("IF(I156=MAX(FILTER(I$10:I$199,LOOKUP(ROW(C$10:C$199),FILTER(ROW(C$10:C$199),C$10:C$199&lt;&gt;C$9:C$198))=LOOKUP(ROW(C156),FILTER(ROW(C$10:C$199),C$10:C$199&lt;&gt;C$9:C$198)))),J156,)"),"")</f>
        <v/>
      </c>
      <c r="N156" s="122"/>
      <c r="O156" s="33"/>
      <c r="P156" s="143" t="str">
        <f t="shared" si="12"/>
        <v/>
      </c>
      <c r="Q156" s="38" t="str">
        <f>IFERROR(__xludf.DUMMYFUNCTION("""COMPUTED_VALUE"""),"")</f>
        <v/>
      </c>
      <c r="R156" s="144">
        <v>46118.0</v>
      </c>
      <c r="S156" s="167" t="str">
        <f t="shared" si="13"/>
        <v/>
      </c>
      <c r="T156" s="168" t="str">
        <f t="shared" si="319"/>
        <v/>
      </c>
      <c r="U156" s="169" t="str">
        <f t="shared" si="320"/>
        <v/>
      </c>
      <c r="V156" s="172" t="str">
        <f t="shared" si="321"/>
        <v/>
      </c>
      <c r="W156" s="171" t="str">
        <f t="array" ref="W156">IFERROR(IF(Q156="ac"+ISNUMBER(SEARCH("'",V156))+U156="","", IF(ISNUMBER(SEARCH("lw",V156)), I156 + SUBSTITUTE(V156,"lw+",""), MROUND(SWITCH(Q156,"sq",U$7,"bn",V$7,"dl",W$7,"")*IF(V156&gt;10, V156/100, VLOOKUP(V156, _rpe,SUBSTITUTE(U156,"+","")+1,0)), IF( SWITCH(Q156,"sq",U$7,"bn",V$7,"dl", W$7,"")&lt; IF(_uom="lbs", 175, 80), 1.25, IF(_uom="lbs",5,2.5))))), "")</f>
        <v/>
      </c>
      <c r="X156" s="148"/>
      <c r="Y156" s="33"/>
      <c r="Z156" s="171"/>
      <c r="AA156" s="124" t="str">
        <f>IFERROR(__xludf.DUMMYFUNCTION("IF(W156=MAX(FILTER(W$10:W$199,LOOKUP(ROW(Q$10:Q$199),FILTER(ROW(Q$10:Q$199),Q$10:Q$199&lt;&gt;Q$9:Q$198))=LOOKUP(ROW(Q156),FILTER(ROW(Q$10:Q$199),Q$10:Q$199&lt;&gt;Q$9:Q$198)))),X156,)"),"")</f>
        <v/>
      </c>
      <c r="AB156" s="122"/>
      <c r="AC156" s="33"/>
      <c r="AD156" s="143" t="str">
        <f t="shared" si="14"/>
        <v/>
      </c>
      <c r="AE156" s="38" t="str">
        <f>IFERROR(__xludf.DUMMYFUNCTION("""COMPUTED_VALUE"""),"")</f>
        <v/>
      </c>
      <c r="AF156" s="144">
        <v>46125.0</v>
      </c>
      <c r="AG156" s="167" t="str">
        <f t="shared" si="54"/>
        <v/>
      </c>
      <c r="AH156" s="168" t="str">
        <f t="shared" si="322"/>
        <v/>
      </c>
      <c r="AI156" s="169" t="str">
        <f t="shared" si="323"/>
        <v/>
      </c>
      <c r="AJ156" s="172" t="str">
        <f t="shared" si="324"/>
        <v/>
      </c>
      <c r="AK156" s="171" t="str">
        <f t="array" ref="AK156">IFERROR(IF(AE156="ac"+ISNUMBER(SEARCH("'",AJ156))+AI156="","", IF(ISNUMBER(SEARCH("lw",AJ156)), W156 + SUBSTITUTE(AJ156,"lw+",""), MROUND(SWITCH(AE156,"sq",AI$7,"bn",AJ$7,"dl",AK$7,"")*IF(AJ156&gt;10, AJ156/100, VLOOKUP(AJ156, _rpe,SUBSTITUTE(AI156,"+","")+1,0)), IF( SWITCH(AE156,"sq",AI$7,"bn",AJ$7,"dl", AK$7,"")&lt; IF(_uom="lbs", 175, 80), 1.25, IF(_uom="lbs",5,2.5))))), "")</f>
        <v/>
      </c>
      <c r="AL156" s="148"/>
      <c r="AM156" s="33"/>
      <c r="AN156" s="171"/>
      <c r="AO156" s="124" t="str">
        <f>IFERROR(__xludf.DUMMYFUNCTION("IF(AK156=MAX(FILTER(AK$10:AK$199,LOOKUP(ROW(AE$10:AE$199),FILTER(ROW(AE$10:AE$199),AE$10:AE$199&lt;&gt;AE$9:AE$198))=LOOKUP(ROW(AE156),FILTER(ROW(AE$10:AE$199),AE$10:AE$199&lt;&gt;AE$9:AE$198)))),AL156,)"),"")</f>
        <v/>
      </c>
      <c r="AP156" s="122"/>
      <c r="AQ156" s="33"/>
      <c r="AR156" s="143" t="str">
        <f t="shared" si="16"/>
        <v/>
      </c>
      <c r="AS156" s="38" t="str">
        <f>IFERROR(__xludf.DUMMYFUNCTION("""COMPUTED_VALUE"""),"")</f>
        <v/>
      </c>
      <c r="AT156" s="144">
        <v>46132.0</v>
      </c>
      <c r="AU156" s="167" t="str">
        <f t="shared" si="26"/>
        <v/>
      </c>
      <c r="AV156" s="168" t="str">
        <f t="shared" si="325"/>
        <v/>
      </c>
      <c r="AW156" s="169" t="str">
        <f t="shared" si="326"/>
        <v/>
      </c>
      <c r="AX156" s="172" t="str">
        <f t="shared" si="327"/>
        <v/>
      </c>
      <c r="AY156" s="171" t="str">
        <f t="array" ref="AY156">IFERROR(IF(AS156="ac"+ISNUMBER(SEARCH("'",AX156))+AW156="","", IF(ISNUMBER(SEARCH("lw",AX156)), AK156 + SUBSTITUTE(AX156,"lw+",""), MROUND(SWITCH(AS156,"sq",AW$7,"bn",AX$7,"dl",AY$7,"")*IF(AX156&gt;10, AX156/100, VLOOKUP(AX156, _rpe,SUBSTITUTE(AW156,"+","")+1,0)), IF( SWITCH(AS156,"sq",AW$7,"bn",AX$7,"dl", AY$7,"")&lt; IF(_uom="lbs", 175, 80), 1.25, IF(_uom="lbs",5,2.5))))), "")</f>
        <v/>
      </c>
      <c r="AZ156" s="148"/>
      <c r="BA156" s="33"/>
      <c r="BB156" s="171"/>
      <c r="BC156" s="124" t="str">
        <f>IFERROR(__xludf.DUMMYFUNCTION("IF(AY156=MAX(FILTER(AY$10:AY$199,LOOKUP(ROW(AS$10:AS$199),FILTER(ROW(AS$10:AS$199),AS$10:AS$199&lt;&gt;AS$9:AS$198))=LOOKUP(ROW(AS156),FILTER(ROW(AS$10:AS$199),AS$10:AS$199&lt;&gt;AS$9:AS$198)))),AZ156,)"),"")</f>
        <v/>
      </c>
      <c r="BD156" s="122"/>
      <c r="BE156" s="33"/>
      <c r="BF156" s="143" t="str">
        <f t="shared" si="17"/>
        <v/>
      </c>
      <c r="BG156" s="38" t="str">
        <f>IFERROR(__xludf.DUMMYFUNCTION("""COMPUTED_VALUE"""),"")</f>
        <v/>
      </c>
      <c r="BH156" s="144">
        <v>46139.0</v>
      </c>
      <c r="BI156" s="167" t="str">
        <f t="shared" si="18"/>
        <v/>
      </c>
      <c r="BJ156" s="168" t="str">
        <f t="shared" si="328"/>
        <v/>
      </c>
      <c r="BK156" s="169" t="str">
        <f t="shared" si="329"/>
        <v/>
      </c>
      <c r="BL156" s="172" t="str">
        <f t="shared" si="330"/>
        <v/>
      </c>
      <c r="BM156" s="171" t="str">
        <f t="array" ref="BM156">IFERROR(IF(BG156="ac"+ISNUMBER(SEARCH("'",BL156))+BK156="","", IF(ISNUMBER(SEARCH("lw",BL156)), AY156 + SUBSTITUTE(BL156,"lw+",""), MROUND(SWITCH(BG156,"sq",BK$7,"bn",BL$7,"dl",BM$7,"")*IF(BL156&gt;10, BL156/100, VLOOKUP(BL156, _rpe,SUBSTITUTE(BK156,"+","")+1,0)), IF( SWITCH(BG156,"sq",BK$7,"bn",BL$7,"dl", BM$7,"")&lt; IF(_uom="lbs", 175, 80), 1.25, IF(_uom="lbs",5,2.5))))), "")</f>
        <v/>
      </c>
      <c r="BN156" s="148"/>
      <c r="BO156" s="33"/>
      <c r="BP156" s="171"/>
      <c r="BQ156" s="124" t="str">
        <f>IFERROR(__xludf.DUMMYFUNCTION("IF(BM156=MAX(FILTER(BM$10:BM$199,LOOKUP(ROW(BG$10:BG$199),FILTER(ROW(BG$10:BG$199),BG$10:BG$199&lt;&gt;BG$9:BG$198))=LOOKUP(ROW(BG156),FILTER(ROW(BG$10:BG$199),BG$10:BG$199&lt;&gt;BG$9:BG$198)))),BN156,)"),"")</f>
        <v/>
      </c>
      <c r="BR156" s="122"/>
      <c r="BS156" s="33"/>
      <c r="BT156" s="143" t="str">
        <f t="shared" si="19"/>
        <v/>
      </c>
      <c r="BU156" s="38" t="str">
        <f>IFERROR(__xludf.DUMMYFUNCTION("""COMPUTED_VALUE"""),"")</f>
        <v/>
      </c>
      <c r="BV156" s="144">
        <v>46146.0</v>
      </c>
      <c r="BW156" s="167" t="str">
        <f t="shared" si="20"/>
        <v/>
      </c>
      <c r="BX156" s="168" t="str">
        <f t="shared" si="331"/>
        <v/>
      </c>
      <c r="BY156" s="169" t="str">
        <f t="shared" si="332"/>
        <v/>
      </c>
      <c r="BZ156" s="172" t="str">
        <f t="shared" si="333"/>
        <v/>
      </c>
      <c r="CA156" s="171" t="str">
        <f t="array" ref="CA156">IFERROR(IF(BU156="ac"+ISNUMBER(SEARCH("'",BZ156))+BY156="","", IF(ISNUMBER(SEARCH("lw",BZ156)), BM156 + SUBSTITUTE(BZ156,"lw+",""), MROUND(SWITCH(BU156,"sq",BY$7,"bn",BZ$7,"dl",CA$7,"")*IF(BZ156&gt;10, BZ156/100, VLOOKUP(BZ156, _rpe,SUBSTITUTE(BY156,"+","")+1,0)), IF( SWITCH(BU156,"sq",BY$7,"bn",BZ$7,"dl", CA$7,"")&lt; IF(_uom="lbs", 175, 80), 1.25, IF(_uom="lbs",5,2.5))))), "")</f>
        <v/>
      </c>
      <c r="CB156" s="148"/>
      <c r="CC156" s="33"/>
      <c r="CD156" s="171"/>
      <c r="CE156" s="124" t="str">
        <f>IFERROR(__xludf.DUMMYFUNCTION("IF(CA156=MAX(FILTER(CA$10:CA$199,LOOKUP(ROW(BU$10:BU$199),FILTER(ROW(BU$10:BU$199),BU$10:BU$199&lt;&gt;BU$9:BU$198))=LOOKUP(ROW(BU156),FILTER(ROW(BU$10:BU$199),BU$10:BU$199&lt;&gt;BU$9:BU$198)))),CB156,)"),"")</f>
        <v/>
      </c>
      <c r="CF156" s="122"/>
      <c r="CG156" s="33"/>
      <c r="CH156" s="143" t="str">
        <f t="shared" si="21"/>
        <v/>
      </c>
      <c r="CI156" s="38" t="str">
        <f>IFERROR(__xludf.DUMMYFUNCTION("""COMPUTED_VALUE"""),"")</f>
        <v/>
      </c>
      <c r="CJ156" s="144">
        <v>46153.0</v>
      </c>
      <c r="CK156" s="167" t="str">
        <f t="shared" si="27"/>
        <v/>
      </c>
      <c r="CL156" s="168" t="str">
        <f t="shared" si="334"/>
        <v/>
      </c>
      <c r="CM156" s="169" t="str">
        <f t="shared" si="335"/>
        <v/>
      </c>
      <c r="CN156" s="172" t="str">
        <f t="shared" si="336"/>
        <v/>
      </c>
      <c r="CO156" s="171" t="str">
        <f t="array" ref="CO156">IFERROR(IF(CI156="ac"+ISNUMBER(SEARCH("'",CN156))+CM156="","", IF(ISNUMBER(SEARCH("lw",CN156)), CA156 + SUBSTITUTE(CN156,"lw+",""), MROUND(SWITCH(CI156,"sq",CM$7,"bn",CN$7,"dl",CO$7,"")*IF(CN156&gt;10, CN156/100, VLOOKUP(CN156, _rpe,SUBSTITUTE(CM156,"+","")+1,0)), IF( SWITCH(CI156,"sq",CM$7,"bn",CN$7,"dl", CO$7,"")&lt; IF(_uom="lbs", 175, 80), 1.25, IF(_uom="lbs",5,2.5))))), "")</f>
        <v/>
      </c>
      <c r="CP156" s="148"/>
      <c r="CQ156" s="33"/>
      <c r="CR156" s="171"/>
      <c r="CS156" s="124" t="str">
        <f>IFERROR(__xludf.DUMMYFUNCTION("IF(CO156=MAX(FILTER(CO$10:CO$199,LOOKUP(ROW(CI$10:CI$199),FILTER(ROW(CI$10:CI$199),CI$10:CI$199&lt;&gt;CI$9:CI$198))=LOOKUP(ROW(CI156),FILTER(ROW(CI$10:CI$199),CI$10:CI$199&lt;&gt;CI$9:CI$198)))),CP156,)"),"")</f>
        <v/>
      </c>
      <c r="CT156" s="122"/>
      <c r="CU156" s="33"/>
      <c r="CV156" s="143" t="str">
        <f t="shared" si="22"/>
        <v/>
      </c>
      <c r="CW156" s="38" t="str">
        <f>IFERROR(__xludf.DUMMYFUNCTION("""COMPUTED_VALUE"""),"")</f>
        <v/>
      </c>
      <c r="CX156" s="144">
        <v>46160.0</v>
      </c>
      <c r="CY156" s="167" t="str">
        <f t="shared" si="28"/>
        <v/>
      </c>
      <c r="CZ156" s="168" t="str">
        <f t="shared" si="337"/>
        <v/>
      </c>
      <c r="DA156" s="169" t="str">
        <f t="shared" si="338"/>
        <v/>
      </c>
      <c r="DB156" s="172" t="str">
        <f t="shared" si="339"/>
        <v/>
      </c>
      <c r="DC156" s="171" t="str">
        <f t="array" ref="DC156">IFERROR(IF(CW156="ac"+ISNUMBER(SEARCH("'",DB156))+DA156="","", IF(ISNUMBER(SEARCH("lw",DB156)), CO156 + SUBSTITUTE(DB156,"lw+",""), MROUND(SWITCH(CW156,"sq",DA$7,"bn",DB$7,"dl",DC$7,"")*IF(DB156&gt;10, DB156/100, VLOOKUP(DB156, _rpe,SUBSTITUTE(DA156,"+","")+1,0)), IF( SWITCH(CW156,"sq",DA$7,"bn",DB$7,"dl", DC$7,"")&lt; IF(_uom="lbs", 175, 80), 1.25, IF(_uom="lbs",5,2.5))))), "")</f>
        <v/>
      </c>
      <c r="DD156" s="148"/>
      <c r="DE156" s="33"/>
      <c r="DF156" s="171"/>
      <c r="DG156" s="124" t="str">
        <f>IFERROR(__xludf.DUMMYFUNCTION("IF(DC156=MAX(FILTER(DC$10:DC$199,LOOKUP(ROW(CW$10:CW$199),FILTER(ROW(CW$10:CW$199),CW$10:CW$199&lt;&gt;CW$9:CW$198))=LOOKUP(ROW(CW156),FILTER(ROW(CW$10:CW$199),CW$10:CW$199&lt;&gt;CW$9:CW$198)))),DD156,)"),"")</f>
        <v/>
      </c>
      <c r="DH156" s="122"/>
      <c r="DI156" s="33"/>
      <c r="DJ156" s="143" t="str">
        <f t="shared" si="23"/>
        <v/>
      </c>
      <c r="DK156" s="38" t="str">
        <f>IFERROR(__xludf.DUMMYFUNCTION("""COMPUTED_VALUE"""),"")</f>
        <v/>
      </c>
      <c r="DL156" s="144">
        <v>46167.0</v>
      </c>
      <c r="DM156" s="167" t="str">
        <f t="shared" ref="DM156:DN156" si="408">IF(ISBLANK(CY156),"",CY156)</f>
        <v/>
      </c>
      <c r="DN156" s="168" t="str">
        <f t="shared" si="408"/>
        <v/>
      </c>
      <c r="DO156" s="169" t="str">
        <f t="shared" si="341"/>
        <v/>
      </c>
      <c r="DP156" s="172" t="str">
        <f t="shared" si="342"/>
        <v/>
      </c>
      <c r="DQ156" s="171" t="str">
        <f t="array" ref="DQ156">IFERROR(IF(DK156="ac"+ISNUMBER(SEARCH("'",DP156))+DO156="","", IF(ISNUMBER(SEARCH("lw",DP156)), DC156 + SUBSTITUTE(DP156,"lw+",""), MROUND(SWITCH(DK156,"sq",DO$7,"bn",DP$7,"dl",DQ$7,"")*IF(DP156&gt;10, DP156/100, VLOOKUP(DP156, _rpe,SUBSTITUTE(DO156,"+","")+1,0)), IF( SWITCH(DK156,"sq",DO$7,"bn",DP$7,"dl", DQ$7,"")&lt; IF(_uom="lbs", 175, 80), 1.25, IF(_uom="lbs",5,2.5))))), "")</f>
        <v/>
      </c>
      <c r="DR156" s="148"/>
      <c r="DS156" s="33"/>
      <c r="DT156" s="171"/>
      <c r="DU156" s="124" t="str">
        <f>IFERROR(__xludf.DUMMYFUNCTION("IF(DQ156=MAX(FILTER(DQ$10:DQ$199,LOOKUP(ROW(DK$10:DK$199),FILTER(ROW(DK$10:DK$199),DK$10:DK$199&lt;&gt;DK$9:DK$198))=LOOKUP(ROW(DK156),FILTER(ROW(DK$10:DK$199),DK$10:DK$199&lt;&gt;DK$9:DK$198)))),DR156,)"),"")</f>
        <v/>
      </c>
      <c r="DV156" s="122"/>
      <c r="DW156" s="33"/>
      <c r="DX156" s="143"/>
      <c r="DY156" s="38"/>
      <c r="DZ156" s="144"/>
      <c r="EA156" s="150"/>
      <c r="EB156" s="174"/>
      <c r="EC156" s="175"/>
      <c r="ED156" s="176"/>
      <c r="EE156" s="155"/>
      <c r="EF156" s="148"/>
      <c r="EG156" s="33"/>
      <c r="EH156" s="155"/>
      <c r="EI156" s="148"/>
      <c r="EJ156" s="33"/>
      <c r="EK156" s="33"/>
      <c r="EL156" s="143"/>
      <c r="EM156" s="38"/>
      <c r="EN156" s="144"/>
      <c r="EO156" s="150"/>
      <c r="EP156" s="174"/>
      <c r="EQ156" s="175"/>
      <c r="ER156" s="176"/>
      <c r="ES156" s="155"/>
      <c r="ET156" s="148"/>
      <c r="EU156" s="33"/>
      <c r="EV156" s="155"/>
      <c r="EW156" s="148"/>
      <c r="EX156" s="33"/>
      <c r="EY156" s="33"/>
      <c r="EZ156" s="143"/>
      <c r="FA156" s="38"/>
      <c r="FB156" s="144"/>
      <c r="FC156" s="150"/>
      <c r="FD156" s="174"/>
      <c r="FE156" s="175"/>
      <c r="FF156" s="176"/>
      <c r="FG156" s="155"/>
      <c r="FH156" s="148"/>
      <c r="FI156" s="33"/>
      <c r="FJ156" s="155"/>
      <c r="FK156" s="148"/>
      <c r="FL156" s="33"/>
      <c r="FM156" s="33"/>
      <c r="FN156" s="143"/>
      <c r="FO156" s="38"/>
      <c r="FP156" s="144"/>
      <c r="FQ156" s="150"/>
      <c r="FR156" s="174"/>
      <c r="FS156" s="175"/>
      <c r="FT156" s="176"/>
      <c r="FU156" s="155"/>
      <c r="FV156" s="148"/>
      <c r="FW156" s="33"/>
      <c r="FX156" s="155"/>
      <c r="FY156" s="148"/>
      <c r="FZ156" s="33"/>
      <c r="GA156" s="33"/>
      <c r="GB156" s="143"/>
      <c r="GC156" s="38"/>
      <c r="GD156" s="144"/>
      <c r="GE156" s="150"/>
      <c r="GF156" s="174"/>
      <c r="GG156" s="175"/>
      <c r="GH156" s="176"/>
      <c r="GI156" s="155"/>
      <c r="GJ156" s="148"/>
      <c r="GK156" s="33"/>
      <c r="GL156" s="155"/>
      <c r="GM156" s="148"/>
      <c r="GN156" s="33"/>
      <c r="GO156" s="33"/>
      <c r="GP156" s="143"/>
      <c r="GQ156" s="38"/>
      <c r="GR156" s="144"/>
      <c r="GS156" s="150"/>
      <c r="GT156" s="174"/>
      <c r="GU156" s="175"/>
      <c r="GV156" s="176"/>
      <c r="GW156" s="155"/>
      <c r="GX156" s="148"/>
      <c r="GY156" s="33"/>
      <c r="GZ156" s="155"/>
      <c r="HA156" s="148"/>
      <c r="HB156" s="33"/>
      <c r="HC156" s="33"/>
      <c r="HD156" s="143"/>
      <c r="HE156" s="38"/>
      <c r="HF156" s="144"/>
      <c r="HG156" s="150"/>
      <c r="HH156" s="174"/>
      <c r="HI156" s="175"/>
      <c r="HJ156" s="176"/>
      <c r="HK156" s="155"/>
      <c r="HL156" s="148"/>
      <c r="HM156" s="33"/>
      <c r="HN156" s="155"/>
      <c r="HO156" s="148"/>
      <c r="HP156" s="33"/>
      <c r="HQ156" s="33"/>
      <c r="HR156" s="143"/>
      <c r="HS156" s="38"/>
      <c r="HT156" s="144"/>
      <c r="HU156" s="150"/>
      <c r="HV156" s="174"/>
      <c r="HW156" s="175"/>
      <c r="HX156" s="176"/>
      <c r="HY156" s="155"/>
      <c r="HZ156" s="148"/>
      <c r="IA156" s="33"/>
      <c r="IB156" s="155"/>
      <c r="IC156" s="148"/>
      <c r="ID156" s="33"/>
      <c r="IE156" s="33"/>
      <c r="IF156" s="143"/>
      <c r="IG156" s="38"/>
      <c r="IH156" s="144"/>
      <c r="II156" s="150"/>
      <c r="IJ156" s="174"/>
      <c r="IK156" s="175"/>
      <c r="IL156" s="176"/>
      <c r="IM156" s="155"/>
      <c r="IN156" s="148"/>
      <c r="IO156" s="33"/>
      <c r="IP156" s="155"/>
      <c r="IQ156" s="148"/>
      <c r="IR156" s="33"/>
      <c r="IS156" s="33"/>
      <c r="IT156" s="143"/>
      <c r="IU156" s="38"/>
      <c r="IV156" s="144"/>
      <c r="IW156" s="143"/>
      <c r="IX156" s="38"/>
      <c r="IY156" s="144" t="e">
        <v>#REF!</v>
      </c>
    </row>
    <row r="157">
      <c r="A157" s="33"/>
      <c r="B157" s="181"/>
      <c r="C157" s="38" t="str">
        <f>IFERROR(__xludf.DUMMYFUNCTION("""COMPUTED_VALUE"""),"")</f>
        <v/>
      </c>
      <c r="D157" s="144">
        <v>46111.0</v>
      </c>
      <c r="E157" s="182"/>
      <c r="F157" s="168"/>
      <c r="G157" s="169"/>
      <c r="H157" s="170"/>
      <c r="I157" s="171" t="str">
        <f t="array" ref="I157">IFERROR(IF(C157="ac"+ISNUMBER(SEARCH("'",H157))+G157="","", MROUND(SWITCH(C157,"sq",'Personal Info'!$O$15,"bn",'Personal Info'!$S$15,"dl",'Personal Info'!$W$15,"")*IF(H157&gt;10, H157/100, VLOOKUP(H157, _rpe,SUBSTITUTE(G157,"+","")+1,0)), IF( SWITCH(C157:C210,"sq",'Personal Info'!$O$15,"bn",'Personal Info'!$S$15,"dl", 'Personal Info'!$W$15,"")&lt; IF(_uom="lbs", 175, 80), 1.25, IF(_uom="lbs",5,2.5)))),"")</f>
        <v/>
      </c>
      <c r="J157" s="148"/>
      <c r="K157" s="33"/>
      <c r="L157" s="171"/>
      <c r="M157" s="124" t="str">
        <f>IFERROR(__xludf.DUMMYFUNCTION("IF(I157=MAX(FILTER(I$10:I$199,LOOKUP(ROW(C$10:C$199),FILTER(ROW(C$10:C$199),C$10:C$199&lt;&gt;C$9:C$198))=LOOKUP(ROW(C157),FILTER(ROW(C$10:C$199),C$10:C$199&lt;&gt;C$9:C$198)))),J157,)"),"")</f>
        <v/>
      </c>
      <c r="N157" s="122"/>
      <c r="O157" s="33"/>
      <c r="P157" s="143" t="str">
        <f t="shared" si="12"/>
        <v/>
      </c>
      <c r="Q157" s="38" t="str">
        <f>IFERROR(__xludf.DUMMYFUNCTION("""COMPUTED_VALUE"""),"")</f>
        <v/>
      </c>
      <c r="R157" s="144">
        <v>46118.0</v>
      </c>
      <c r="S157" s="167" t="str">
        <f t="shared" si="13"/>
        <v/>
      </c>
      <c r="T157" s="168" t="str">
        <f t="shared" si="319"/>
        <v/>
      </c>
      <c r="U157" s="169" t="str">
        <f t="shared" si="320"/>
        <v/>
      </c>
      <c r="V157" s="172" t="str">
        <f t="shared" si="321"/>
        <v/>
      </c>
      <c r="W157" s="171" t="str">
        <f t="array" ref="W157">IFERROR(IF(Q157="ac"+ISNUMBER(SEARCH("'",V157))+U157="","", IF(ISNUMBER(SEARCH("lw",V157)), I157 + SUBSTITUTE(V157,"lw+",""), MROUND(SWITCH(Q157,"sq",U$7,"bn",V$7,"dl",W$7,"")*IF(V157&gt;10, V157/100, VLOOKUP(V157, _rpe,SUBSTITUTE(U157,"+","")+1,0)), IF( SWITCH(Q157,"sq",U$7,"bn",V$7,"dl", W$7,"")&lt; IF(_uom="lbs", 175, 80), 1.25, IF(_uom="lbs",5,2.5))))), "")</f>
        <v/>
      </c>
      <c r="X157" s="148"/>
      <c r="Y157" s="33"/>
      <c r="Z157" s="171"/>
      <c r="AA157" s="124" t="str">
        <f>IFERROR(__xludf.DUMMYFUNCTION("IF(W157=MAX(FILTER(W$10:W$199,LOOKUP(ROW(Q$10:Q$199),FILTER(ROW(Q$10:Q$199),Q$10:Q$199&lt;&gt;Q$9:Q$198))=LOOKUP(ROW(Q157),FILTER(ROW(Q$10:Q$199),Q$10:Q$199&lt;&gt;Q$9:Q$198)))),X157,)"),"")</f>
        <v/>
      </c>
      <c r="AB157" s="122"/>
      <c r="AC157" s="33"/>
      <c r="AD157" s="143" t="str">
        <f t="shared" si="14"/>
        <v/>
      </c>
      <c r="AE157" s="38" t="str">
        <f>IFERROR(__xludf.DUMMYFUNCTION("""COMPUTED_VALUE"""),"")</f>
        <v/>
      </c>
      <c r="AF157" s="144">
        <v>46125.0</v>
      </c>
      <c r="AG157" s="167" t="str">
        <f t="shared" si="54"/>
        <v/>
      </c>
      <c r="AH157" s="168" t="str">
        <f t="shared" si="322"/>
        <v/>
      </c>
      <c r="AI157" s="169" t="str">
        <f t="shared" si="323"/>
        <v/>
      </c>
      <c r="AJ157" s="172" t="str">
        <f t="shared" si="324"/>
        <v/>
      </c>
      <c r="AK157" s="171" t="str">
        <f t="array" ref="AK157">IFERROR(IF(AE157="ac"+ISNUMBER(SEARCH("'",AJ157))+AI157="","", IF(ISNUMBER(SEARCH("lw",AJ157)), W157 + SUBSTITUTE(AJ157,"lw+",""), MROUND(SWITCH(AE157,"sq",AI$7,"bn",AJ$7,"dl",AK$7,"")*IF(AJ157&gt;10, AJ157/100, VLOOKUP(AJ157, _rpe,SUBSTITUTE(AI157,"+","")+1,0)), IF( SWITCH(AE157,"sq",AI$7,"bn",AJ$7,"dl", AK$7,"")&lt; IF(_uom="lbs", 175, 80), 1.25, IF(_uom="lbs",5,2.5))))), "")</f>
        <v/>
      </c>
      <c r="AL157" s="148"/>
      <c r="AM157" s="33"/>
      <c r="AN157" s="171"/>
      <c r="AO157" s="124" t="str">
        <f>IFERROR(__xludf.DUMMYFUNCTION("IF(AK157=MAX(FILTER(AK$10:AK$199,LOOKUP(ROW(AE$10:AE$199),FILTER(ROW(AE$10:AE$199),AE$10:AE$199&lt;&gt;AE$9:AE$198))=LOOKUP(ROW(AE157),FILTER(ROW(AE$10:AE$199),AE$10:AE$199&lt;&gt;AE$9:AE$198)))),AL157,)"),"")</f>
        <v/>
      </c>
      <c r="AP157" s="122"/>
      <c r="AQ157" s="33"/>
      <c r="AR157" s="143" t="str">
        <f t="shared" si="16"/>
        <v/>
      </c>
      <c r="AS157" s="38" t="str">
        <f>IFERROR(__xludf.DUMMYFUNCTION("""COMPUTED_VALUE"""),"")</f>
        <v/>
      </c>
      <c r="AT157" s="144">
        <v>46132.0</v>
      </c>
      <c r="AU157" s="167" t="str">
        <f t="shared" si="26"/>
        <v/>
      </c>
      <c r="AV157" s="168" t="str">
        <f t="shared" si="325"/>
        <v/>
      </c>
      <c r="AW157" s="169" t="str">
        <f t="shared" si="326"/>
        <v/>
      </c>
      <c r="AX157" s="172" t="str">
        <f t="shared" si="327"/>
        <v/>
      </c>
      <c r="AY157" s="171" t="str">
        <f t="array" ref="AY157">IFERROR(IF(AS157="ac"+ISNUMBER(SEARCH("'",AX157))+AW157="","", IF(ISNUMBER(SEARCH("lw",AX157)), AK157 + SUBSTITUTE(AX157,"lw+",""), MROUND(SWITCH(AS157,"sq",AW$7,"bn",AX$7,"dl",AY$7,"")*IF(AX157&gt;10, AX157/100, VLOOKUP(AX157, _rpe,SUBSTITUTE(AW157,"+","")+1,0)), IF( SWITCH(AS157,"sq",AW$7,"bn",AX$7,"dl", AY$7,"")&lt; IF(_uom="lbs", 175, 80), 1.25, IF(_uom="lbs",5,2.5))))), "")</f>
        <v/>
      </c>
      <c r="AZ157" s="148"/>
      <c r="BA157" s="33"/>
      <c r="BB157" s="171"/>
      <c r="BC157" s="124" t="str">
        <f>IFERROR(__xludf.DUMMYFUNCTION("IF(AY157=MAX(FILTER(AY$10:AY$199,LOOKUP(ROW(AS$10:AS$199),FILTER(ROW(AS$10:AS$199),AS$10:AS$199&lt;&gt;AS$9:AS$198))=LOOKUP(ROW(AS157),FILTER(ROW(AS$10:AS$199),AS$10:AS$199&lt;&gt;AS$9:AS$198)))),AZ157,)"),"")</f>
        <v/>
      </c>
      <c r="BD157" s="122"/>
      <c r="BE157" s="33"/>
      <c r="BF157" s="143" t="str">
        <f t="shared" si="17"/>
        <v/>
      </c>
      <c r="BG157" s="38" t="str">
        <f>IFERROR(__xludf.DUMMYFUNCTION("""COMPUTED_VALUE"""),"")</f>
        <v/>
      </c>
      <c r="BH157" s="144">
        <v>46139.0</v>
      </c>
      <c r="BI157" s="167" t="str">
        <f t="shared" si="18"/>
        <v/>
      </c>
      <c r="BJ157" s="168" t="str">
        <f t="shared" si="328"/>
        <v/>
      </c>
      <c r="BK157" s="169" t="str">
        <f t="shared" si="329"/>
        <v/>
      </c>
      <c r="BL157" s="172" t="str">
        <f t="shared" si="330"/>
        <v/>
      </c>
      <c r="BM157" s="171" t="str">
        <f t="array" ref="BM157">IFERROR(IF(BG157="ac"+ISNUMBER(SEARCH("'",BL157))+BK157="","", IF(ISNUMBER(SEARCH("lw",BL157)), AY157 + SUBSTITUTE(BL157,"lw+",""), MROUND(SWITCH(BG157,"sq",BK$7,"bn",BL$7,"dl",BM$7,"")*IF(BL157&gt;10, BL157/100, VLOOKUP(BL157, _rpe,SUBSTITUTE(BK157,"+","")+1,0)), IF( SWITCH(BG157,"sq",BK$7,"bn",BL$7,"dl", BM$7,"")&lt; IF(_uom="lbs", 175, 80), 1.25, IF(_uom="lbs",5,2.5))))), "")</f>
        <v/>
      </c>
      <c r="BN157" s="148"/>
      <c r="BO157" s="33"/>
      <c r="BP157" s="171"/>
      <c r="BQ157" s="124" t="str">
        <f>IFERROR(__xludf.DUMMYFUNCTION("IF(BM157=MAX(FILTER(BM$10:BM$199,LOOKUP(ROW(BG$10:BG$199),FILTER(ROW(BG$10:BG$199),BG$10:BG$199&lt;&gt;BG$9:BG$198))=LOOKUP(ROW(BG157),FILTER(ROW(BG$10:BG$199),BG$10:BG$199&lt;&gt;BG$9:BG$198)))),BN157,)"),"")</f>
        <v/>
      </c>
      <c r="BR157" s="122"/>
      <c r="BS157" s="33"/>
      <c r="BT157" s="143" t="str">
        <f t="shared" si="19"/>
        <v/>
      </c>
      <c r="BU157" s="38" t="str">
        <f>IFERROR(__xludf.DUMMYFUNCTION("""COMPUTED_VALUE"""),"")</f>
        <v/>
      </c>
      <c r="BV157" s="144">
        <v>46146.0</v>
      </c>
      <c r="BW157" s="167" t="str">
        <f t="shared" si="20"/>
        <v/>
      </c>
      <c r="BX157" s="168" t="str">
        <f t="shared" si="331"/>
        <v/>
      </c>
      <c r="BY157" s="169" t="str">
        <f t="shared" si="332"/>
        <v/>
      </c>
      <c r="BZ157" s="172" t="str">
        <f t="shared" si="333"/>
        <v/>
      </c>
      <c r="CA157" s="171" t="str">
        <f t="array" ref="CA157">IFERROR(IF(BU157="ac"+ISNUMBER(SEARCH("'",BZ157))+BY157="","", IF(ISNUMBER(SEARCH("lw",BZ157)), BM157 + SUBSTITUTE(BZ157,"lw+",""), MROUND(SWITCH(BU157,"sq",BY$7,"bn",BZ$7,"dl",CA$7,"")*IF(BZ157&gt;10, BZ157/100, VLOOKUP(BZ157, _rpe,SUBSTITUTE(BY157,"+","")+1,0)), IF( SWITCH(BU157,"sq",BY$7,"bn",BZ$7,"dl", CA$7,"")&lt; IF(_uom="lbs", 175, 80), 1.25, IF(_uom="lbs",5,2.5))))), "")</f>
        <v/>
      </c>
      <c r="CB157" s="148"/>
      <c r="CC157" s="33"/>
      <c r="CD157" s="171"/>
      <c r="CE157" s="124" t="str">
        <f>IFERROR(__xludf.DUMMYFUNCTION("IF(CA157=MAX(FILTER(CA$10:CA$199,LOOKUP(ROW(BU$10:BU$199),FILTER(ROW(BU$10:BU$199),BU$10:BU$199&lt;&gt;BU$9:BU$198))=LOOKUP(ROW(BU157),FILTER(ROW(BU$10:BU$199),BU$10:BU$199&lt;&gt;BU$9:BU$198)))),CB157,)"),"")</f>
        <v/>
      </c>
      <c r="CF157" s="122"/>
      <c r="CG157" s="33"/>
      <c r="CH157" s="143" t="str">
        <f t="shared" si="21"/>
        <v/>
      </c>
      <c r="CI157" s="38" t="str">
        <f>IFERROR(__xludf.DUMMYFUNCTION("""COMPUTED_VALUE"""),"")</f>
        <v/>
      </c>
      <c r="CJ157" s="144">
        <v>46153.0</v>
      </c>
      <c r="CK157" s="167" t="str">
        <f t="shared" si="27"/>
        <v/>
      </c>
      <c r="CL157" s="168" t="str">
        <f t="shared" si="334"/>
        <v/>
      </c>
      <c r="CM157" s="169" t="str">
        <f t="shared" si="335"/>
        <v/>
      </c>
      <c r="CN157" s="172" t="str">
        <f t="shared" si="336"/>
        <v/>
      </c>
      <c r="CO157" s="171" t="str">
        <f t="array" ref="CO157">IFERROR(IF(CI157="ac"+ISNUMBER(SEARCH("'",CN157))+CM157="","", IF(ISNUMBER(SEARCH("lw",CN157)), CA157 + SUBSTITUTE(CN157,"lw+",""), MROUND(SWITCH(CI157,"sq",CM$7,"bn",CN$7,"dl",CO$7,"")*IF(CN157&gt;10, CN157/100, VLOOKUP(CN157, _rpe,SUBSTITUTE(CM157,"+","")+1,0)), IF( SWITCH(CI157,"sq",CM$7,"bn",CN$7,"dl", CO$7,"")&lt; IF(_uom="lbs", 175, 80), 1.25, IF(_uom="lbs",5,2.5))))), "")</f>
        <v/>
      </c>
      <c r="CP157" s="148"/>
      <c r="CQ157" s="33"/>
      <c r="CR157" s="171"/>
      <c r="CS157" s="124" t="str">
        <f>IFERROR(__xludf.DUMMYFUNCTION("IF(CO157=MAX(FILTER(CO$10:CO$199,LOOKUP(ROW(CI$10:CI$199),FILTER(ROW(CI$10:CI$199),CI$10:CI$199&lt;&gt;CI$9:CI$198))=LOOKUP(ROW(CI157),FILTER(ROW(CI$10:CI$199),CI$10:CI$199&lt;&gt;CI$9:CI$198)))),CP157,)"),"")</f>
        <v/>
      </c>
      <c r="CT157" s="122"/>
      <c r="CU157" s="33"/>
      <c r="CV157" s="143" t="str">
        <f t="shared" si="22"/>
        <v/>
      </c>
      <c r="CW157" s="38" t="str">
        <f>IFERROR(__xludf.DUMMYFUNCTION("""COMPUTED_VALUE"""),"")</f>
        <v/>
      </c>
      <c r="CX157" s="144">
        <v>46160.0</v>
      </c>
      <c r="CY157" s="167" t="str">
        <f t="shared" si="28"/>
        <v/>
      </c>
      <c r="CZ157" s="168" t="str">
        <f t="shared" si="337"/>
        <v/>
      </c>
      <c r="DA157" s="169" t="str">
        <f t="shared" si="338"/>
        <v/>
      </c>
      <c r="DB157" s="172" t="str">
        <f t="shared" si="339"/>
        <v/>
      </c>
      <c r="DC157" s="171" t="str">
        <f t="array" ref="DC157">IFERROR(IF(CW157="ac"+ISNUMBER(SEARCH("'",DB157))+DA157="","", IF(ISNUMBER(SEARCH("lw",DB157)), CO157 + SUBSTITUTE(DB157,"lw+",""), MROUND(SWITCH(CW157,"sq",DA$7,"bn",DB$7,"dl",DC$7,"")*IF(DB157&gt;10, DB157/100, VLOOKUP(DB157, _rpe,SUBSTITUTE(DA157,"+","")+1,0)), IF( SWITCH(CW157,"sq",DA$7,"bn",DB$7,"dl", DC$7,"")&lt; IF(_uom="lbs", 175, 80), 1.25, IF(_uom="lbs",5,2.5))))), "")</f>
        <v/>
      </c>
      <c r="DD157" s="148"/>
      <c r="DE157" s="33"/>
      <c r="DF157" s="171"/>
      <c r="DG157" s="124" t="str">
        <f>IFERROR(__xludf.DUMMYFUNCTION("IF(DC157=MAX(FILTER(DC$10:DC$199,LOOKUP(ROW(CW$10:CW$199),FILTER(ROW(CW$10:CW$199),CW$10:CW$199&lt;&gt;CW$9:CW$198))=LOOKUP(ROW(CW157),FILTER(ROW(CW$10:CW$199),CW$10:CW$199&lt;&gt;CW$9:CW$198)))),DD157,)"),"")</f>
        <v/>
      </c>
      <c r="DH157" s="122"/>
      <c r="DI157" s="33"/>
      <c r="DJ157" s="143" t="str">
        <f t="shared" si="23"/>
        <v/>
      </c>
      <c r="DK157" s="38" t="str">
        <f>IFERROR(__xludf.DUMMYFUNCTION("""COMPUTED_VALUE"""),"")</f>
        <v/>
      </c>
      <c r="DL157" s="144">
        <v>46167.0</v>
      </c>
      <c r="DM157" s="167" t="str">
        <f t="shared" ref="DM157:DN157" si="409">IF(ISBLANK(CY157),"",CY157)</f>
        <v/>
      </c>
      <c r="DN157" s="168" t="str">
        <f t="shared" si="409"/>
        <v/>
      </c>
      <c r="DO157" s="169" t="str">
        <f t="shared" si="341"/>
        <v/>
      </c>
      <c r="DP157" s="172" t="str">
        <f t="shared" si="342"/>
        <v/>
      </c>
      <c r="DQ157" s="171" t="str">
        <f t="array" ref="DQ157">IFERROR(IF(DK157="ac"+ISNUMBER(SEARCH("'",DP157))+DO157="","", IF(ISNUMBER(SEARCH("lw",DP157)), DC157 + SUBSTITUTE(DP157,"lw+",""), MROUND(SWITCH(DK157,"sq",DO$7,"bn",DP$7,"dl",DQ$7,"")*IF(DP157&gt;10, DP157/100, VLOOKUP(DP157, _rpe,SUBSTITUTE(DO157,"+","")+1,0)), IF( SWITCH(DK157,"sq",DO$7,"bn",DP$7,"dl", DQ$7,"")&lt; IF(_uom="lbs", 175, 80), 1.25, IF(_uom="lbs",5,2.5))))), "")</f>
        <v/>
      </c>
      <c r="DR157" s="148"/>
      <c r="DS157" s="33"/>
      <c r="DT157" s="171"/>
      <c r="DU157" s="124" t="str">
        <f>IFERROR(__xludf.DUMMYFUNCTION("IF(DQ157=MAX(FILTER(DQ$10:DQ$199,LOOKUP(ROW(DK$10:DK$199),FILTER(ROW(DK$10:DK$199),DK$10:DK$199&lt;&gt;DK$9:DK$198))=LOOKUP(ROW(DK157),FILTER(ROW(DK$10:DK$199),DK$10:DK$199&lt;&gt;DK$9:DK$198)))),DR157,)"),"")</f>
        <v/>
      </c>
      <c r="DV157" s="122"/>
      <c r="DW157" s="33"/>
      <c r="DX157" s="143"/>
      <c r="DY157" s="38"/>
      <c r="DZ157" s="144"/>
      <c r="EA157" s="150"/>
      <c r="EB157" s="174"/>
      <c r="EC157" s="175"/>
      <c r="ED157" s="176"/>
      <c r="EE157" s="155"/>
      <c r="EF157" s="148"/>
      <c r="EG157" s="33"/>
      <c r="EH157" s="155"/>
      <c r="EI157" s="148"/>
      <c r="EJ157" s="33"/>
      <c r="EK157" s="33"/>
      <c r="EL157" s="143"/>
      <c r="EM157" s="38"/>
      <c r="EN157" s="144"/>
      <c r="EO157" s="150"/>
      <c r="EP157" s="174"/>
      <c r="EQ157" s="175"/>
      <c r="ER157" s="176"/>
      <c r="ES157" s="155"/>
      <c r="ET157" s="148"/>
      <c r="EU157" s="33"/>
      <c r="EV157" s="155"/>
      <c r="EW157" s="148"/>
      <c r="EX157" s="33"/>
      <c r="EY157" s="33"/>
      <c r="EZ157" s="143"/>
      <c r="FA157" s="38"/>
      <c r="FB157" s="144"/>
      <c r="FC157" s="150"/>
      <c r="FD157" s="174"/>
      <c r="FE157" s="175"/>
      <c r="FF157" s="176"/>
      <c r="FG157" s="155"/>
      <c r="FH157" s="148"/>
      <c r="FI157" s="33"/>
      <c r="FJ157" s="155"/>
      <c r="FK157" s="148"/>
      <c r="FL157" s="33"/>
      <c r="FM157" s="33"/>
      <c r="FN157" s="143"/>
      <c r="FO157" s="38"/>
      <c r="FP157" s="144"/>
      <c r="FQ157" s="150"/>
      <c r="FR157" s="174"/>
      <c r="FS157" s="175"/>
      <c r="FT157" s="176"/>
      <c r="FU157" s="155"/>
      <c r="FV157" s="148"/>
      <c r="FW157" s="33"/>
      <c r="FX157" s="155"/>
      <c r="FY157" s="148"/>
      <c r="FZ157" s="33"/>
      <c r="GA157" s="33"/>
      <c r="GB157" s="143"/>
      <c r="GC157" s="38"/>
      <c r="GD157" s="144"/>
      <c r="GE157" s="150"/>
      <c r="GF157" s="174"/>
      <c r="GG157" s="175"/>
      <c r="GH157" s="176"/>
      <c r="GI157" s="155"/>
      <c r="GJ157" s="148"/>
      <c r="GK157" s="33"/>
      <c r="GL157" s="155"/>
      <c r="GM157" s="148"/>
      <c r="GN157" s="33"/>
      <c r="GO157" s="33"/>
      <c r="GP157" s="143"/>
      <c r="GQ157" s="38"/>
      <c r="GR157" s="144"/>
      <c r="GS157" s="150"/>
      <c r="GT157" s="174"/>
      <c r="GU157" s="175"/>
      <c r="GV157" s="176"/>
      <c r="GW157" s="155"/>
      <c r="GX157" s="148"/>
      <c r="GY157" s="33"/>
      <c r="GZ157" s="155"/>
      <c r="HA157" s="148"/>
      <c r="HB157" s="33"/>
      <c r="HC157" s="33"/>
      <c r="HD157" s="143"/>
      <c r="HE157" s="38"/>
      <c r="HF157" s="144"/>
      <c r="HG157" s="150"/>
      <c r="HH157" s="174"/>
      <c r="HI157" s="175"/>
      <c r="HJ157" s="176"/>
      <c r="HK157" s="155"/>
      <c r="HL157" s="148"/>
      <c r="HM157" s="33"/>
      <c r="HN157" s="155"/>
      <c r="HO157" s="148"/>
      <c r="HP157" s="33"/>
      <c r="HQ157" s="33"/>
      <c r="HR157" s="143"/>
      <c r="HS157" s="38"/>
      <c r="HT157" s="144"/>
      <c r="HU157" s="150"/>
      <c r="HV157" s="174"/>
      <c r="HW157" s="175"/>
      <c r="HX157" s="176"/>
      <c r="HY157" s="155"/>
      <c r="HZ157" s="148"/>
      <c r="IA157" s="33"/>
      <c r="IB157" s="155"/>
      <c r="IC157" s="148"/>
      <c r="ID157" s="33"/>
      <c r="IE157" s="33"/>
      <c r="IF157" s="143"/>
      <c r="IG157" s="38"/>
      <c r="IH157" s="144"/>
      <c r="II157" s="150"/>
      <c r="IJ157" s="174"/>
      <c r="IK157" s="175"/>
      <c r="IL157" s="176"/>
      <c r="IM157" s="155"/>
      <c r="IN157" s="148"/>
      <c r="IO157" s="33"/>
      <c r="IP157" s="155"/>
      <c r="IQ157" s="148"/>
      <c r="IR157" s="33"/>
      <c r="IS157" s="33"/>
      <c r="IT157" s="143"/>
      <c r="IU157" s="38"/>
      <c r="IV157" s="144"/>
      <c r="IW157" s="143"/>
      <c r="IX157" s="38"/>
      <c r="IY157" s="144" t="e">
        <v>#REF!</v>
      </c>
    </row>
    <row r="158">
      <c r="A158" s="33"/>
      <c r="B158" s="181"/>
      <c r="C158" s="38" t="str">
        <f>IFERROR(__xludf.DUMMYFUNCTION("""COMPUTED_VALUE"""),"")</f>
        <v/>
      </c>
      <c r="D158" s="144">
        <v>46111.0</v>
      </c>
      <c r="E158" s="182"/>
      <c r="F158" s="168"/>
      <c r="G158" s="169"/>
      <c r="H158" s="170"/>
      <c r="I158" s="171" t="str">
        <f t="array" ref="I158">IFERROR(IF(C158="ac"+ISNUMBER(SEARCH("'",H158))+G158="","", MROUND(SWITCH(C158,"sq",'Personal Info'!$O$15,"bn",'Personal Info'!$S$15,"dl",'Personal Info'!$W$15,"")*IF(H158&gt;10, H158/100, VLOOKUP(H158, _rpe,SUBSTITUTE(G158,"+","")+1,0)), IF( SWITCH(C158:C210,"sq",'Personal Info'!$O$15,"bn",'Personal Info'!$S$15,"dl", 'Personal Info'!$W$15,"")&lt; IF(_uom="lbs", 175, 80), 1.25, IF(_uom="lbs",5,2.5)))),"")</f>
        <v/>
      </c>
      <c r="J158" s="148"/>
      <c r="K158" s="33"/>
      <c r="L158" s="171"/>
      <c r="M158" s="124" t="str">
        <f>IFERROR(__xludf.DUMMYFUNCTION("IF(I158=MAX(FILTER(I$10:I$199,LOOKUP(ROW(C$10:C$199),FILTER(ROW(C$10:C$199),C$10:C$199&lt;&gt;C$9:C$198))=LOOKUP(ROW(C158),FILTER(ROW(C$10:C$199),C$10:C$199&lt;&gt;C$9:C$198)))),J158,)"),"")</f>
        <v/>
      </c>
      <c r="N158" s="122"/>
      <c r="O158" s="33"/>
      <c r="P158" s="143" t="str">
        <f t="shared" si="12"/>
        <v/>
      </c>
      <c r="Q158" s="38" t="str">
        <f>IFERROR(__xludf.DUMMYFUNCTION("""COMPUTED_VALUE"""),"")</f>
        <v/>
      </c>
      <c r="R158" s="144">
        <v>46118.0</v>
      </c>
      <c r="S158" s="167" t="str">
        <f t="shared" si="13"/>
        <v/>
      </c>
      <c r="T158" s="168" t="str">
        <f t="shared" si="319"/>
        <v/>
      </c>
      <c r="U158" s="169" t="str">
        <f t="shared" si="320"/>
        <v/>
      </c>
      <c r="V158" s="172" t="str">
        <f t="shared" si="321"/>
        <v/>
      </c>
      <c r="W158" s="171" t="str">
        <f t="array" ref="W158">IFERROR(IF(Q158="ac"+ISNUMBER(SEARCH("'",V158))+U158="","", IF(ISNUMBER(SEARCH("lw",V158)), I158 + SUBSTITUTE(V158,"lw+",""), MROUND(SWITCH(Q158,"sq",U$7,"bn",V$7,"dl",W$7,"")*IF(V158&gt;10, V158/100, VLOOKUP(V158, _rpe,SUBSTITUTE(U158,"+","")+1,0)), IF( SWITCH(Q158,"sq",U$7,"bn",V$7,"dl", W$7,"")&lt; IF(_uom="lbs", 175, 80), 1.25, IF(_uom="lbs",5,2.5))))), "")</f>
        <v/>
      </c>
      <c r="X158" s="148"/>
      <c r="Y158" s="33"/>
      <c r="Z158" s="171"/>
      <c r="AA158" s="124" t="str">
        <f>IFERROR(__xludf.DUMMYFUNCTION("IF(W158=MAX(FILTER(W$10:W$199,LOOKUP(ROW(Q$10:Q$199),FILTER(ROW(Q$10:Q$199),Q$10:Q$199&lt;&gt;Q$9:Q$198))=LOOKUP(ROW(Q158),FILTER(ROW(Q$10:Q$199),Q$10:Q$199&lt;&gt;Q$9:Q$198)))),X158,)"),"")</f>
        <v/>
      </c>
      <c r="AB158" s="122"/>
      <c r="AC158" s="33"/>
      <c r="AD158" s="143" t="str">
        <f t="shared" si="14"/>
        <v/>
      </c>
      <c r="AE158" s="38" t="str">
        <f>IFERROR(__xludf.DUMMYFUNCTION("""COMPUTED_VALUE"""),"")</f>
        <v/>
      </c>
      <c r="AF158" s="144">
        <v>46125.0</v>
      </c>
      <c r="AG158" s="167" t="str">
        <f t="shared" si="54"/>
        <v/>
      </c>
      <c r="AH158" s="168" t="str">
        <f t="shared" si="322"/>
        <v/>
      </c>
      <c r="AI158" s="169" t="str">
        <f t="shared" si="323"/>
        <v/>
      </c>
      <c r="AJ158" s="172" t="str">
        <f t="shared" si="324"/>
        <v/>
      </c>
      <c r="AK158" s="171" t="str">
        <f t="array" ref="AK158">IFERROR(IF(AE158="ac"+ISNUMBER(SEARCH("'",AJ158))+AI158="","", IF(ISNUMBER(SEARCH("lw",AJ158)), W158 + SUBSTITUTE(AJ158,"lw+",""), MROUND(SWITCH(AE158,"sq",AI$7,"bn",AJ$7,"dl",AK$7,"")*IF(AJ158&gt;10, AJ158/100, VLOOKUP(AJ158, _rpe,SUBSTITUTE(AI158,"+","")+1,0)), IF( SWITCH(AE158,"sq",AI$7,"bn",AJ$7,"dl", AK$7,"")&lt; IF(_uom="lbs", 175, 80), 1.25, IF(_uom="lbs",5,2.5))))), "")</f>
        <v/>
      </c>
      <c r="AL158" s="148"/>
      <c r="AM158" s="33"/>
      <c r="AN158" s="171"/>
      <c r="AO158" s="124" t="str">
        <f>IFERROR(__xludf.DUMMYFUNCTION("IF(AK158=MAX(FILTER(AK$10:AK$199,LOOKUP(ROW(AE$10:AE$199),FILTER(ROW(AE$10:AE$199),AE$10:AE$199&lt;&gt;AE$9:AE$198))=LOOKUP(ROW(AE158),FILTER(ROW(AE$10:AE$199),AE$10:AE$199&lt;&gt;AE$9:AE$198)))),AL158,)"),"")</f>
        <v/>
      </c>
      <c r="AP158" s="122"/>
      <c r="AQ158" s="33"/>
      <c r="AR158" s="143" t="str">
        <f t="shared" si="16"/>
        <v/>
      </c>
      <c r="AS158" s="38" t="str">
        <f>IFERROR(__xludf.DUMMYFUNCTION("""COMPUTED_VALUE"""),"")</f>
        <v/>
      </c>
      <c r="AT158" s="144">
        <v>46132.0</v>
      </c>
      <c r="AU158" s="167" t="str">
        <f t="shared" si="26"/>
        <v/>
      </c>
      <c r="AV158" s="168" t="str">
        <f t="shared" si="325"/>
        <v/>
      </c>
      <c r="AW158" s="169" t="str">
        <f t="shared" si="326"/>
        <v/>
      </c>
      <c r="AX158" s="172" t="str">
        <f t="shared" si="327"/>
        <v/>
      </c>
      <c r="AY158" s="171" t="str">
        <f t="array" ref="AY158">IFERROR(IF(AS158="ac"+ISNUMBER(SEARCH("'",AX158))+AW158="","", IF(ISNUMBER(SEARCH("lw",AX158)), AK158 + SUBSTITUTE(AX158,"lw+",""), MROUND(SWITCH(AS158,"sq",AW$7,"bn",AX$7,"dl",AY$7,"")*IF(AX158&gt;10, AX158/100, VLOOKUP(AX158, _rpe,SUBSTITUTE(AW158,"+","")+1,0)), IF( SWITCH(AS158,"sq",AW$7,"bn",AX$7,"dl", AY$7,"")&lt; IF(_uom="lbs", 175, 80), 1.25, IF(_uom="lbs",5,2.5))))), "")</f>
        <v/>
      </c>
      <c r="AZ158" s="148"/>
      <c r="BA158" s="33"/>
      <c r="BB158" s="171"/>
      <c r="BC158" s="124" t="str">
        <f>IFERROR(__xludf.DUMMYFUNCTION("IF(AY158=MAX(FILTER(AY$10:AY$199,LOOKUP(ROW(AS$10:AS$199),FILTER(ROW(AS$10:AS$199),AS$10:AS$199&lt;&gt;AS$9:AS$198))=LOOKUP(ROW(AS158),FILTER(ROW(AS$10:AS$199),AS$10:AS$199&lt;&gt;AS$9:AS$198)))),AZ158,)"),"")</f>
        <v/>
      </c>
      <c r="BD158" s="122"/>
      <c r="BE158" s="33"/>
      <c r="BF158" s="143" t="str">
        <f t="shared" si="17"/>
        <v/>
      </c>
      <c r="BG158" s="38" t="str">
        <f>IFERROR(__xludf.DUMMYFUNCTION("""COMPUTED_VALUE"""),"")</f>
        <v/>
      </c>
      <c r="BH158" s="144">
        <v>46139.0</v>
      </c>
      <c r="BI158" s="167" t="str">
        <f t="shared" si="18"/>
        <v/>
      </c>
      <c r="BJ158" s="168" t="str">
        <f t="shared" si="328"/>
        <v/>
      </c>
      <c r="BK158" s="169" t="str">
        <f t="shared" si="329"/>
        <v/>
      </c>
      <c r="BL158" s="172" t="str">
        <f t="shared" si="330"/>
        <v/>
      </c>
      <c r="BM158" s="171" t="str">
        <f t="array" ref="BM158">IFERROR(IF(BG158="ac"+ISNUMBER(SEARCH("'",BL158))+BK158="","", IF(ISNUMBER(SEARCH("lw",BL158)), AY158 + SUBSTITUTE(BL158,"lw+",""), MROUND(SWITCH(BG158,"sq",BK$7,"bn",BL$7,"dl",BM$7,"")*IF(BL158&gt;10, BL158/100, VLOOKUP(BL158, _rpe,SUBSTITUTE(BK158,"+","")+1,0)), IF( SWITCH(BG158,"sq",BK$7,"bn",BL$7,"dl", BM$7,"")&lt; IF(_uom="lbs", 175, 80), 1.25, IF(_uom="lbs",5,2.5))))), "")</f>
        <v/>
      </c>
      <c r="BN158" s="148"/>
      <c r="BO158" s="33"/>
      <c r="BP158" s="171"/>
      <c r="BQ158" s="124" t="str">
        <f>IFERROR(__xludf.DUMMYFUNCTION("IF(BM158=MAX(FILTER(BM$10:BM$199,LOOKUP(ROW(BG$10:BG$199),FILTER(ROW(BG$10:BG$199),BG$10:BG$199&lt;&gt;BG$9:BG$198))=LOOKUP(ROW(BG158),FILTER(ROW(BG$10:BG$199),BG$10:BG$199&lt;&gt;BG$9:BG$198)))),BN158,)"),"")</f>
        <v/>
      </c>
      <c r="BR158" s="122"/>
      <c r="BS158" s="33"/>
      <c r="BT158" s="143" t="str">
        <f t="shared" si="19"/>
        <v/>
      </c>
      <c r="BU158" s="38" t="str">
        <f>IFERROR(__xludf.DUMMYFUNCTION("""COMPUTED_VALUE"""),"")</f>
        <v/>
      </c>
      <c r="BV158" s="144">
        <v>46146.0</v>
      </c>
      <c r="BW158" s="167" t="str">
        <f t="shared" si="20"/>
        <v/>
      </c>
      <c r="BX158" s="168" t="str">
        <f t="shared" si="331"/>
        <v/>
      </c>
      <c r="BY158" s="169" t="str">
        <f t="shared" si="332"/>
        <v/>
      </c>
      <c r="BZ158" s="172" t="str">
        <f t="shared" si="333"/>
        <v/>
      </c>
      <c r="CA158" s="171" t="str">
        <f t="array" ref="CA158">IFERROR(IF(BU158="ac"+ISNUMBER(SEARCH("'",BZ158))+BY158="","", IF(ISNUMBER(SEARCH("lw",BZ158)), BM158 + SUBSTITUTE(BZ158,"lw+",""), MROUND(SWITCH(BU158,"sq",BY$7,"bn",BZ$7,"dl",CA$7,"")*IF(BZ158&gt;10, BZ158/100, VLOOKUP(BZ158, _rpe,SUBSTITUTE(BY158,"+","")+1,0)), IF( SWITCH(BU158,"sq",BY$7,"bn",BZ$7,"dl", CA$7,"")&lt; IF(_uom="lbs", 175, 80), 1.25, IF(_uom="lbs",5,2.5))))), "")</f>
        <v/>
      </c>
      <c r="CB158" s="148"/>
      <c r="CC158" s="33"/>
      <c r="CD158" s="171"/>
      <c r="CE158" s="124" t="str">
        <f>IFERROR(__xludf.DUMMYFUNCTION("IF(CA158=MAX(FILTER(CA$10:CA$199,LOOKUP(ROW(BU$10:BU$199),FILTER(ROW(BU$10:BU$199),BU$10:BU$199&lt;&gt;BU$9:BU$198))=LOOKUP(ROW(BU158),FILTER(ROW(BU$10:BU$199),BU$10:BU$199&lt;&gt;BU$9:BU$198)))),CB158,)"),"")</f>
        <v/>
      </c>
      <c r="CF158" s="122"/>
      <c r="CG158" s="33"/>
      <c r="CH158" s="143" t="str">
        <f t="shared" si="21"/>
        <v/>
      </c>
      <c r="CI158" s="38" t="str">
        <f>IFERROR(__xludf.DUMMYFUNCTION("""COMPUTED_VALUE"""),"")</f>
        <v/>
      </c>
      <c r="CJ158" s="144">
        <v>46153.0</v>
      </c>
      <c r="CK158" s="167" t="str">
        <f t="shared" si="27"/>
        <v/>
      </c>
      <c r="CL158" s="168" t="str">
        <f t="shared" si="334"/>
        <v/>
      </c>
      <c r="CM158" s="169" t="str">
        <f t="shared" si="335"/>
        <v/>
      </c>
      <c r="CN158" s="172" t="str">
        <f t="shared" si="336"/>
        <v/>
      </c>
      <c r="CO158" s="171" t="str">
        <f t="array" ref="CO158">IFERROR(IF(CI158="ac"+ISNUMBER(SEARCH("'",CN158))+CM158="","", IF(ISNUMBER(SEARCH("lw",CN158)), CA158 + SUBSTITUTE(CN158,"lw+",""), MROUND(SWITCH(CI158,"sq",CM$7,"bn",CN$7,"dl",CO$7,"")*IF(CN158&gt;10, CN158/100, VLOOKUP(CN158, _rpe,SUBSTITUTE(CM158,"+","")+1,0)), IF( SWITCH(CI158,"sq",CM$7,"bn",CN$7,"dl", CO$7,"")&lt; IF(_uom="lbs", 175, 80), 1.25, IF(_uom="lbs",5,2.5))))), "")</f>
        <v/>
      </c>
      <c r="CP158" s="148"/>
      <c r="CQ158" s="33"/>
      <c r="CR158" s="171"/>
      <c r="CS158" s="124" t="str">
        <f>IFERROR(__xludf.DUMMYFUNCTION("IF(CO158=MAX(FILTER(CO$10:CO$199,LOOKUP(ROW(CI$10:CI$199),FILTER(ROW(CI$10:CI$199),CI$10:CI$199&lt;&gt;CI$9:CI$198))=LOOKUP(ROW(CI158),FILTER(ROW(CI$10:CI$199),CI$10:CI$199&lt;&gt;CI$9:CI$198)))),CP158,)"),"")</f>
        <v/>
      </c>
      <c r="CT158" s="122"/>
      <c r="CU158" s="33"/>
      <c r="CV158" s="143" t="str">
        <f t="shared" si="22"/>
        <v/>
      </c>
      <c r="CW158" s="38" t="str">
        <f>IFERROR(__xludf.DUMMYFUNCTION("""COMPUTED_VALUE"""),"")</f>
        <v/>
      </c>
      <c r="CX158" s="144">
        <v>46160.0</v>
      </c>
      <c r="CY158" s="167" t="str">
        <f t="shared" si="28"/>
        <v/>
      </c>
      <c r="CZ158" s="168" t="str">
        <f t="shared" si="337"/>
        <v/>
      </c>
      <c r="DA158" s="169" t="str">
        <f t="shared" si="338"/>
        <v/>
      </c>
      <c r="DB158" s="172" t="str">
        <f t="shared" si="339"/>
        <v/>
      </c>
      <c r="DC158" s="171" t="str">
        <f t="array" ref="DC158">IFERROR(IF(CW158="ac"+ISNUMBER(SEARCH("'",DB158))+DA158="","", IF(ISNUMBER(SEARCH("lw",DB158)), CO158 + SUBSTITUTE(DB158,"lw+",""), MROUND(SWITCH(CW158,"sq",DA$7,"bn",DB$7,"dl",DC$7,"")*IF(DB158&gt;10, DB158/100, VLOOKUP(DB158, _rpe,SUBSTITUTE(DA158,"+","")+1,0)), IF( SWITCH(CW158,"sq",DA$7,"bn",DB$7,"dl", DC$7,"")&lt; IF(_uom="lbs", 175, 80), 1.25, IF(_uom="lbs",5,2.5))))), "")</f>
        <v/>
      </c>
      <c r="DD158" s="148"/>
      <c r="DE158" s="33"/>
      <c r="DF158" s="171"/>
      <c r="DG158" s="124" t="str">
        <f>IFERROR(__xludf.DUMMYFUNCTION("IF(DC158=MAX(FILTER(DC$10:DC$199,LOOKUP(ROW(CW$10:CW$199),FILTER(ROW(CW$10:CW$199),CW$10:CW$199&lt;&gt;CW$9:CW$198))=LOOKUP(ROW(CW158),FILTER(ROW(CW$10:CW$199),CW$10:CW$199&lt;&gt;CW$9:CW$198)))),DD158,)"),"")</f>
        <v/>
      </c>
      <c r="DH158" s="122"/>
      <c r="DI158" s="33"/>
      <c r="DJ158" s="143" t="str">
        <f t="shared" si="23"/>
        <v/>
      </c>
      <c r="DK158" s="38" t="str">
        <f>IFERROR(__xludf.DUMMYFUNCTION("""COMPUTED_VALUE"""),"")</f>
        <v/>
      </c>
      <c r="DL158" s="144">
        <v>46167.0</v>
      </c>
      <c r="DM158" s="167" t="str">
        <f t="shared" ref="DM158:DN158" si="410">IF(ISBLANK(CY158),"",CY158)</f>
        <v/>
      </c>
      <c r="DN158" s="168" t="str">
        <f t="shared" si="410"/>
        <v/>
      </c>
      <c r="DO158" s="169" t="str">
        <f t="shared" si="341"/>
        <v/>
      </c>
      <c r="DP158" s="172" t="str">
        <f t="shared" si="342"/>
        <v/>
      </c>
      <c r="DQ158" s="171" t="str">
        <f t="array" ref="DQ158">IFERROR(IF(DK158="ac"+ISNUMBER(SEARCH("'",DP158))+DO158="","", IF(ISNUMBER(SEARCH("lw",DP158)), DC158 + SUBSTITUTE(DP158,"lw+",""), MROUND(SWITCH(DK158,"sq",DO$7,"bn",DP$7,"dl",DQ$7,"")*IF(DP158&gt;10, DP158/100, VLOOKUP(DP158, _rpe,SUBSTITUTE(DO158,"+","")+1,0)), IF( SWITCH(DK158,"sq",DO$7,"bn",DP$7,"dl", DQ$7,"")&lt; IF(_uom="lbs", 175, 80), 1.25, IF(_uom="lbs",5,2.5))))), "")</f>
        <v/>
      </c>
      <c r="DR158" s="148"/>
      <c r="DS158" s="33"/>
      <c r="DT158" s="171"/>
      <c r="DU158" s="124" t="str">
        <f>IFERROR(__xludf.DUMMYFUNCTION("IF(DQ158=MAX(FILTER(DQ$10:DQ$199,LOOKUP(ROW(DK$10:DK$199),FILTER(ROW(DK$10:DK$199),DK$10:DK$199&lt;&gt;DK$9:DK$198))=LOOKUP(ROW(DK158),FILTER(ROW(DK$10:DK$199),DK$10:DK$199&lt;&gt;DK$9:DK$198)))),DR158,)"),"")</f>
        <v/>
      </c>
      <c r="DV158" s="122"/>
      <c r="DW158" s="33"/>
      <c r="DX158" s="143"/>
      <c r="DY158" s="38"/>
      <c r="DZ158" s="144"/>
      <c r="EA158" s="150"/>
      <c r="EB158" s="174"/>
      <c r="EC158" s="175"/>
      <c r="ED158" s="176"/>
      <c r="EE158" s="155"/>
      <c r="EF158" s="148"/>
      <c r="EG158" s="33"/>
      <c r="EH158" s="155"/>
      <c r="EI158" s="148"/>
      <c r="EJ158" s="33"/>
      <c r="EK158" s="33"/>
      <c r="EL158" s="143"/>
      <c r="EM158" s="38"/>
      <c r="EN158" s="144"/>
      <c r="EO158" s="150"/>
      <c r="EP158" s="174"/>
      <c r="EQ158" s="175"/>
      <c r="ER158" s="176"/>
      <c r="ES158" s="155"/>
      <c r="ET158" s="148"/>
      <c r="EU158" s="33"/>
      <c r="EV158" s="155"/>
      <c r="EW158" s="148"/>
      <c r="EX158" s="33"/>
      <c r="EY158" s="33"/>
      <c r="EZ158" s="143"/>
      <c r="FA158" s="38"/>
      <c r="FB158" s="144"/>
      <c r="FC158" s="150"/>
      <c r="FD158" s="174"/>
      <c r="FE158" s="175"/>
      <c r="FF158" s="176"/>
      <c r="FG158" s="155"/>
      <c r="FH158" s="148"/>
      <c r="FI158" s="33"/>
      <c r="FJ158" s="155"/>
      <c r="FK158" s="148"/>
      <c r="FL158" s="33"/>
      <c r="FM158" s="33"/>
      <c r="FN158" s="143"/>
      <c r="FO158" s="38"/>
      <c r="FP158" s="144"/>
      <c r="FQ158" s="150"/>
      <c r="FR158" s="174"/>
      <c r="FS158" s="175"/>
      <c r="FT158" s="176"/>
      <c r="FU158" s="155"/>
      <c r="FV158" s="148"/>
      <c r="FW158" s="33"/>
      <c r="FX158" s="155"/>
      <c r="FY158" s="148"/>
      <c r="FZ158" s="33"/>
      <c r="GA158" s="33"/>
      <c r="GB158" s="143"/>
      <c r="GC158" s="38"/>
      <c r="GD158" s="144"/>
      <c r="GE158" s="150"/>
      <c r="GF158" s="174"/>
      <c r="GG158" s="175"/>
      <c r="GH158" s="176"/>
      <c r="GI158" s="155"/>
      <c r="GJ158" s="148"/>
      <c r="GK158" s="33"/>
      <c r="GL158" s="155"/>
      <c r="GM158" s="148"/>
      <c r="GN158" s="33"/>
      <c r="GO158" s="33"/>
      <c r="GP158" s="143"/>
      <c r="GQ158" s="38"/>
      <c r="GR158" s="144"/>
      <c r="GS158" s="150"/>
      <c r="GT158" s="174"/>
      <c r="GU158" s="175"/>
      <c r="GV158" s="176"/>
      <c r="GW158" s="155"/>
      <c r="GX158" s="148"/>
      <c r="GY158" s="33"/>
      <c r="GZ158" s="155"/>
      <c r="HA158" s="148"/>
      <c r="HB158" s="33"/>
      <c r="HC158" s="33"/>
      <c r="HD158" s="143"/>
      <c r="HE158" s="38"/>
      <c r="HF158" s="144"/>
      <c r="HG158" s="150"/>
      <c r="HH158" s="174"/>
      <c r="HI158" s="175"/>
      <c r="HJ158" s="176"/>
      <c r="HK158" s="155"/>
      <c r="HL158" s="148"/>
      <c r="HM158" s="33"/>
      <c r="HN158" s="155"/>
      <c r="HO158" s="148"/>
      <c r="HP158" s="33"/>
      <c r="HQ158" s="33"/>
      <c r="HR158" s="143"/>
      <c r="HS158" s="38"/>
      <c r="HT158" s="144"/>
      <c r="HU158" s="150"/>
      <c r="HV158" s="174"/>
      <c r="HW158" s="175"/>
      <c r="HX158" s="176"/>
      <c r="HY158" s="155"/>
      <c r="HZ158" s="148"/>
      <c r="IA158" s="33"/>
      <c r="IB158" s="155"/>
      <c r="IC158" s="148"/>
      <c r="ID158" s="33"/>
      <c r="IE158" s="33"/>
      <c r="IF158" s="143"/>
      <c r="IG158" s="38"/>
      <c r="IH158" s="144"/>
      <c r="II158" s="150"/>
      <c r="IJ158" s="174"/>
      <c r="IK158" s="175"/>
      <c r="IL158" s="176"/>
      <c r="IM158" s="155"/>
      <c r="IN158" s="148"/>
      <c r="IO158" s="33"/>
      <c r="IP158" s="155"/>
      <c r="IQ158" s="148"/>
      <c r="IR158" s="33"/>
      <c r="IS158" s="33"/>
      <c r="IT158" s="143"/>
      <c r="IU158" s="38"/>
      <c r="IV158" s="144"/>
      <c r="IW158" s="143"/>
      <c r="IX158" s="38"/>
      <c r="IY158" s="144" t="e">
        <v>#REF!</v>
      </c>
    </row>
    <row r="159">
      <c r="A159" s="33"/>
      <c r="B159" s="181"/>
      <c r="C159" s="38" t="str">
        <f>IFERROR(__xludf.DUMMYFUNCTION("""COMPUTED_VALUE"""),"")</f>
        <v/>
      </c>
      <c r="D159" s="144">
        <v>46111.0</v>
      </c>
      <c r="E159" s="182"/>
      <c r="F159" s="168"/>
      <c r="G159" s="169"/>
      <c r="H159" s="170"/>
      <c r="I159" s="171" t="str">
        <f t="array" ref="I159">IFERROR(IF(C159="ac"+ISNUMBER(SEARCH("'",H159))+G159="","", MROUND(SWITCH(C159,"sq",'Personal Info'!$O$15,"bn",'Personal Info'!$S$15,"dl",'Personal Info'!$W$15,"")*IF(H159&gt;10, H159/100, VLOOKUP(H159, _rpe,SUBSTITUTE(G159,"+","")+1,0)), IF( SWITCH(C159:C210,"sq",'Personal Info'!$O$15,"bn",'Personal Info'!$S$15,"dl", 'Personal Info'!$W$15,"")&lt; IF(_uom="lbs", 175, 80), 1.25, IF(_uom="lbs",5,2.5)))),"")</f>
        <v/>
      </c>
      <c r="J159" s="148"/>
      <c r="K159" s="33"/>
      <c r="L159" s="171"/>
      <c r="M159" s="124" t="str">
        <f>IFERROR(__xludf.DUMMYFUNCTION("IF(I159=MAX(FILTER(I$10:I$199,LOOKUP(ROW(C$10:C$199),FILTER(ROW(C$10:C$199),C$10:C$199&lt;&gt;C$9:C$198))=LOOKUP(ROW(C159),FILTER(ROW(C$10:C$199),C$10:C$199&lt;&gt;C$9:C$198)))),J159,)"),"")</f>
        <v/>
      </c>
      <c r="N159" s="122"/>
      <c r="O159" s="33"/>
      <c r="P159" s="143" t="str">
        <f t="shared" si="12"/>
        <v/>
      </c>
      <c r="Q159" s="38" t="str">
        <f>IFERROR(__xludf.DUMMYFUNCTION("""COMPUTED_VALUE"""),"")</f>
        <v/>
      </c>
      <c r="R159" s="144">
        <v>46118.0</v>
      </c>
      <c r="S159" s="167" t="str">
        <f t="shared" si="13"/>
        <v/>
      </c>
      <c r="T159" s="168" t="str">
        <f t="shared" si="319"/>
        <v/>
      </c>
      <c r="U159" s="169" t="str">
        <f t="shared" si="320"/>
        <v/>
      </c>
      <c r="V159" s="172" t="str">
        <f t="shared" si="321"/>
        <v/>
      </c>
      <c r="W159" s="171" t="str">
        <f t="array" ref="W159">IFERROR(IF(Q159="ac"+ISNUMBER(SEARCH("'",V159))+U159="","", IF(ISNUMBER(SEARCH("lw",V159)), I159 + SUBSTITUTE(V159,"lw+",""), MROUND(SWITCH(Q159,"sq",U$7,"bn",V$7,"dl",W$7,"")*IF(V159&gt;10, V159/100, VLOOKUP(V159, _rpe,SUBSTITUTE(U159,"+","")+1,0)), IF( SWITCH(Q159,"sq",U$7,"bn",V$7,"dl", W$7,"")&lt; IF(_uom="lbs", 175, 80), 1.25, IF(_uom="lbs",5,2.5))))), "")</f>
        <v/>
      </c>
      <c r="X159" s="148"/>
      <c r="Y159" s="33"/>
      <c r="Z159" s="171"/>
      <c r="AA159" s="124" t="str">
        <f>IFERROR(__xludf.DUMMYFUNCTION("IF(W159=MAX(FILTER(W$10:W$199,LOOKUP(ROW(Q$10:Q$199),FILTER(ROW(Q$10:Q$199),Q$10:Q$199&lt;&gt;Q$9:Q$198))=LOOKUP(ROW(Q159),FILTER(ROW(Q$10:Q$199),Q$10:Q$199&lt;&gt;Q$9:Q$198)))),X159,)"),"")</f>
        <v/>
      </c>
      <c r="AB159" s="122"/>
      <c r="AC159" s="33"/>
      <c r="AD159" s="143" t="str">
        <f t="shared" si="14"/>
        <v/>
      </c>
      <c r="AE159" s="38" t="str">
        <f>IFERROR(__xludf.DUMMYFUNCTION("""COMPUTED_VALUE"""),"")</f>
        <v/>
      </c>
      <c r="AF159" s="144">
        <v>46125.0</v>
      </c>
      <c r="AG159" s="167" t="str">
        <f t="shared" si="54"/>
        <v/>
      </c>
      <c r="AH159" s="168" t="str">
        <f t="shared" si="322"/>
        <v/>
      </c>
      <c r="AI159" s="169" t="str">
        <f t="shared" si="323"/>
        <v/>
      </c>
      <c r="AJ159" s="172" t="str">
        <f t="shared" si="324"/>
        <v/>
      </c>
      <c r="AK159" s="171" t="str">
        <f t="array" ref="AK159">IFERROR(IF(AE159="ac"+ISNUMBER(SEARCH("'",AJ159))+AI159="","", IF(ISNUMBER(SEARCH("lw",AJ159)), W159 + SUBSTITUTE(AJ159,"lw+",""), MROUND(SWITCH(AE159,"sq",AI$7,"bn",AJ$7,"dl",AK$7,"")*IF(AJ159&gt;10, AJ159/100, VLOOKUP(AJ159, _rpe,SUBSTITUTE(AI159,"+","")+1,0)), IF( SWITCH(AE159,"sq",AI$7,"bn",AJ$7,"dl", AK$7,"")&lt; IF(_uom="lbs", 175, 80), 1.25, IF(_uom="lbs",5,2.5))))), "")</f>
        <v/>
      </c>
      <c r="AL159" s="148"/>
      <c r="AM159" s="33"/>
      <c r="AN159" s="171"/>
      <c r="AO159" s="124" t="str">
        <f>IFERROR(__xludf.DUMMYFUNCTION("IF(AK159=MAX(FILTER(AK$10:AK$199,LOOKUP(ROW(AE$10:AE$199),FILTER(ROW(AE$10:AE$199),AE$10:AE$199&lt;&gt;AE$9:AE$198))=LOOKUP(ROW(AE159),FILTER(ROW(AE$10:AE$199),AE$10:AE$199&lt;&gt;AE$9:AE$198)))),AL159,)"),"")</f>
        <v/>
      </c>
      <c r="AP159" s="122"/>
      <c r="AQ159" s="33"/>
      <c r="AR159" s="143" t="str">
        <f t="shared" si="16"/>
        <v/>
      </c>
      <c r="AS159" s="38" t="str">
        <f>IFERROR(__xludf.DUMMYFUNCTION("""COMPUTED_VALUE"""),"")</f>
        <v/>
      </c>
      <c r="AT159" s="144">
        <v>46132.0</v>
      </c>
      <c r="AU159" s="167" t="str">
        <f t="shared" si="26"/>
        <v/>
      </c>
      <c r="AV159" s="168" t="str">
        <f t="shared" si="325"/>
        <v/>
      </c>
      <c r="AW159" s="169" t="str">
        <f t="shared" si="326"/>
        <v/>
      </c>
      <c r="AX159" s="172" t="str">
        <f t="shared" si="327"/>
        <v/>
      </c>
      <c r="AY159" s="171" t="str">
        <f t="array" ref="AY159">IFERROR(IF(AS159="ac"+ISNUMBER(SEARCH("'",AX159))+AW159="","", IF(ISNUMBER(SEARCH("lw",AX159)), AK159 + SUBSTITUTE(AX159,"lw+",""), MROUND(SWITCH(AS159,"sq",AW$7,"bn",AX$7,"dl",AY$7,"")*IF(AX159&gt;10, AX159/100, VLOOKUP(AX159, _rpe,SUBSTITUTE(AW159,"+","")+1,0)), IF( SWITCH(AS159,"sq",AW$7,"bn",AX$7,"dl", AY$7,"")&lt; IF(_uom="lbs", 175, 80), 1.25, IF(_uom="lbs",5,2.5))))), "")</f>
        <v/>
      </c>
      <c r="AZ159" s="148"/>
      <c r="BA159" s="33"/>
      <c r="BB159" s="171"/>
      <c r="BC159" s="124" t="str">
        <f>IFERROR(__xludf.DUMMYFUNCTION("IF(AY159=MAX(FILTER(AY$10:AY$199,LOOKUP(ROW(AS$10:AS$199),FILTER(ROW(AS$10:AS$199),AS$10:AS$199&lt;&gt;AS$9:AS$198))=LOOKUP(ROW(AS159),FILTER(ROW(AS$10:AS$199),AS$10:AS$199&lt;&gt;AS$9:AS$198)))),AZ159,)"),"")</f>
        <v/>
      </c>
      <c r="BD159" s="122"/>
      <c r="BE159" s="33"/>
      <c r="BF159" s="143" t="str">
        <f t="shared" si="17"/>
        <v/>
      </c>
      <c r="BG159" s="38" t="str">
        <f>IFERROR(__xludf.DUMMYFUNCTION("""COMPUTED_VALUE"""),"")</f>
        <v/>
      </c>
      <c r="BH159" s="144">
        <v>46139.0</v>
      </c>
      <c r="BI159" s="167" t="str">
        <f t="shared" si="18"/>
        <v/>
      </c>
      <c r="BJ159" s="168" t="str">
        <f t="shared" si="328"/>
        <v/>
      </c>
      <c r="BK159" s="169" t="str">
        <f t="shared" si="329"/>
        <v/>
      </c>
      <c r="BL159" s="172" t="str">
        <f t="shared" si="330"/>
        <v/>
      </c>
      <c r="BM159" s="171" t="str">
        <f t="array" ref="BM159">IFERROR(IF(BG159="ac"+ISNUMBER(SEARCH("'",BL159))+BK159="","", IF(ISNUMBER(SEARCH("lw",BL159)), AY159 + SUBSTITUTE(BL159,"lw+",""), MROUND(SWITCH(BG159,"sq",BK$7,"bn",BL$7,"dl",BM$7,"")*IF(BL159&gt;10, BL159/100, VLOOKUP(BL159, _rpe,SUBSTITUTE(BK159,"+","")+1,0)), IF( SWITCH(BG159,"sq",BK$7,"bn",BL$7,"dl", BM$7,"")&lt; IF(_uom="lbs", 175, 80), 1.25, IF(_uom="lbs",5,2.5))))), "")</f>
        <v/>
      </c>
      <c r="BN159" s="148"/>
      <c r="BO159" s="33"/>
      <c r="BP159" s="171"/>
      <c r="BQ159" s="124" t="str">
        <f>IFERROR(__xludf.DUMMYFUNCTION("IF(BM159=MAX(FILTER(BM$10:BM$199,LOOKUP(ROW(BG$10:BG$199),FILTER(ROW(BG$10:BG$199),BG$10:BG$199&lt;&gt;BG$9:BG$198))=LOOKUP(ROW(BG159),FILTER(ROW(BG$10:BG$199),BG$10:BG$199&lt;&gt;BG$9:BG$198)))),BN159,)"),"")</f>
        <v/>
      </c>
      <c r="BR159" s="122"/>
      <c r="BS159" s="33"/>
      <c r="BT159" s="143" t="str">
        <f t="shared" si="19"/>
        <v/>
      </c>
      <c r="BU159" s="38" t="str">
        <f>IFERROR(__xludf.DUMMYFUNCTION("""COMPUTED_VALUE"""),"")</f>
        <v/>
      </c>
      <c r="BV159" s="144">
        <v>46146.0</v>
      </c>
      <c r="BW159" s="167" t="str">
        <f t="shared" si="20"/>
        <v/>
      </c>
      <c r="BX159" s="168" t="str">
        <f t="shared" si="331"/>
        <v/>
      </c>
      <c r="BY159" s="169" t="str">
        <f t="shared" si="332"/>
        <v/>
      </c>
      <c r="BZ159" s="172" t="str">
        <f t="shared" si="333"/>
        <v/>
      </c>
      <c r="CA159" s="171" t="str">
        <f t="array" ref="CA159">IFERROR(IF(BU159="ac"+ISNUMBER(SEARCH("'",BZ159))+BY159="","", IF(ISNUMBER(SEARCH("lw",BZ159)), BM159 + SUBSTITUTE(BZ159,"lw+",""), MROUND(SWITCH(BU159,"sq",BY$7,"bn",BZ$7,"dl",CA$7,"")*IF(BZ159&gt;10, BZ159/100, VLOOKUP(BZ159, _rpe,SUBSTITUTE(BY159,"+","")+1,0)), IF( SWITCH(BU159,"sq",BY$7,"bn",BZ$7,"dl", CA$7,"")&lt; IF(_uom="lbs", 175, 80), 1.25, IF(_uom="lbs",5,2.5))))), "")</f>
        <v/>
      </c>
      <c r="CB159" s="148"/>
      <c r="CC159" s="33"/>
      <c r="CD159" s="171"/>
      <c r="CE159" s="124" t="str">
        <f>IFERROR(__xludf.DUMMYFUNCTION("IF(CA159=MAX(FILTER(CA$10:CA$199,LOOKUP(ROW(BU$10:BU$199),FILTER(ROW(BU$10:BU$199),BU$10:BU$199&lt;&gt;BU$9:BU$198))=LOOKUP(ROW(BU159),FILTER(ROW(BU$10:BU$199),BU$10:BU$199&lt;&gt;BU$9:BU$198)))),CB159,)"),"")</f>
        <v/>
      </c>
      <c r="CF159" s="122"/>
      <c r="CG159" s="33"/>
      <c r="CH159" s="143" t="str">
        <f t="shared" si="21"/>
        <v/>
      </c>
      <c r="CI159" s="38" t="str">
        <f>IFERROR(__xludf.DUMMYFUNCTION("""COMPUTED_VALUE"""),"")</f>
        <v/>
      </c>
      <c r="CJ159" s="144">
        <v>46153.0</v>
      </c>
      <c r="CK159" s="167" t="str">
        <f t="shared" si="27"/>
        <v/>
      </c>
      <c r="CL159" s="168" t="str">
        <f t="shared" si="334"/>
        <v/>
      </c>
      <c r="CM159" s="169" t="str">
        <f t="shared" si="335"/>
        <v/>
      </c>
      <c r="CN159" s="172" t="str">
        <f t="shared" si="336"/>
        <v/>
      </c>
      <c r="CO159" s="171" t="str">
        <f t="array" ref="CO159">IFERROR(IF(CI159="ac"+ISNUMBER(SEARCH("'",CN159))+CM159="","", IF(ISNUMBER(SEARCH("lw",CN159)), CA159 + SUBSTITUTE(CN159,"lw+",""), MROUND(SWITCH(CI159,"sq",CM$7,"bn",CN$7,"dl",CO$7,"")*IF(CN159&gt;10, CN159/100, VLOOKUP(CN159, _rpe,SUBSTITUTE(CM159,"+","")+1,0)), IF( SWITCH(CI159,"sq",CM$7,"bn",CN$7,"dl", CO$7,"")&lt; IF(_uom="lbs", 175, 80), 1.25, IF(_uom="lbs",5,2.5))))), "")</f>
        <v/>
      </c>
      <c r="CP159" s="148"/>
      <c r="CQ159" s="33"/>
      <c r="CR159" s="171"/>
      <c r="CS159" s="124" t="str">
        <f>IFERROR(__xludf.DUMMYFUNCTION("IF(CO159=MAX(FILTER(CO$10:CO$199,LOOKUP(ROW(CI$10:CI$199),FILTER(ROW(CI$10:CI$199),CI$10:CI$199&lt;&gt;CI$9:CI$198))=LOOKUP(ROW(CI159),FILTER(ROW(CI$10:CI$199),CI$10:CI$199&lt;&gt;CI$9:CI$198)))),CP159,)"),"")</f>
        <v/>
      </c>
      <c r="CT159" s="122"/>
      <c r="CU159" s="33"/>
      <c r="CV159" s="143" t="str">
        <f t="shared" si="22"/>
        <v/>
      </c>
      <c r="CW159" s="38" t="str">
        <f>IFERROR(__xludf.DUMMYFUNCTION("""COMPUTED_VALUE"""),"")</f>
        <v/>
      </c>
      <c r="CX159" s="144">
        <v>46160.0</v>
      </c>
      <c r="CY159" s="167" t="str">
        <f t="shared" si="28"/>
        <v/>
      </c>
      <c r="CZ159" s="168" t="str">
        <f t="shared" si="337"/>
        <v/>
      </c>
      <c r="DA159" s="169" t="str">
        <f t="shared" si="338"/>
        <v/>
      </c>
      <c r="DB159" s="172" t="str">
        <f t="shared" si="339"/>
        <v/>
      </c>
      <c r="DC159" s="171" t="str">
        <f t="array" ref="DC159">IFERROR(IF(CW159="ac"+ISNUMBER(SEARCH("'",DB159))+DA159="","", IF(ISNUMBER(SEARCH("lw",DB159)), CO159 + SUBSTITUTE(DB159,"lw+",""), MROUND(SWITCH(CW159,"sq",DA$7,"bn",DB$7,"dl",DC$7,"")*IF(DB159&gt;10, DB159/100, VLOOKUP(DB159, _rpe,SUBSTITUTE(DA159,"+","")+1,0)), IF( SWITCH(CW159,"sq",DA$7,"bn",DB$7,"dl", DC$7,"")&lt; IF(_uom="lbs", 175, 80), 1.25, IF(_uom="lbs",5,2.5))))), "")</f>
        <v/>
      </c>
      <c r="DD159" s="148"/>
      <c r="DE159" s="33"/>
      <c r="DF159" s="171"/>
      <c r="DG159" s="124" t="str">
        <f>IFERROR(__xludf.DUMMYFUNCTION("IF(DC159=MAX(FILTER(DC$10:DC$199,LOOKUP(ROW(CW$10:CW$199),FILTER(ROW(CW$10:CW$199),CW$10:CW$199&lt;&gt;CW$9:CW$198))=LOOKUP(ROW(CW159),FILTER(ROW(CW$10:CW$199),CW$10:CW$199&lt;&gt;CW$9:CW$198)))),DD159,)"),"")</f>
        <v/>
      </c>
      <c r="DH159" s="122"/>
      <c r="DI159" s="33"/>
      <c r="DJ159" s="143" t="str">
        <f t="shared" si="23"/>
        <v/>
      </c>
      <c r="DK159" s="38" t="str">
        <f>IFERROR(__xludf.DUMMYFUNCTION("""COMPUTED_VALUE"""),"")</f>
        <v/>
      </c>
      <c r="DL159" s="144">
        <v>46167.0</v>
      </c>
      <c r="DM159" s="167" t="str">
        <f t="shared" ref="DM159:DN159" si="411">IF(ISBLANK(CY159),"",CY159)</f>
        <v/>
      </c>
      <c r="DN159" s="168" t="str">
        <f t="shared" si="411"/>
        <v/>
      </c>
      <c r="DO159" s="169" t="str">
        <f t="shared" si="341"/>
        <v/>
      </c>
      <c r="DP159" s="172" t="str">
        <f t="shared" si="342"/>
        <v/>
      </c>
      <c r="DQ159" s="171" t="str">
        <f t="array" ref="DQ159">IFERROR(IF(DK159="ac"+ISNUMBER(SEARCH("'",DP159))+DO159="","", IF(ISNUMBER(SEARCH("lw",DP159)), DC159 + SUBSTITUTE(DP159,"lw+",""), MROUND(SWITCH(DK159,"sq",DO$7,"bn",DP$7,"dl",DQ$7,"")*IF(DP159&gt;10, DP159/100, VLOOKUP(DP159, _rpe,SUBSTITUTE(DO159,"+","")+1,0)), IF( SWITCH(DK159,"sq",DO$7,"bn",DP$7,"dl", DQ$7,"")&lt; IF(_uom="lbs", 175, 80), 1.25, IF(_uom="lbs",5,2.5))))), "")</f>
        <v/>
      </c>
      <c r="DR159" s="148"/>
      <c r="DS159" s="33"/>
      <c r="DT159" s="171"/>
      <c r="DU159" s="124" t="str">
        <f>IFERROR(__xludf.DUMMYFUNCTION("IF(DQ159=MAX(FILTER(DQ$10:DQ$199,LOOKUP(ROW(DK$10:DK$199),FILTER(ROW(DK$10:DK$199),DK$10:DK$199&lt;&gt;DK$9:DK$198))=LOOKUP(ROW(DK159),FILTER(ROW(DK$10:DK$199),DK$10:DK$199&lt;&gt;DK$9:DK$198)))),DR159,)"),"")</f>
        <v/>
      </c>
      <c r="DV159" s="122"/>
      <c r="DW159" s="33"/>
      <c r="DX159" s="143"/>
      <c r="DY159" s="38"/>
      <c r="DZ159" s="144"/>
      <c r="EA159" s="150"/>
      <c r="EB159" s="174"/>
      <c r="EC159" s="175"/>
      <c r="ED159" s="176"/>
      <c r="EE159" s="155"/>
      <c r="EF159" s="148"/>
      <c r="EG159" s="33"/>
      <c r="EH159" s="155"/>
      <c r="EI159" s="148"/>
      <c r="EJ159" s="33"/>
      <c r="EK159" s="33"/>
      <c r="EL159" s="143"/>
      <c r="EM159" s="38"/>
      <c r="EN159" s="144"/>
      <c r="EO159" s="150"/>
      <c r="EP159" s="174"/>
      <c r="EQ159" s="175"/>
      <c r="ER159" s="176"/>
      <c r="ES159" s="155"/>
      <c r="ET159" s="148"/>
      <c r="EU159" s="33"/>
      <c r="EV159" s="155"/>
      <c r="EW159" s="148"/>
      <c r="EX159" s="33"/>
      <c r="EY159" s="33"/>
      <c r="EZ159" s="143"/>
      <c r="FA159" s="38"/>
      <c r="FB159" s="144"/>
      <c r="FC159" s="150"/>
      <c r="FD159" s="174"/>
      <c r="FE159" s="175"/>
      <c r="FF159" s="176"/>
      <c r="FG159" s="155"/>
      <c r="FH159" s="148"/>
      <c r="FI159" s="33"/>
      <c r="FJ159" s="155"/>
      <c r="FK159" s="148"/>
      <c r="FL159" s="33"/>
      <c r="FM159" s="33"/>
      <c r="FN159" s="143"/>
      <c r="FO159" s="38"/>
      <c r="FP159" s="144"/>
      <c r="FQ159" s="150"/>
      <c r="FR159" s="174"/>
      <c r="FS159" s="175"/>
      <c r="FT159" s="176"/>
      <c r="FU159" s="155"/>
      <c r="FV159" s="148"/>
      <c r="FW159" s="33"/>
      <c r="FX159" s="155"/>
      <c r="FY159" s="148"/>
      <c r="FZ159" s="33"/>
      <c r="GA159" s="33"/>
      <c r="GB159" s="143"/>
      <c r="GC159" s="38"/>
      <c r="GD159" s="144"/>
      <c r="GE159" s="150"/>
      <c r="GF159" s="174"/>
      <c r="GG159" s="175"/>
      <c r="GH159" s="176"/>
      <c r="GI159" s="155"/>
      <c r="GJ159" s="148"/>
      <c r="GK159" s="33"/>
      <c r="GL159" s="155"/>
      <c r="GM159" s="148"/>
      <c r="GN159" s="33"/>
      <c r="GO159" s="33"/>
      <c r="GP159" s="143"/>
      <c r="GQ159" s="38"/>
      <c r="GR159" s="144"/>
      <c r="GS159" s="150"/>
      <c r="GT159" s="174"/>
      <c r="GU159" s="175"/>
      <c r="GV159" s="176"/>
      <c r="GW159" s="155"/>
      <c r="GX159" s="148"/>
      <c r="GY159" s="33"/>
      <c r="GZ159" s="155"/>
      <c r="HA159" s="148"/>
      <c r="HB159" s="33"/>
      <c r="HC159" s="33"/>
      <c r="HD159" s="143"/>
      <c r="HE159" s="38"/>
      <c r="HF159" s="144"/>
      <c r="HG159" s="150"/>
      <c r="HH159" s="174"/>
      <c r="HI159" s="175"/>
      <c r="HJ159" s="176"/>
      <c r="HK159" s="155"/>
      <c r="HL159" s="148"/>
      <c r="HM159" s="33"/>
      <c r="HN159" s="155"/>
      <c r="HO159" s="148"/>
      <c r="HP159" s="33"/>
      <c r="HQ159" s="33"/>
      <c r="HR159" s="143"/>
      <c r="HS159" s="38"/>
      <c r="HT159" s="144"/>
      <c r="HU159" s="150"/>
      <c r="HV159" s="174"/>
      <c r="HW159" s="175"/>
      <c r="HX159" s="176"/>
      <c r="HY159" s="155"/>
      <c r="HZ159" s="148"/>
      <c r="IA159" s="33"/>
      <c r="IB159" s="155"/>
      <c r="IC159" s="148"/>
      <c r="ID159" s="33"/>
      <c r="IE159" s="33"/>
      <c r="IF159" s="143"/>
      <c r="IG159" s="38"/>
      <c r="IH159" s="144"/>
      <c r="II159" s="150"/>
      <c r="IJ159" s="174"/>
      <c r="IK159" s="175"/>
      <c r="IL159" s="176"/>
      <c r="IM159" s="155"/>
      <c r="IN159" s="148"/>
      <c r="IO159" s="33"/>
      <c r="IP159" s="155"/>
      <c r="IQ159" s="148"/>
      <c r="IR159" s="33"/>
      <c r="IS159" s="33"/>
      <c r="IT159" s="143"/>
      <c r="IU159" s="38"/>
      <c r="IV159" s="144"/>
      <c r="IW159" s="143"/>
      <c r="IX159" s="38"/>
      <c r="IY159" s="144" t="e">
        <v>#REF!</v>
      </c>
    </row>
    <row r="160">
      <c r="A160" s="33"/>
      <c r="B160" s="181"/>
      <c r="C160" s="38" t="str">
        <f>IFERROR(__xludf.DUMMYFUNCTION("""COMPUTED_VALUE"""),"")</f>
        <v/>
      </c>
      <c r="D160" s="144">
        <v>46111.0</v>
      </c>
      <c r="E160" s="182"/>
      <c r="F160" s="168"/>
      <c r="G160" s="169"/>
      <c r="H160" s="170"/>
      <c r="I160" s="171" t="str">
        <f t="array" ref="I160">IFERROR(IF(C160="ac"+ISNUMBER(SEARCH("'",H160))+G160="","", MROUND(SWITCH(C160,"sq",'Personal Info'!$O$15,"bn",'Personal Info'!$S$15,"dl",'Personal Info'!$W$15,"")*IF(H160&gt;10, H160/100, VLOOKUP(H160, _rpe,SUBSTITUTE(G160,"+","")+1,0)), IF( SWITCH(C160:C210,"sq",'Personal Info'!$O$15,"bn",'Personal Info'!$S$15,"dl", 'Personal Info'!$W$15,"")&lt; IF(_uom="lbs", 175, 80), 1.25, IF(_uom="lbs",5,2.5)))),"")</f>
        <v/>
      </c>
      <c r="J160" s="148"/>
      <c r="K160" s="33"/>
      <c r="L160" s="171"/>
      <c r="M160" s="124" t="str">
        <f>IFERROR(__xludf.DUMMYFUNCTION("IF(I160=MAX(FILTER(I$10:I$199,LOOKUP(ROW(C$10:C$199),FILTER(ROW(C$10:C$199),C$10:C$199&lt;&gt;C$9:C$198))=LOOKUP(ROW(C160),FILTER(ROW(C$10:C$199),C$10:C$199&lt;&gt;C$9:C$198)))),J160,)"),"")</f>
        <v/>
      </c>
      <c r="N160" s="122"/>
      <c r="O160" s="33"/>
      <c r="P160" s="143" t="str">
        <f t="shared" si="12"/>
        <v/>
      </c>
      <c r="Q160" s="38" t="str">
        <f>IFERROR(__xludf.DUMMYFUNCTION("""COMPUTED_VALUE"""),"")</f>
        <v/>
      </c>
      <c r="R160" s="144">
        <v>46118.0</v>
      </c>
      <c r="S160" s="167" t="str">
        <f t="shared" si="13"/>
        <v/>
      </c>
      <c r="T160" s="168" t="str">
        <f t="shared" si="319"/>
        <v/>
      </c>
      <c r="U160" s="169" t="str">
        <f t="shared" si="320"/>
        <v/>
      </c>
      <c r="V160" s="172" t="str">
        <f t="shared" si="321"/>
        <v/>
      </c>
      <c r="W160" s="171" t="str">
        <f t="array" ref="W160">IFERROR(IF(Q160="ac"+ISNUMBER(SEARCH("'",V160))+U160="","", IF(ISNUMBER(SEARCH("lw",V160)), I160 + SUBSTITUTE(V160,"lw+",""), MROUND(SWITCH(Q160,"sq",U$7,"bn",V$7,"dl",W$7,"")*IF(V160&gt;10, V160/100, VLOOKUP(V160, _rpe,SUBSTITUTE(U160,"+","")+1,0)), IF( SWITCH(Q160,"sq",U$7,"bn",V$7,"dl", W$7,"")&lt; IF(_uom="lbs", 175, 80), 1.25, IF(_uom="lbs",5,2.5))))), "")</f>
        <v/>
      </c>
      <c r="X160" s="148"/>
      <c r="Y160" s="33"/>
      <c r="Z160" s="171"/>
      <c r="AA160" s="124" t="str">
        <f>IFERROR(__xludf.DUMMYFUNCTION("IF(W160=MAX(FILTER(W$10:W$199,LOOKUP(ROW(Q$10:Q$199),FILTER(ROW(Q$10:Q$199),Q$10:Q$199&lt;&gt;Q$9:Q$198))=LOOKUP(ROW(Q160),FILTER(ROW(Q$10:Q$199),Q$10:Q$199&lt;&gt;Q$9:Q$198)))),X160,)"),"")</f>
        <v/>
      </c>
      <c r="AB160" s="122"/>
      <c r="AC160" s="33"/>
      <c r="AD160" s="143" t="str">
        <f t="shared" si="14"/>
        <v/>
      </c>
      <c r="AE160" s="38" t="str">
        <f>IFERROR(__xludf.DUMMYFUNCTION("""COMPUTED_VALUE"""),"")</f>
        <v/>
      </c>
      <c r="AF160" s="144">
        <v>46125.0</v>
      </c>
      <c r="AG160" s="167" t="str">
        <f t="shared" si="54"/>
        <v/>
      </c>
      <c r="AH160" s="168" t="str">
        <f t="shared" si="322"/>
        <v/>
      </c>
      <c r="AI160" s="169" t="str">
        <f t="shared" si="323"/>
        <v/>
      </c>
      <c r="AJ160" s="172" t="str">
        <f t="shared" si="324"/>
        <v/>
      </c>
      <c r="AK160" s="171" t="str">
        <f t="array" ref="AK160">IFERROR(IF(AE160="ac"+ISNUMBER(SEARCH("'",AJ160))+AI160="","", IF(ISNUMBER(SEARCH("lw",AJ160)), W160 + SUBSTITUTE(AJ160,"lw+",""), MROUND(SWITCH(AE160,"sq",AI$7,"bn",AJ$7,"dl",AK$7,"")*IF(AJ160&gt;10, AJ160/100, VLOOKUP(AJ160, _rpe,SUBSTITUTE(AI160,"+","")+1,0)), IF( SWITCH(AE160,"sq",AI$7,"bn",AJ$7,"dl", AK$7,"")&lt; IF(_uom="lbs", 175, 80), 1.25, IF(_uom="lbs",5,2.5))))), "")</f>
        <v/>
      </c>
      <c r="AL160" s="148"/>
      <c r="AM160" s="33"/>
      <c r="AN160" s="171"/>
      <c r="AO160" s="124" t="str">
        <f>IFERROR(__xludf.DUMMYFUNCTION("IF(AK160=MAX(FILTER(AK$10:AK$199,LOOKUP(ROW(AE$10:AE$199),FILTER(ROW(AE$10:AE$199),AE$10:AE$199&lt;&gt;AE$9:AE$198))=LOOKUP(ROW(AE160),FILTER(ROW(AE$10:AE$199),AE$10:AE$199&lt;&gt;AE$9:AE$198)))),AL160,)"),"")</f>
        <v/>
      </c>
      <c r="AP160" s="122"/>
      <c r="AQ160" s="33"/>
      <c r="AR160" s="143" t="str">
        <f t="shared" si="16"/>
        <v/>
      </c>
      <c r="AS160" s="38" t="str">
        <f>IFERROR(__xludf.DUMMYFUNCTION("""COMPUTED_VALUE"""),"")</f>
        <v/>
      </c>
      <c r="AT160" s="144">
        <v>46132.0</v>
      </c>
      <c r="AU160" s="167" t="str">
        <f t="shared" si="26"/>
        <v/>
      </c>
      <c r="AV160" s="168" t="str">
        <f t="shared" si="325"/>
        <v/>
      </c>
      <c r="AW160" s="169" t="str">
        <f t="shared" si="326"/>
        <v/>
      </c>
      <c r="AX160" s="172" t="str">
        <f t="shared" si="327"/>
        <v/>
      </c>
      <c r="AY160" s="171" t="str">
        <f t="array" ref="AY160">IFERROR(IF(AS160="ac"+ISNUMBER(SEARCH("'",AX160))+AW160="","", IF(ISNUMBER(SEARCH("lw",AX160)), AK160 + SUBSTITUTE(AX160,"lw+",""), MROUND(SWITCH(AS160,"sq",AW$7,"bn",AX$7,"dl",AY$7,"")*IF(AX160&gt;10, AX160/100, VLOOKUP(AX160, _rpe,SUBSTITUTE(AW160,"+","")+1,0)), IF( SWITCH(AS160,"sq",AW$7,"bn",AX$7,"dl", AY$7,"")&lt; IF(_uom="lbs", 175, 80), 1.25, IF(_uom="lbs",5,2.5))))), "")</f>
        <v/>
      </c>
      <c r="AZ160" s="148"/>
      <c r="BA160" s="33"/>
      <c r="BB160" s="171"/>
      <c r="BC160" s="124" t="str">
        <f>IFERROR(__xludf.DUMMYFUNCTION("IF(AY160=MAX(FILTER(AY$10:AY$199,LOOKUP(ROW(AS$10:AS$199),FILTER(ROW(AS$10:AS$199),AS$10:AS$199&lt;&gt;AS$9:AS$198))=LOOKUP(ROW(AS160),FILTER(ROW(AS$10:AS$199),AS$10:AS$199&lt;&gt;AS$9:AS$198)))),AZ160,)"),"")</f>
        <v/>
      </c>
      <c r="BD160" s="122"/>
      <c r="BE160" s="33"/>
      <c r="BF160" s="143" t="str">
        <f t="shared" si="17"/>
        <v/>
      </c>
      <c r="BG160" s="38" t="str">
        <f>IFERROR(__xludf.DUMMYFUNCTION("""COMPUTED_VALUE"""),"")</f>
        <v/>
      </c>
      <c r="BH160" s="144">
        <v>46139.0</v>
      </c>
      <c r="BI160" s="167" t="str">
        <f t="shared" si="18"/>
        <v/>
      </c>
      <c r="BJ160" s="168" t="str">
        <f t="shared" si="328"/>
        <v/>
      </c>
      <c r="BK160" s="169" t="str">
        <f t="shared" si="329"/>
        <v/>
      </c>
      <c r="BL160" s="172" t="str">
        <f t="shared" si="330"/>
        <v/>
      </c>
      <c r="BM160" s="171" t="str">
        <f t="array" ref="BM160">IFERROR(IF(BG160="ac"+ISNUMBER(SEARCH("'",BL160))+BK160="","", IF(ISNUMBER(SEARCH("lw",BL160)), AY160 + SUBSTITUTE(BL160,"lw+",""), MROUND(SWITCH(BG160,"sq",BK$7,"bn",BL$7,"dl",BM$7,"")*IF(BL160&gt;10, BL160/100, VLOOKUP(BL160, _rpe,SUBSTITUTE(BK160,"+","")+1,0)), IF( SWITCH(BG160,"sq",BK$7,"bn",BL$7,"dl", BM$7,"")&lt; IF(_uom="lbs", 175, 80), 1.25, IF(_uom="lbs",5,2.5))))), "")</f>
        <v/>
      </c>
      <c r="BN160" s="148"/>
      <c r="BO160" s="33"/>
      <c r="BP160" s="171"/>
      <c r="BQ160" s="124" t="str">
        <f>IFERROR(__xludf.DUMMYFUNCTION("IF(BM160=MAX(FILTER(BM$10:BM$199,LOOKUP(ROW(BG$10:BG$199),FILTER(ROW(BG$10:BG$199),BG$10:BG$199&lt;&gt;BG$9:BG$198))=LOOKUP(ROW(BG160),FILTER(ROW(BG$10:BG$199),BG$10:BG$199&lt;&gt;BG$9:BG$198)))),BN160,)"),"")</f>
        <v/>
      </c>
      <c r="BR160" s="122"/>
      <c r="BS160" s="33"/>
      <c r="BT160" s="143" t="str">
        <f t="shared" si="19"/>
        <v/>
      </c>
      <c r="BU160" s="38" t="str">
        <f>IFERROR(__xludf.DUMMYFUNCTION("""COMPUTED_VALUE"""),"")</f>
        <v/>
      </c>
      <c r="BV160" s="144">
        <v>46146.0</v>
      </c>
      <c r="BW160" s="167" t="str">
        <f t="shared" si="20"/>
        <v/>
      </c>
      <c r="BX160" s="168" t="str">
        <f t="shared" si="331"/>
        <v/>
      </c>
      <c r="BY160" s="169" t="str">
        <f t="shared" si="332"/>
        <v/>
      </c>
      <c r="BZ160" s="172" t="str">
        <f t="shared" si="333"/>
        <v/>
      </c>
      <c r="CA160" s="171" t="str">
        <f t="array" ref="CA160">IFERROR(IF(BU160="ac"+ISNUMBER(SEARCH("'",BZ160))+BY160="","", IF(ISNUMBER(SEARCH("lw",BZ160)), BM160 + SUBSTITUTE(BZ160,"lw+",""), MROUND(SWITCH(BU160,"sq",BY$7,"bn",BZ$7,"dl",CA$7,"")*IF(BZ160&gt;10, BZ160/100, VLOOKUP(BZ160, _rpe,SUBSTITUTE(BY160,"+","")+1,0)), IF( SWITCH(BU160,"sq",BY$7,"bn",BZ$7,"dl", CA$7,"")&lt; IF(_uom="lbs", 175, 80), 1.25, IF(_uom="lbs",5,2.5))))), "")</f>
        <v/>
      </c>
      <c r="CB160" s="148"/>
      <c r="CC160" s="33"/>
      <c r="CD160" s="171"/>
      <c r="CE160" s="124" t="str">
        <f>IFERROR(__xludf.DUMMYFUNCTION("IF(CA160=MAX(FILTER(CA$10:CA$199,LOOKUP(ROW(BU$10:BU$199),FILTER(ROW(BU$10:BU$199),BU$10:BU$199&lt;&gt;BU$9:BU$198))=LOOKUP(ROW(BU160),FILTER(ROW(BU$10:BU$199),BU$10:BU$199&lt;&gt;BU$9:BU$198)))),CB160,)"),"")</f>
        <v/>
      </c>
      <c r="CF160" s="122"/>
      <c r="CG160" s="33"/>
      <c r="CH160" s="143" t="str">
        <f t="shared" si="21"/>
        <v/>
      </c>
      <c r="CI160" s="38" t="str">
        <f>IFERROR(__xludf.DUMMYFUNCTION("""COMPUTED_VALUE"""),"")</f>
        <v/>
      </c>
      <c r="CJ160" s="144">
        <v>46153.0</v>
      </c>
      <c r="CK160" s="167" t="str">
        <f t="shared" si="27"/>
        <v/>
      </c>
      <c r="CL160" s="168" t="str">
        <f t="shared" si="334"/>
        <v/>
      </c>
      <c r="CM160" s="169" t="str">
        <f t="shared" si="335"/>
        <v/>
      </c>
      <c r="CN160" s="172" t="str">
        <f t="shared" si="336"/>
        <v/>
      </c>
      <c r="CO160" s="171" t="str">
        <f t="array" ref="CO160">IFERROR(IF(CI160="ac"+ISNUMBER(SEARCH("'",CN160))+CM160="","", IF(ISNUMBER(SEARCH("lw",CN160)), CA160 + SUBSTITUTE(CN160,"lw+",""), MROUND(SWITCH(CI160,"sq",CM$7,"bn",CN$7,"dl",CO$7,"")*IF(CN160&gt;10, CN160/100, VLOOKUP(CN160, _rpe,SUBSTITUTE(CM160,"+","")+1,0)), IF( SWITCH(CI160,"sq",CM$7,"bn",CN$7,"dl", CO$7,"")&lt; IF(_uom="lbs", 175, 80), 1.25, IF(_uom="lbs",5,2.5))))), "")</f>
        <v/>
      </c>
      <c r="CP160" s="148"/>
      <c r="CQ160" s="33"/>
      <c r="CR160" s="171"/>
      <c r="CS160" s="124" t="str">
        <f>IFERROR(__xludf.DUMMYFUNCTION("IF(CO160=MAX(FILTER(CO$10:CO$199,LOOKUP(ROW(CI$10:CI$199),FILTER(ROW(CI$10:CI$199),CI$10:CI$199&lt;&gt;CI$9:CI$198))=LOOKUP(ROW(CI160),FILTER(ROW(CI$10:CI$199),CI$10:CI$199&lt;&gt;CI$9:CI$198)))),CP160,)"),"")</f>
        <v/>
      </c>
      <c r="CT160" s="122"/>
      <c r="CU160" s="33"/>
      <c r="CV160" s="143" t="str">
        <f t="shared" si="22"/>
        <v/>
      </c>
      <c r="CW160" s="38" t="str">
        <f>IFERROR(__xludf.DUMMYFUNCTION("""COMPUTED_VALUE"""),"")</f>
        <v/>
      </c>
      <c r="CX160" s="144">
        <v>46160.0</v>
      </c>
      <c r="CY160" s="167" t="str">
        <f t="shared" si="28"/>
        <v/>
      </c>
      <c r="CZ160" s="168" t="str">
        <f t="shared" si="337"/>
        <v/>
      </c>
      <c r="DA160" s="169" t="str">
        <f t="shared" si="338"/>
        <v/>
      </c>
      <c r="DB160" s="172" t="str">
        <f t="shared" si="339"/>
        <v/>
      </c>
      <c r="DC160" s="171" t="str">
        <f t="array" ref="DC160">IFERROR(IF(CW160="ac"+ISNUMBER(SEARCH("'",DB160))+DA160="","", IF(ISNUMBER(SEARCH("lw",DB160)), CO160 + SUBSTITUTE(DB160,"lw+",""), MROUND(SWITCH(CW160,"sq",DA$7,"bn",DB$7,"dl",DC$7,"")*IF(DB160&gt;10, DB160/100, VLOOKUP(DB160, _rpe,SUBSTITUTE(DA160,"+","")+1,0)), IF( SWITCH(CW160,"sq",DA$7,"bn",DB$7,"dl", DC$7,"")&lt; IF(_uom="lbs", 175, 80), 1.25, IF(_uom="lbs",5,2.5))))), "")</f>
        <v/>
      </c>
      <c r="DD160" s="148"/>
      <c r="DE160" s="33"/>
      <c r="DF160" s="171"/>
      <c r="DG160" s="124" t="str">
        <f>IFERROR(__xludf.DUMMYFUNCTION("IF(DC160=MAX(FILTER(DC$10:DC$199,LOOKUP(ROW(CW$10:CW$199),FILTER(ROW(CW$10:CW$199),CW$10:CW$199&lt;&gt;CW$9:CW$198))=LOOKUP(ROW(CW160),FILTER(ROW(CW$10:CW$199),CW$10:CW$199&lt;&gt;CW$9:CW$198)))),DD160,)"),"")</f>
        <v/>
      </c>
      <c r="DH160" s="122"/>
      <c r="DI160" s="33"/>
      <c r="DJ160" s="143" t="str">
        <f t="shared" si="23"/>
        <v/>
      </c>
      <c r="DK160" s="38" t="str">
        <f>IFERROR(__xludf.DUMMYFUNCTION("""COMPUTED_VALUE"""),"")</f>
        <v/>
      </c>
      <c r="DL160" s="144">
        <v>46167.0</v>
      </c>
      <c r="DM160" s="167" t="str">
        <f t="shared" ref="DM160:DN160" si="412">IF(ISBLANK(CY160),"",CY160)</f>
        <v/>
      </c>
      <c r="DN160" s="168" t="str">
        <f t="shared" si="412"/>
        <v/>
      </c>
      <c r="DO160" s="169" t="str">
        <f t="shared" si="341"/>
        <v/>
      </c>
      <c r="DP160" s="172" t="str">
        <f t="shared" si="342"/>
        <v/>
      </c>
      <c r="DQ160" s="171" t="str">
        <f t="array" ref="DQ160">IFERROR(IF(DK160="ac"+ISNUMBER(SEARCH("'",DP160))+DO160="","", IF(ISNUMBER(SEARCH("lw",DP160)), DC160 + SUBSTITUTE(DP160,"lw+",""), MROUND(SWITCH(DK160,"sq",DO$7,"bn",DP$7,"dl",DQ$7,"")*IF(DP160&gt;10, DP160/100, VLOOKUP(DP160, _rpe,SUBSTITUTE(DO160,"+","")+1,0)), IF( SWITCH(DK160,"sq",DO$7,"bn",DP$7,"dl", DQ$7,"")&lt; IF(_uom="lbs", 175, 80), 1.25, IF(_uom="lbs",5,2.5))))), "")</f>
        <v/>
      </c>
      <c r="DR160" s="148"/>
      <c r="DS160" s="33"/>
      <c r="DT160" s="171"/>
      <c r="DU160" s="124" t="str">
        <f>IFERROR(__xludf.DUMMYFUNCTION("IF(DQ160=MAX(FILTER(DQ$10:DQ$199,LOOKUP(ROW(DK$10:DK$199),FILTER(ROW(DK$10:DK$199),DK$10:DK$199&lt;&gt;DK$9:DK$198))=LOOKUP(ROW(DK160),FILTER(ROW(DK$10:DK$199),DK$10:DK$199&lt;&gt;DK$9:DK$198)))),DR160,)"),"")</f>
        <v/>
      </c>
      <c r="DV160" s="122"/>
      <c r="DW160" s="33"/>
      <c r="DX160" s="143"/>
      <c r="DY160" s="38"/>
      <c r="DZ160" s="144"/>
      <c r="EA160" s="150"/>
      <c r="EB160" s="174"/>
      <c r="EC160" s="175"/>
      <c r="ED160" s="176"/>
      <c r="EE160" s="155"/>
      <c r="EF160" s="148"/>
      <c r="EG160" s="33"/>
      <c r="EH160" s="155"/>
      <c r="EI160" s="148"/>
      <c r="EJ160" s="33"/>
      <c r="EK160" s="33"/>
      <c r="EL160" s="143"/>
      <c r="EM160" s="38"/>
      <c r="EN160" s="144"/>
      <c r="EO160" s="150"/>
      <c r="EP160" s="174"/>
      <c r="EQ160" s="175"/>
      <c r="ER160" s="176"/>
      <c r="ES160" s="155"/>
      <c r="ET160" s="148"/>
      <c r="EU160" s="33"/>
      <c r="EV160" s="155"/>
      <c r="EW160" s="148"/>
      <c r="EX160" s="33"/>
      <c r="EY160" s="33"/>
      <c r="EZ160" s="143"/>
      <c r="FA160" s="38"/>
      <c r="FB160" s="144"/>
      <c r="FC160" s="150"/>
      <c r="FD160" s="174"/>
      <c r="FE160" s="175"/>
      <c r="FF160" s="176"/>
      <c r="FG160" s="155"/>
      <c r="FH160" s="148"/>
      <c r="FI160" s="33"/>
      <c r="FJ160" s="155"/>
      <c r="FK160" s="148"/>
      <c r="FL160" s="33"/>
      <c r="FM160" s="33"/>
      <c r="FN160" s="143"/>
      <c r="FO160" s="38"/>
      <c r="FP160" s="144"/>
      <c r="FQ160" s="150"/>
      <c r="FR160" s="174"/>
      <c r="FS160" s="175"/>
      <c r="FT160" s="176"/>
      <c r="FU160" s="155"/>
      <c r="FV160" s="148"/>
      <c r="FW160" s="33"/>
      <c r="FX160" s="155"/>
      <c r="FY160" s="148"/>
      <c r="FZ160" s="33"/>
      <c r="GA160" s="33"/>
      <c r="GB160" s="143"/>
      <c r="GC160" s="38"/>
      <c r="GD160" s="144"/>
      <c r="GE160" s="150"/>
      <c r="GF160" s="174"/>
      <c r="GG160" s="175"/>
      <c r="GH160" s="176"/>
      <c r="GI160" s="155"/>
      <c r="GJ160" s="148"/>
      <c r="GK160" s="33"/>
      <c r="GL160" s="155"/>
      <c r="GM160" s="148"/>
      <c r="GN160" s="33"/>
      <c r="GO160" s="33"/>
      <c r="GP160" s="143"/>
      <c r="GQ160" s="38"/>
      <c r="GR160" s="144"/>
      <c r="GS160" s="150"/>
      <c r="GT160" s="174"/>
      <c r="GU160" s="175"/>
      <c r="GV160" s="176"/>
      <c r="GW160" s="155"/>
      <c r="GX160" s="148"/>
      <c r="GY160" s="33"/>
      <c r="GZ160" s="155"/>
      <c r="HA160" s="148"/>
      <c r="HB160" s="33"/>
      <c r="HC160" s="33"/>
      <c r="HD160" s="143"/>
      <c r="HE160" s="38"/>
      <c r="HF160" s="144"/>
      <c r="HG160" s="150"/>
      <c r="HH160" s="174"/>
      <c r="HI160" s="175"/>
      <c r="HJ160" s="176"/>
      <c r="HK160" s="155"/>
      <c r="HL160" s="148"/>
      <c r="HM160" s="33"/>
      <c r="HN160" s="155"/>
      <c r="HO160" s="148"/>
      <c r="HP160" s="33"/>
      <c r="HQ160" s="33"/>
      <c r="HR160" s="143"/>
      <c r="HS160" s="38"/>
      <c r="HT160" s="144"/>
      <c r="HU160" s="150"/>
      <c r="HV160" s="174"/>
      <c r="HW160" s="175"/>
      <c r="HX160" s="176"/>
      <c r="HY160" s="155"/>
      <c r="HZ160" s="148"/>
      <c r="IA160" s="33"/>
      <c r="IB160" s="155"/>
      <c r="IC160" s="148"/>
      <c r="ID160" s="33"/>
      <c r="IE160" s="33"/>
      <c r="IF160" s="143"/>
      <c r="IG160" s="38"/>
      <c r="IH160" s="144"/>
      <c r="II160" s="150"/>
      <c r="IJ160" s="174"/>
      <c r="IK160" s="175"/>
      <c r="IL160" s="176"/>
      <c r="IM160" s="155"/>
      <c r="IN160" s="148"/>
      <c r="IO160" s="33"/>
      <c r="IP160" s="155"/>
      <c r="IQ160" s="148"/>
      <c r="IR160" s="33"/>
      <c r="IS160" s="33"/>
      <c r="IT160" s="143"/>
      <c r="IU160" s="38"/>
      <c r="IV160" s="144"/>
      <c r="IW160" s="143"/>
      <c r="IX160" s="38"/>
      <c r="IY160" s="144" t="e">
        <v>#REF!</v>
      </c>
    </row>
    <row r="161">
      <c r="A161" s="33"/>
      <c r="B161" s="181"/>
      <c r="C161" s="38" t="str">
        <f>IFERROR(__xludf.DUMMYFUNCTION("""COMPUTED_VALUE"""),"")</f>
        <v/>
      </c>
      <c r="D161" s="144">
        <v>46111.0</v>
      </c>
      <c r="E161" s="182"/>
      <c r="F161" s="168"/>
      <c r="G161" s="169"/>
      <c r="H161" s="170"/>
      <c r="I161" s="171" t="str">
        <f t="array" ref="I161">IFERROR(IF(C161="ac"+ISNUMBER(SEARCH("'",H161))+G161="","", MROUND(SWITCH(C161,"sq",'Personal Info'!$O$15,"bn",'Personal Info'!$S$15,"dl",'Personal Info'!$W$15,"")*IF(H161&gt;10, H161/100, VLOOKUP(H161, _rpe,SUBSTITUTE(G161,"+","")+1,0)), IF( SWITCH(C161:C210,"sq",'Personal Info'!$O$15,"bn",'Personal Info'!$S$15,"dl", 'Personal Info'!$W$15,"")&lt; IF(_uom="lbs", 175, 80), 1.25, IF(_uom="lbs",5,2.5)))),"")</f>
        <v/>
      </c>
      <c r="J161" s="148"/>
      <c r="K161" s="33"/>
      <c r="L161" s="171"/>
      <c r="M161" s="124" t="str">
        <f>IFERROR(__xludf.DUMMYFUNCTION("IF(I161=MAX(FILTER(I$10:I$199,LOOKUP(ROW(C$10:C$199),FILTER(ROW(C$10:C$199),C$10:C$199&lt;&gt;C$9:C$198))=LOOKUP(ROW(C161),FILTER(ROW(C$10:C$199),C$10:C$199&lt;&gt;C$9:C$198)))),J161,)"),"")</f>
        <v/>
      </c>
      <c r="N161" s="122"/>
      <c r="O161" s="33"/>
      <c r="P161" s="143" t="str">
        <f t="shared" si="12"/>
        <v/>
      </c>
      <c r="Q161" s="38" t="str">
        <f>IFERROR(__xludf.DUMMYFUNCTION("""COMPUTED_VALUE"""),"")</f>
        <v/>
      </c>
      <c r="R161" s="144">
        <v>46118.0</v>
      </c>
      <c r="S161" s="167" t="str">
        <f t="shared" si="13"/>
        <v/>
      </c>
      <c r="T161" s="168" t="str">
        <f t="shared" si="319"/>
        <v/>
      </c>
      <c r="U161" s="169" t="str">
        <f t="shared" si="320"/>
        <v/>
      </c>
      <c r="V161" s="172" t="str">
        <f t="shared" si="321"/>
        <v/>
      </c>
      <c r="W161" s="171" t="str">
        <f t="array" ref="W161">IFERROR(IF(Q161="ac"+ISNUMBER(SEARCH("'",V161))+U161="","", IF(ISNUMBER(SEARCH("lw",V161)), I161 + SUBSTITUTE(V161,"lw+",""), MROUND(SWITCH(Q161,"sq",U$7,"bn",V$7,"dl",W$7,"")*IF(V161&gt;10, V161/100, VLOOKUP(V161, _rpe,SUBSTITUTE(U161,"+","")+1,0)), IF( SWITCH(Q161,"sq",U$7,"bn",V$7,"dl", W$7,"")&lt; IF(_uom="lbs", 175, 80), 1.25, IF(_uom="lbs",5,2.5))))), "")</f>
        <v/>
      </c>
      <c r="X161" s="148"/>
      <c r="Y161" s="33"/>
      <c r="Z161" s="171"/>
      <c r="AA161" s="124" t="str">
        <f>IFERROR(__xludf.DUMMYFUNCTION("IF(W161=MAX(FILTER(W$10:W$199,LOOKUP(ROW(Q$10:Q$199),FILTER(ROW(Q$10:Q$199),Q$10:Q$199&lt;&gt;Q$9:Q$198))=LOOKUP(ROW(Q161),FILTER(ROW(Q$10:Q$199),Q$10:Q$199&lt;&gt;Q$9:Q$198)))),X161,)"),"")</f>
        <v/>
      </c>
      <c r="AB161" s="122"/>
      <c r="AC161" s="33"/>
      <c r="AD161" s="143" t="str">
        <f t="shared" si="14"/>
        <v/>
      </c>
      <c r="AE161" s="38" t="str">
        <f>IFERROR(__xludf.DUMMYFUNCTION("""COMPUTED_VALUE"""),"")</f>
        <v/>
      </c>
      <c r="AF161" s="144">
        <v>46125.0</v>
      </c>
      <c r="AG161" s="167" t="str">
        <f t="shared" si="54"/>
        <v/>
      </c>
      <c r="AH161" s="168" t="str">
        <f t="shared" si="322"/>
        <v/>
      </c>
      <c r="AI161" s="169" t="str">
        <f t="shared" si="323"/>
        <v/>
      </c>
      <c r="AJ161" s="172" t="str">
        <f t="shared" si="324"/>
        <v/>
      </c>
      <c r="AK161" s="171" t="str">
        <f t="array" ref="AK161">IFERROR(IF(AE161="ac"+ISNUMBER(SEARCH("'",AJ161))+AI161="","", IF(ISNUMBER(SEARCH("lw",AJ161)), W161 + SUBSTITUTE(AJ161,"lw+",""), MROUND(SWITCH(AE161,"sq",AI$7,"bn",AJ$7,"dl",AK$7,"")*IF(AJ161&gt;10, AJ161/100, VLOOKUP(AJ161, _rpe,SUBSTITUTE(AI161,"+","")+1,0)), IF( SWITCH(AE161,"sq",AI$7,"bn",AJ$7,"dl", AK$7,"")&lt; IF(_uom="lbs", 175, 80), 1.25, IF(_uom="lbs",5,2.5))))), "")</f>
        <v/>
      </c>
      <c r="AL161" s="148"/>
      <c r="AM161" s="33"/>
      <c r="AN161" s="171"/>
      <c r="AO161" s="124" t="str">
        <f>IFERROR(__xludf.DUMMYFUNCTION("IF(AK161=MAX(FILTER(AK$10:AK$199,LOOKUP(ROW(AE$10:AE$199),FILTER(ROW(AE$10:AE$199),AE$10:AE$199&lt;&gt;AE$9:AE$198))=LOOKUP(ROW(AE161),FILTER(ROW(AE$10:AE$199),AE$10:AE$199&lt;&gt;AE$9:AE$198)))),AL161,)"),"")</f>
        <v/>
      </c>
      <c r="AP161" s="122"/>
      <c r="AQ161" s="33"/>
      <c r="AR161" s="143" t="str">
        <f t="shared" si="16"/>
        <v/>
      </c>
      <c r="AS161" s="38" t="str">
        <f>IFERROR(__xludf.DUMMYFUNCTION("""COMPUTED_VALUE"""),"")</f>
        <v/>
      </c>
      <c r="AT161" s="144">
        <v>46132.0</v>
      </c>
      <c r="AU161" s="167" t="str">
        <f t="shared" si="26"/>
        <v/>
      </c>
      <c r="AV161" s="168" t="str">
        <f t="shared" si="325"/>
        <v/>
      </c>
      <c r="AW161" s="169" t="str">
        <f t="shared" si="326"/>
        <v/>
      </c>
      <c r="AX161" s="172" t="str">
        <f t="shared" si="327"/>
        <v/>
      </c>
      <c r="AY161" s="171" t="str">
        <f t="array" ref="AY161">IFERROR(IF(AS161="ac"+ISNUMBER(SEARCH("'",AX161))+AW161="","", IF(ISNUMBER(SEARCH("lw",AX161)), AK161 + SUBSTITUTE(AX161,"lw+",""), MROUND(SWITCH(AS161,"sq",AW$7,"bn",AX$7,"dl",AY$7,"")*IF(AX161&gt;10, AX161/100, VLOOKUP(AX161, _rpe,SUBSTITUTE(AW161,"+","")+1,0)), IF( SWITCH(AS161,"sq",AW$7,"bn",AX$7,"dl", AY$7,"")&lt; IF(_uom="lbs", 175, 80), 1.25, IF(_uom="lbs",5,2.5))))), "")</f>
        <v/>
      </c>
      <c r="AZ161" s="148"/>
      <c r="BA161" s="33"/>
      <c r="BB161" s="171"/>
      <c r="BC161" s="124" t="str">
        <f>IFERROR(__xludf.DUMMYFUNCTION("IF(AY161=MAX(FILTER(AY$10:AY$199,LOOKUP(ROW(AS$10:AS$199),FILTER(ROW(AS$10:AS$199),AS$10:AS$199&lt;&gt;AS$9:AS$198))=LOOKUP(ROW(AS161),FILTER(ROW(AS$10:AS$199),AS$10:AS$199&lt;&gt;AS$9:AS$198)))),AZ161,)"),"")</f>
        <v/>
      </c>
      <c r="BD161" s="122"/>
      <c r="BE161" s="33"/>
      <c r="BF161" s="143" t="str">
        <f t="shared" si="17"/>
        <v/>
      </c>
      <c r="BG161" s="38" t="str">
        <f>IFERROR(__xludf.DUMMYFUNCTION("""COMPUTED_VALUE"""),"")</f>
        <v/>
      </c>
      <c r="BH161" s="144">
        <v>46139.0</v>
      </c>
      <c r="BI161" s="167" t="str">
        <f t="shared" si="18"/>
        <v/>
      </c>
      <c r="BJ161" s="168" t="str">
        <f t="shared" si="328"/>
        <v/>
      </c>
      <c r="BK161" s="169" t="str">
        <f t="shared" si="329"/>
        <v/>
      </c>
      <c r="BL161" s="172" t="str">
        <f t="shared" si="330"/>
        <v/>
      </c>
      <c r="BM161" s="171" t="str">
        <f t="array" ref="BM161">IFERROR(IF(BG161="ac"+ISNUMBER(SEARCH("'",BL161))+BK161="","", IF(ISNUMBER(SEARCH("lw",BL161)), AY161 + SUBSTITUTE(BL161,"lw+",""), MROUND(SWITCH(BG161,"sq",BK$7,"bn",BL$7,"dl",BM$7,"")*IF(BL161&gt;10, BL161/100, VLOOKUP(BL161, _rpe,SUBSTITUTE(BK161,"+","")+1,0)), IF( SWITCH(BG161,"sq",BK$7,"bn",BL$7,"dl", BM$7,"")&lt; IF(_uom="lbs", 175, 80), 1.25, IF(_uom="lbs",5,2.5))))), "")</f>
        <v/>
      </c>
      <c r="BN161" s="148"/>
      <c r="BO161" s="33"/>
      <c r="BP161" s="171"/>
      <c r="BQ161" s="124" t="str">
        <f>IFERROR(__xludf.DUMMYFUNCTION("IF(BM161=MAX(FILTER(BM$10:BM$199,LOOKUP(ROW(BG$10:BG$199),FILTER(ROW(BG$10:BG$199),BG$10:BG$199&lt;&gt;BG$9:BG$198))=LOOKUP(ROW(BG161),FILTER(ROW(BG$10:BG$199),BG$10:BG$199&lt;&gt;BG$9:BG$198)))),BN161,)"),"")</f>
        <v/>
      </c>
      <c r="BR161" s="122"/>
      <c r="BS161" s="33"/>
      <c r="BT161" s="143" t="str">
        <f t="shared" si="19"/>
        <v/>
      </c>
      <c r="BU161" s="38" t="str">
        <f>IFERROR(__xludf.DUMMYFUNCTION("""COMPUTED_VALUE"""),"")</f>
        <v/>
      </c>
      <c r="BV161" s="144">
        <v>46146.0</v>
      </c>
      <c r="BW161" s="167" t="str">
        <f t="shared" si="20"/>
        <v/>
      </c>
      <c r="BX161" s="168" t="str">
        <f t="shared" si="331"/>
        <v/>
      </c>
      <c r="BY161" s="169" t="str">
        <f t="shared" si="332"/>
        <v/>
      </c>
      <c r="BZ161" s="172" t="str">
        <f t="shared" si="333"/>
        <v/>
      </c>
      <c r="CA161" s="171" t="str">
        <f t="array" ref="CA161">IFERROR(IF(BU161="ac"+ISNUMBER(SEARCH("'",BZ161))+BY161="","", IF(ISNUMBER(SEARCH("lw",BZ161)), BM161 + SUBSTITUTE(BZ161,"lw+",""), MROUND(SWITCH(BU161,"sq",BY$7,"bn",BZ$7,"dl",CA$7,"")*IF(BZ161&gt;10, BZ161/100, VLOOKUP(BZ161, _rpe,SUBSTITUTE(BY161,"+","")+1,0)), IF( SWITCH(BU161,"sq",BY$7,"bn",BZ$7,"dl", CA$7,"")&lt; IF(_uom="lbs", 175, 80), 1.25, IF(_uom="lbs",5,2.5))))), "")</f>
        <v/>
      </c>
      <c r="CB161" s="148"/>
      <c r="CC161" s="33"/>
      <c r="CD161" s="171"/>
      <c r="CE161" s="124" t="str">
        <f>IFERROR(__xludf.DUMMYFUNCTION("IF(CA161=MAX(FILTER(CA$10:CA$199,LOOKUP(ROW(BU$10:BU$199),FILTER(ROW(BU$10:BU$199),BU$10:BU$199&lt;&gt;BU$9:BU$198))=LOOKUP(ROW(BU161),FILTER(ROW(BU$10:BU$199),BU$10:BU$199&lt;&gt;BU$9:BU$198)))),CB161,)"),"")</f>
        <v/>
      </c>
      <c r="CF161" s="122"/>
      <c r="CG161" s="33"/>
      <c r="CH161" s="143" t="str">
        <f t="shared" si="21"/>
        <v/>
      </c>
      <c r="CI161" s="38" t="str">
        <f>IFERROR(__xludf.DUMMYFUNCTION("""COMPUTED_VALUE"""),"")</f>
        <v/>
      </c>
      <c r="CJ161" s="144">
        <v>46153.0</v>
      </c>
      <c r="CK161" s="167" t="str">
        <f t="shared" si="27"/>
        <v/>
      </c>
      <c r="CL161" s="168" t="str">
        <f t="shared" si="334"/>
        <v/>
      </c>
      <c r="CM161" s="169" t="str">
        <f t="shared" si="335"/>
        <v/>
      </c>
      <c r="CN161" s="172" t="str">
        <f t="shared" si="336"/>
        <v/>
      </c>
      <c r="CO161" s="171" t="str">
        <f t="array" ref="CO161">IFERROR(IF(CI161="ac"+ISNUMBER(SEARCH("'",CN161))+CM161="","", IF(ISNUMBER(SEARCH("lw",CN161)), CA161 + SUBSTITUTE(CN161,"lw+",""), MROUND(SWITCH(CI161,"sq",CM$7,"bn",CN$7,"dl",CO$7,"")*IF(CN161&gt;10, CN161/100, VLOOKUP(CN161, _rpe,SUBSTITUTE(CM161,"+","")+1,0)), IF( SWITCH(CI161,"sq",CM$7,"bn",CN$7,"dl", CO$7,"")&lt; IF(_uom="lbs", 175, 80), 1.25, IF(_uom="lbs",5,2.5))))), "")</f>
        <v/>
      </c>
      <c r="CP161" s="148"/>
      <c r="CQ161" s="33"/>
      <c r="CR161" s="171"/>
      <c r="CS161" s="124" t="str">
        <f>IFERROR(__xludf.DUMMYFUNCTION("IF(CO161=MAX(FILTER(CO$10:CO$199,LOOKUP(ROW(CI$10:CI$199),FILTER(ROW(CI$10:CI$199),CI$10:CI$199&lt;&gt;CI$9:CI$198))=LOOKUP(ROW(CI161),FILTER(ROW(CI$10:CI$199),CI$10:CI$199&lt;&gt;CI$9:CI$198)))),CP161,)"),"")</f>
        <v/>
      </c>
      <c r="CT161" s="122"/>
      <c r="CU161" s="33"/>
      <c r="CV161" s="143" t="str">
        <f t="shared" si="22"/>
        <v/>
      </c>
      <c r="CW161" s="38" t="str">
        <f>IFERROR(__xludf.DUMMYFUNCTION("""COMPUTED_VALUE"""),"")</f>
        <v/>
      </c>
      <c r="CX161" s="144">
        <v>46160.0</v>
      </c>
      <c r="CY161" s="167" t="str">
        <f t="shared" si="28"/>
        <v/>
      </c>
      <c r="CZ161" s="168" t="str">
        <f t="shared" si="337"/>
        <v/>
      </c>
      <c r="DA161" s="169" t="str">
        <f t="shared" si="338"/>
        <v/>
      </c>
      <c r="DB161" s="172" t="str">
        <f t="shared" si="339"/>
        <v/>
      </c>
      <c r="DC161" s="171" t="str">
        <f t="array" ref="DC161">IFERROR(IF(CW161="ac"+ISNUMBER(SEARCH("'",DB161))+DA161="","", IF(ISNUMBER(SEARCH("lw",DB161)), CO161 + SUBSTITUTE(DB161,"lw+",""), MROUND(SWITCH(CW161,"sq",DA$7,"bn",DB$7,"dl",DC$7,"")*IF(DB161&gt;10, DB161/100, VLOOKUP(DB161, _rpe,SUBSTITUTE(DA161,"+","")+1,0)), IF( SWITCH(CW161,"sq",DA$7,"bn",DB$7,"dl", DC$7,"")&lt; IF(_uom="lbs", 175, 80), 1.25, IF(_uom="lbs",5,2.5))))), "")</f>
        <v/>
      </c>
      <c r="DD161" s="148"/>
      <c r="DE161" s="33"/>
      <c r="DF161" s="171"/>
      <c r="DG161" s="124" t="str">
        <f>IFERROR(__xludf.DUMMYFUNCTION("IF(DC161=MAX(FILTER(DC$10:DC$199,LOOKUP(ROW(CW$10:CW$199),FILTER(ROW(CW$10:CW$199),CW$10:CW$199&lt;&gt;CW$9:CW$198))=LOOKUP(ROW(CW161),FILTER(ROW(CW$10:CW$199),CW$10:CW$199&lt;&gt;CW$9:CW$198)))),DD161,)"),"")</f>
        <v/>
      </c>
      <c r="DH161" s="122"/>
      <c r="DI161" s="33"/>
      <c r="DJ161" s="143" t="str">
        <f t="shared" si="23"/>
        <v/>
      </c>
      <c r="DK161" s="38" t="str">
        <f>IFERROR(__xludf.DUMMYFUNCTION("""COMPUTED_VALUE"""),"")</f>
        <v/>
      </c>
      <c r="DL161" s="144">
        <v>46167.0</v>
      </c>
      <c r="DM161" s="167" t="str">
        <f t="shared" ref="DM161:DN161" si="413">IF(ISBLANK(CY161),"",CY161)</f>
        <v/>
      </c>
      <c r="DN161" s="168" t="str">
        <f t="shared" si="413"/>
        <v/>
      </c>
      <c r="DO161" s="169" t="str">
        <f t="shared" si="341"/>
        <v/>
      </c>
      <c r="DP161" s="172" t="str">
        <f t="shared" si="342"/>
        <v/>
      </c>
      <c r="DQ161" s="171" t="str">
        <f t="array" ref="DQ161">IFERROR(IF(DK161="ac"+ISNUMBER(SEARCH("'",DP161))+DO161="","", IF(ISNUMBER(SEARCH("lw",DP161)), DC161 + SUBSTITUTE(DP161,"lw+",""), MROUND(SWITCH(DK161,"sq",DO$7,"bn",DP$7,"dl",DQ$7,"")*IF(DP161&gt;10, DP161/100, VLOOKUP(DP161, _rpe,SUBSTITUTE(DO161,"+","")+1,0)), IF( SWITCH(DK161,"sq",DO$7,"bn",DP$7,"dl", DQ$7,"")&lt; IF(_uom="lbs", 175, 80), 1.25, IF(_uom="lbs",5,2.5))))), "")</f>
        <v/>
      </c>
      <c r="DR161" s="148"/>
      <c r="DS161" s="33"/>
      <c r="DT161" s="171"/>
      <c r="DU161" s="124" t="str">
        <f>IFERROR(__xludf.DUMMYFUNCTION("IF(DQ161=MAX(FILTER(DQ$10:DQ$199,LOOKUP(ROW(DK$10:DK$199),FILTER(ROW(DK$10:DK$199),DK$10:DK$199&lt;&gt;DK$9:DK$198))=LOOKUP(ROW(DK161),FILTER(ROW(DK$10:DK$199),DK$10:DK$199&lt;&gt;DK$9:DK$198)))),DR161,)"),"")</f>
        <v/>
      </c>
      <c r="DV161" s="122"/>
      <c r="DW161" s="33"/>
      <c r="DX161" s="143"/>
      <c r="DY161" s="38"/>
      <c r="DZ161" s="144"/>
      <c r="EA161" s="150"/>
      <c r="EB161" s="174"/>
      <c r="EC161" s="175"/>
      <c r="ED161" s="176"/>
      <c r="EE161" s="155"/>
      <c r="EF161" s="148"/>
      <c r="EG161" s="33"/>
      <c r="EH161" s="155"/>
      <c r="EI161" s="148"/>
      <c r="EJ161" s="33"/>
      <c r="EK161" s="33"/>
      <c r="EL161" s="143"/>
      <c r="EM161" s="38"/>
      <c r="EN161" s="144"/>
      <c r="EO161" s="150"/>
      <c r="EP161" s="174"/>
      <c r="EQ161" s="175"/>
      <c r="ER161" s="176"/>
      <c r="ES161" s="155"/>
      <c r="ET161" s="148"/>
      <c r="EU161" s="33"/>
      <c r="EV161" s="155"/>
      <c r="EW161" s="148"/>
      <c r="EX161" s="33"/>
      <c r="EY161" s="33"/>
      <c r="EZ161" s="143"/>
      <c r="FA161" s="38"/>
      <c r="FB161" s="144"/>
      <c r="FC161" s="150"/>
      <c r="FD161" s="174"/>
      <c r="FE161" s="175"/>
      <c r="FF161" s="176"/>
      <c r="FG161" s="155"/>
      <c r="FH161" s="148"/>
      <c r="FI161" s="33"/>
      <c r="FJ161" s="155"/>
      <c r="FK161" s="148"/>
      <c r="FL161" s="33"/>
      <c r="FM161" s="33"/>
      <c r="FN161" s="143"/>
      <c r="FO161" s="38"/>
      <c r="FP161" s="144"/>
      <c r="FQ161" s="150"/>
      <c r="FR161" s="174"/>
      <c r="FS161" s="175"/>
      <c r="FT161" s="176"/>
      <c r="FU161" s="155"/>
      <c r="FV161" s="148"/>
      <c r="FW161" s="33"/>
      <c r="FX161" s="155"/>
      <c r="FY161" s="148"/>
      <c r="FZ161" s="33"/>
      <c r="GA161" s="33"/>
      <c r="GB161" s="143"/>
      <c r="GC161" s="38"/>
      <c r="GD161" s="144"/>
      <c r="GE161" s="150"/>
      <c r="GF161" s="174"/>
      <c r="GG161" s="175"/>
      <c r="GH161" s="176"/>
      <c r="GI161" s="155"/>
      <c r="GJ161" s="148"/>
      <c r="GK161" s="33"/>
      <c r="GL161" s="155"/>
      <c r="GM161" s="148"/>
      <c r="GN161" s="33"/>
      <c r="GO161" s="33"/>
      <c r="GP161" s="143"/>
      <c r="GQ161" s="38"/>
      <c r="GR161" s="144"/>
      <c r="GS161" s="150"/>
      <c r="GT161" s="174"/>
      <c r="GU161" s="175"/>
      <c r="GV161" s="176"/>
      <c r="GW161" s="155"/>
      <c r="GX161" s="148"/>
      <c r="GY161" s="33"/>
      <c r="GZ161" s="155"/>
      <c r="HA161" s="148"/>
      <c r="HB161" s="33"/>
      <c r="HC161" s="33"/>
      <c r="HD161" s="143"/>
      <c r="HE161" s="38"/>
      <c r="HF161" s="144"/>
      <c r="HG161" s="150"/>
      <c r="HH161" s="174"/>
      <c r="HI161" s="175"/>
      <c r="HJ161" s="176"/>
      <c r="HK161" s="155"/>
      <c r="HL161" s="148"/>
      <c r="HM161" s="33"/>
      <c r="HN161" s="155"/>
      <c r="HO161" s="148"/>
      <c r="HP161" s="33"/>
      <c r="HQ161" s="33"/>
      <c r="HR161" s="143"/>
      <c r="HS161" s="38"/>
      <c r="HT161" s="144"/>
      <c r="HU161" s="150"/>
      <c r="HV161" s="174"/>
      <c r="HW161" s="175"/>
      <c r="HX161" s="176"/>
      <c r="HY161" s="155"/>
      <c r="HZ161" s="148"/>
      <c r="IA161" s="33"/>
      <c r="IB161" s="155"/>
      <c r="IC161" s="148"/>
      <c r="ID161" s="33"/>
      <c r="IE161" s="33"/>
      <c r="IF161" s="143"/>
      <c r="IG161" s="38"/>
      <c r="IH161" s="144"/>
      <c r="II161" s="150"/>
      <c r="IJ161" s="174"/>
      <c r="IK161" s="175"/>
      <c r="IL161" s="176"/>
      <c r="IM161" s="155"/>
      <c r="IN161" s="148"/>
      <c r="IO161" s="33"/>
      <c r="IP161" s="155"/>
      <c r="IQ161" s="148"/>
      <c r="IR161" s="33"/>
      <c r="IS161" s="33"/>
      <c r="IT161" s="143"/>
      <c r="IU161" s="38"/>
      <c r="IV161" s="144"/>
      <c r="IW161" s="143"/>
      <c r="IX161" s="38"/>
      <c r="IY161" s="144" t="e">
        <v>#REF!</v>
      </c>
    </row>
    <row r="162">
      <c r="A162" s="33"/>
      <c r="B162" s="181"/>
      <c r="C162" s="38" t="str">
        <f>IFERROR(__xludf.DUMMYFUNCTION("""COMPUTED_VALUE"""),"")</f>
        <v/>
      </c>
      <c r="D162" s="144">
        <v>46111.0</v>
      </c>
      <c r="E162" s="182"/>
      <c r="F162" s="168"/>
      <c r="G162" s="169"/>
      <c r="H162" s="170"/>
      <c r="I162" s="171" t="str">
        <f t="array" ref="I162">IFERROR(IF(C162="ac"+ISNUMBER(SEARCH("'",H162))+G162="","", MROUND(SWITCH(C162,"sq",'Personal Info'!$O$15,"bn",'Personal Info'!$S$15,"dl",'Personal Info'!$W$15,"")*IF(H162&gt;10, H162/100, VLOOKUP(H162, _rpe,SUBSTITUTE(G162,"+","")+1,0)), IF( SWITCH(C162:C210,"sq",'Personal Info'!$O$15,"bn",'Personal Info'!$S$15,"dl", 'Personal Info'!$W$15,"")&lt; IF(_uom="lbs", 175, 80), 1.25, IF(_uom="lbs",5,2.5)))),"")</f>
        <v/>
      </c>
      <c r="J162" s="148"/>
      <c r="K162" s="33"/>
      <c r="L162" s="171"/>
      <c r="M162" s="124" t="str">
        <f>IFERROR(__xludf.DUMMYFUNCTION("IF(I162=MAX(FILTER(I$10:I$199,LOOKUP(ROW(C$10:C$199),FILTER(ROW(C$10:C$199),C$10:C$199&lt;&gt;C$9:C$198))=LOOKUP(ROW(C162),FILTER(ROW(C$10:C$199),C$10:C$199&lt;&gt;C$9:C$198)))),J162,)"),"")</f>
        <v/>
      </c>
      <c r="N162" s="122"/>
      <c r="O162" s="33"/>
      <c r="P162" s="143" t="str">
        <f t="shared" si="12"/>
        <v/>
      </c>
      <c r="Q162" s="38" t="str">
        <f>IFERROR(__xludf.DUMMYFUNCTION("""COMPUTED_VALUE"""),"")</f>
        <v/>
      </c>
      <c r="R162" s="144">
        <v>46118.0</v>
      </c>
      <c r="S162" s="167" t="str">
        <f t="shared" si="13"/>
        <v/>
      </c>
      <c r="T162" s="168" t="str">
        <f t="shared" si="319"/>
        <v/>
      </c>
      <c r="U162" s="169" t="str">
        <f t="shared" si="320"/>
        <v/>
      </c>
      <c r="V162" s="172" t="str">
        <f t="shared" si="321"/>
        <v/>
      </c>
      <c r="W162" s="171" t="str">
        <f t="array" ref="W162">IFERROR(IF(Q162="ac"+ISNUMBER(SEARCH("'",V162))+U162="","", IF(ISNUMBER(SEARCH("lw",V162)), I162 + SUBSTITUTE(V162,"lw+",""), MROUND(SWITCH(Q162,"sq",U$7,"bn",V$7,"dl",W$7,"")*IF(V162&gt;10, V162/100, VLOOKUP(V162, _rpe,SUBSTITUTE(U162,"+","")+1,0)), IF( SWITCH(Q162,"sq",U$7,"bn",V$7,"dl", W$7,"")&lt; IF(_uom="lbs", 175, 80), 1.25, IF(_uom="lbs",5,2.5))))), "")</f>
        <v/>
      </c>
      <c r="X162" s="148"/>
      <c r="Y162" s="33"/>
      <c r="Z162" s="171"/>
      <c r="AA162" s="124" t="str">
        <f>IFERROR(__xludf.DUMMYFUNCTION("IF(W162=MAX(FILTER(W$10:W$199,LOOKUP(ROW(Q$10:Q$199),FILTER(ROW(Q$10:Q$199),Q$10:Q$199&lt;&gt;Q$9:Q$198))=LOOKUP(ROW(Q162),FILTER(ROW(Q$10:Q$199),Q$10:Q$199&lt;&gt;Q$9:Q$198)))),X162,)"),"")</f>
        <v/>
      </c>
      <c r="AB162" s="122"/>
      <c r="AC162" s="33"/>
      <c r="AD162" s="143" t="str">
        <f t="shared" si="14"/>
        <v/>
      </c>
      <c r="AE162" s="38" t="str">
        <f>IFERROR(__xludf.DUMMYFUNCTION("""COMPUTED_VALUE"""),"")</f>
        <v/>
      </c>
      <c r="AF162" s="144">
        <v>46125.0</v>
      </c>
      <c r="AG162" s="167" t="str">
        <f t="shared" si="54"/>
        <v/>
      </c>
      <c r="AH162" s="168" t="str">
        <f t="shared" si="322"/>
        <v/>
      </c>
      <c r="AI162" s="169" t="str">
        <f t="shared" si="323"/>
        <v/>
      </c>
      <c r="AJ162" s="172" t="str">
        <f t="shared" si="324"/>
        <v/>
      </c>
      <c r="AK162" s="171" t="str">
        <f t="array" ref="AK162">IFERROR(IF(AE162="ac"+ISNUMBER(SEARCH("'",AJ162))+AI162="","", IF(ISNUMBER(SEARCH("lw",AJ162)), W162 + SUBSTITUTE(AJ162,"lw+",""), MROUND(SWITCH(AE162,"sq",AI$7,"bn",AJ$7,"dl",AK$7,"")*IF(AJ162&gt;10, AJ162/100, VLOOKUP(AJ162, _rpe,SUBSTITUTE(AI162,"+","")+1,0)), IF( SWITCH(AE162,"sq",AI$7,"bn",AJ$7,"dl", AK$7,"")&lt; IF(_uom="lbs", 175, 80), 1.25, IF(_uom="lbs",5,2.5))))), "")</f>
        <v/>
      </c>
      <c r="AL162" s="148"/>
      <c r="AM162" s="33"/>
      <c r="AN162" s="171"/>
      <c r="AO162" s="124" t="str">
        <f>IFERROR(__xludf.DUMMYFUNCTION("IF(AK162=MAX(FILTER(AK$10:AK$199,LOOKUP(ROW(AE$10:AE$199),FILTER(ROW(AE$10:AE$199),AE$10:AE$199&lt;&gt;AE$9:AE$198))=LOOKUP(ROW(AE162),FILTER(ROW(AE$10:AE$199),AE$10:AE$199&lt;&gt;AE$9:AE$198)))),AL162,)"),"")</f>
        <v/>
      </c>
      <c r="AP162" s="122"/>
      <c r="AQ162" s="33"/>
      <c r="AR162" s="143" t="str">
        <f t="shared" si="16"/>
        <v/>
      </c>
      <c r="AS162" s="38" t="str">
        <f>IFERROR(__xludf.DUMMYFUNCTION("""COMPUTED_VALUE"""),"")</f>
        <v/>
      </c>
      <c r="AT162" s="144">
        <v>46132.0</v>
      </c>
      <c r="AU162" s="167" t="str">
        <f t="shared" si="26"/>
        <v/>
      </c>
      <c r="AV162" s="168" t="str">
        <f t="shared" si="325"/>
        <v/>
      </c>
      <c r="AW162" s="169" t="str">
        <f t="shared" si="326"/>
        <v/>
      </c>
      <c r="AX162" s="172" t="str">
        <f t="shared" si="327"/>
        <v/>
      </c>
      <c r="AY162" s="171" t="str">
        <f t="array" ref="AY162">IFERROR(IF(AS162="ac"+ISNUMBER(SEARCH("'",AX162))+AW162="","", IF(ISNUMBER(SEARCH("lw",AX162)), AK162 + SUBSTITUTE(AX162,"lw+",""), MROUND(SWITCH(AS162,"sq",AW$7,"bn",AX$7,"dl",AY$7,"")*IF(AX162&gt;10, AX162/100, VLOOKUP(AX162, _rpe,SUBSTITUTE(AW162,"+","")+1,0)), IF( SWITCH(AS162,"sq",AW$7,"bn",AX$7,"dl", AY$7,"")&lt; IF(_uom="lbs", 175, 80), 1.25, IF(_uom="lbs",5,2.5))))), "")</f>
        <v/>
      </c>
      <c r="AZ162" s="148"/>
      <c r="BA162" s="33"/>
      <c r="BB162" s="171"/>
      <c r="BC162" s="124" t="str">
        <f>IFERROR(__xludf.DUMMYFUNCTION("IF(AY162=MAX(FILTER(AY$10:AY$199,LOOKUP(ROW(AS$10:AS$199),FILTER(ROW(AS$10:AS$199),AS$10:AS$199&lt;&gt;AS$9:AS$198))=LOOKUP(ROW(AS162),FILTER(ROW(AS$10:AS$199),AS$10:AS$199&lt;&gt;AS$9:AS$198)))),AZ162,)"),"")</f>
        <v/>
      </c>
      <c r="BD162" s="122"/>
      <c r="BE162" s="33"/>
      <c r="BF162" s="143" t="str">
        <f t="shared" si="17"/>
        <v/>
      </c>
      <c r="BG162" s="38" t="str">
        <f>IFERROR(__xludf.DUMMYFUNCTION("""COMPUTED_VALUE"""),"")</f>
        <v/>
      </c>
      <c r="BH162" s="144">
        <v>46139.0</v>
      </c>
      <c r="BI162" s="167" t="str">
        <f t="shared" si="18"/>
        <v/>
      </c>
      <c r="BJ162" s="168" t="str">
        <f t="shared" si="328"/>
        <v/>
      </c>
      <c r="BK162" s="169" t="str">
        <f t="shared" si="329"/>
        <v/>
      </c>
      <c r="BL162" s="172" t="str">
        <f t="shared" si="330"/>
        <v/>
      </c>
      <c r="BM162" s="171" t="str">
        <f t="array" ref="BM162">IFERROR(IF(BG162="ac"+ISNUMBER(SEARCH("'",BL162))+BK162="","", IF(ISNUMBER(SEARCH("lw",BL162)), AY162 + SUBSTITUTE(BL162,"lw+",""), MROUND(SWITCH(BG162,"sq",BK$7,"bn",BL$7,"dl",BM$7,"")*IF(BL162&gt;10, BL162/100, VLOOKUP(BL162, _rpe,SUBSTITUTE(BK162,"+","")+1,0)), IF( SWITCH(BG162,"sq",BK$7,"bn",BL$7,"dl", BM$7,"")&lt; IF(_uom="lbs", 175, 80), 1.25, IF(_uom="lbs",5,2.5))))), "")</f>
        <v/>
      </c>
      <c r="BN162" s="148"/>
      <c r="BO162" s="33"/>
      <c r="BP162" s="171"/>
      <c r="BQ162" s="124" t="str">
        <f>IFERROR(__xludf.DUMMYFUNCTION("IF(BM162=MAX(FILTER(BM$10:BM$199,LOOKUP(ROW(BG$10:BG$199),FILTER(ROW(BG$10:BG$199),BG$10:BG$199&lt;&gt;BG$9:BG$198))=LOOKUP(ROW(BG162),FILTER(ROW(BG$10:BG$199),BG$10:BG$199&lt;&gt;BG$9:BG$198)))),BN162,)"),"")</f>
        <v/>
      </c>
      <c r="BR162" s="122"/>
      <c r="BS162" s="33"/>
      <c r="BT162" s="143" t="str">
        <f t="shared" si="19"/>
        <v/>
      </c>
      <c r="BU162" s="38" t="str">
        <f>IFERROR(__xludf.DUMMYFUNCTION("""COMPUTED_VALUE"""),"")</f>
        <v/>
      </c>
      <c r="BV162" s="144">
        <v>46146.0</v>
      </c>
      <c r="BW162" s="167" t="str">
        <f t="shared" si="20"/>
        <v/>
      </c>
      <c r="BX162" s="168" t="str">
        <f t="shared" si="331"/>
        <v/>
      </c>
      <c r="BY162" s="169" t="str">
        <f t="shared" si="332"/>
        <v/>
      </c>
      <c r="BZ162" s="172" t="str">
        <f t="shared" si="333"/>
        <v/>
      </c>
      <c r="CA162" s="171" t="str">
        <f t="array" ref="CA162">IFERROR(IF(BU162="ac"+ISNUMBER(SEARCH("'",BZ162))+BY162="","", IF(ISNUMBER(SEARCH("lw",BZ162)), BM162 + SUBSTITUTE(BZ162,"lw+",""), MROUND(SWITCH(BU162,"sq",BY$7,"bn",BZ$7,"dl",CA$7,"")*IF(BZ162&gt;10, BZ162/100, VLOOKUP(BZ162, _rpe,SUBSTITUTE(BY162,"+","")+1,0)), IF( SWITCH(BU162,"sq",BY$7,"bn",BZ$7,"dl", CA$7,"")&lt; IF(_uom="lbs", 175, 80), 1.25, IF(_uom="lbs",5,2.5))))), "")</f>
        <v/>
      </c>
      <c r="CB162" s="148"/>
      <c r="CC162" s="33"/>
      <c r="CD162" s="171"/>
      <c r="CE162" s="124" t="str">
        <f>IFERROR(__xludf.DUMMYFUNCTION("IF(CA162=MAX(FILTER(CA$10:CA$199,LOOKUP(ROW(BU$10:BU$199),FILTER(ROW(BU$10:BU$199),BU$10:BU$199&lt;&gt;BU$9:BU$198))=LOOKUP(ROW(BU162),FILTER(ROW(BU$10:BU$199),BU$10:BU$199&lt;&gt;BU$9:BU$198)))),CB162,)"),"")</f>
        <v/>
      </c>
      <c r="CF162" s="122"/>
      <c r="CG162" s="33"/>
      <c r="CH162" s="143" t="str">
        <f t="shared" si="21"/>
        <v/>
      </c>
      <c r="CI162" s="38" t="str">
        <f>IFERROR(__xludf.DUMMYFUNCTION("""COMPUTED_VALUE"""),"")</f>
        <v/>
      </c>
      <c r="CJ162" s="144">
        <v>46153.0</v>
      </c>
      <c r="CK162" s="167" t="str">
        <f t="shared" si="27"/>
        <v/>
      </c>
      <c r="CL162" s="168" t="str">
        <f t="shared" si="334"/>
        <v/>
      </c>
      <c r="CM162" s="169" t="str">
        <f t="shared" si="335"/>
        <v/>
      </c>
      <c r="CN162" s="172" t="str">
        <f t="shared" si="336"/>
        <v/>
      </c>
      <c r="CO162" s="171" t="str">
        <f t="array" ref="CO162">IFERROR(IF(CI162="ac"+ISNUMBER(SEARCH("'",CN162))+CM162="","", IF(ISNUMBER(SEARCH("lw",CN162)), CA162 + SUBSTITUTE(CN162,"lw+",""), MROUND(SWITCH(CI162,"sq",CM$7,"bn",CN$7,"dl",CO$7,"")*IF(CN162&gt;10, CN162/100, VLOOKUP(CN162, _rpe,SUBSTITUTE(CM162,"+","")+1,0)), IF( SWITCH(CI162,"sq",CM$7,"bn",CN$7,"dl", CO$7,"")&lt; IF(_uom="lbs", 175, 80), 1.25, IF(_uom="lbs",5,2.5))))), "")</f>
        <v/>
      </c>
      <c r="CP162" s="148"/>
      <c r="CQ162" s="33"/>
      <c r="CR162" s="171"/>
      <c r="CS162" s="124" t="str">
        <f>IFERROR(__xludf.DUMMYFUNCTION("IF(CO162=MAX(FILTER(CO$10:CO$199,LOOKUP(ROW(CI$10:CI$199),FILTER(ROW(CI$10:CI$199),CI$10:CI$199&lt;&gt;CI$9:CI$198))=LOOKUP(ROW(CI162),FILTER(ROW(CI$10:CI$199),CI$10:CI$199&lt;&gt;CI$9:CI$198)))),CP162,)"),"")</f>
        <v/>
      </c>
      <c r="CT162" s="122"/>
      <c r="CU162" s="33"/>
      <c r="CV162" s="143" t="str">
        <f t="shared" si="22"/>
        <v/>
      </c>
      <c r="CW162" s="38" t="str">
        <f>IFERROR(__xludf.DUMMYFUNCTION("""COMPUTED_VALUE"""),"")</f>
        <v/>
      </c>
      <c r="CX162" s="144">
        <v>46160.0</v>
      </c>
      <c r="CY162" s="167" t="str">
        <f t="shared" si="28"/>
        <v/>
      </c>
      <c r="CZ162" s="168" t="str">
        <f t="shared" si="337"/>
        <v/>
      </c>
      <c r="DA162" s="169" t="str">
        <f t="shared" si="338"/>
        <v/>
      </c>
      <c r="DB162" s="172" t="str">
        <f t="shared" si="339"/>
        <v/>
      </c>
      <c r="DC162" s="171" t="str">
        <f t="array" ref="DC162">IFERROR(IF(CW162="ac"+ISNUMBER(SEARCH("'",DB162))+DA162="","", IF(ISNUMBER(SEARCH("lw",DB162)), CO162 + SUBSTITUTE(DB162,"lw+",""), MROUND(SWITCH(CW162,"sq",DA$7,"bn",DB$7,"dl",DC$7,"")*IF(DB162&gt;10, DB162/100, VLOOKUP(DB162, _rpe,SUBSTITUTE(DA162,"+","")+1,0)), IF( SWITCH(CW162,"sq",DA$7,"bn",DB$7,"dl", DC$7,"")&lt; IF(_uom="lbs", 175, 80), 1.25, IF(_uom="lbs",5,2.5))))), "")</f>
        <v/>
      </c>
      <c r="DD162" s="148"/>
      <c r="DE162" s="33"/>
      <c r="DF162" s="171"/>
      <c r="DG162" s="124" t="str">
        <f>IFERROR(__xludf.DUMMYFUNCTION("IF(DC162=MAX(FILTER(DC$10:DC$199,LOOKUP(ROW(CW$10:CW$199),FILTER(ROW(CW$10:CW$199),CW$10:CW$199&lt;&gt;CW$9:CW$198))=LOOKUP(ROW(CW162),FILTER(ROW(CW$10:CW$199),CW$10:CW$199&lt;&gt;CW$9:CW$198)))),DD162,)"),"")</f>
        <v/>
      </c>
      <c r="DH162" s="122"/>
      <c r="DI162" s="33"/>
      <c r="DJ162" s="143" t="str">
        <f t="shared" si="23"/>
        <v/>
      </c>
      <c r="DK162" s="38" t="str">
        <f>IFERROR(__xludf.DUMMYFUNCTION("""COMPUTED_VALUE"""),"")</f>
        <v/>
      </c>
      <c r="DL162" s="144">
        <v>46167.0</v>
      </c>
      <c r="DM162" s="167" t="str">
        <f t="shared" ref="DM162:DN162" si="414">IF(ISBLANK(CY162),"",CY162)</f>
        <v/>
      </c>
      <c r="DN162" s="168" t="str">
        <f t="shared" si="414"/>
        <v/>
      </c>
      <c r="DO162" s="169" t="str">
        <f t="shared" si="341"/>
        <v/>
      </c>
      <c r="DP162" s="172" t="str">
        <f t="shared" si="342"/>
        <v/>
      </c>
      <c r="DQ162" s="171" t="str">
        <f t="array" ref="DQ162">IFERROR(IF(DK162="ac"+ISNUMBER(SEARCH("'",DP162))+DO162="","", IF(ISNUMBER(SEARCH("lw",DP162)), DC162 + SUBSTITUTE(DP162,"lw+",""), MROUND(SWITCH(DK162,"sq",DO$7,"bn",DP$7,"dl",DQ$7,"")*IF(DP162&gt;10, DP162/100, VLOOKUP(DP162, _rpe,SUBSTITUTE(DO162,"+","")+1,0)), IF( SWITCH(DK162,"sq",DO$7,"bn",DP$7,"dl", DQ$7,"")&lt; IF(_uom="lbs", 175, 80), 1.25, IF(_uom="lbs",5,2.5))))), "")</f>
        <v/>
      </c>
      <c r="DR162" s="148"/>
      <c r="DS162" s="33"/>
      <c r="DT162" s="171"/>
      <c r="DU162" s="124" t="str">
        <f>IFERROR(__xludf.DUMMYFUNCTION("IF(DQ162=MAX(FILTER(DQ$10:DQ$199,LOOKUP(ROW(DK$10:DK$199),FILTER(ROW(DK$10:DK$199),DK$10:DK$199&lt;&gt;DK$9:DK$198))=LOOKUP(ROW(DK162),FILTER(ROW(DK$10:DK$199),DK$10:DK$199&lt;&gt;DK$9:DK$198)))),DR162,)"),"")</f>
        <v/>
      </c>
      <c r="DV162" s="122"/>
      <c r="DW162" s="33"/>
      <c r="DX162" s="143"/>
      <c r="DY162" s="38"/>
      <c r="DZ162" s="144"/>
      <c r="EA162" s="150"/>
      <c r="EB162" s="174"/>
      <c r="EC162" s="175"/>
      <c r="ED162" s="176"/>
      <c r="EE162" s="155"/>
      <c r="EF162" s="148"/>
      <c r="EG162" s="33"/>
      <c r="EH162" s="155"/>
      <c r="EI162" s="148"/>
      <c r="EJ162" s="33"/>
      <c r="EK162" s="33"/>
      <c r="EL162" s="143"/>
      <c r="EM162" s="38"/>
      <c r="EN162" s="144"/>
      <c r="EO162" s="150"/>
      <c r="EP162" s="174"/>
      <c r="EQ162" s="175"/>
      <c r="ER162" s="176"/>
      <c r="ES162" s="155"/>
      <c r="ET162" s="148"/>
      <c r="EU162" s="33"/>
      <c r="EV162" s="155"/>
      <c r="EW162" s="148"/>
      <c r="EX162" s="33"/>
      <c r="EY162" s="33"/>
      <c r="EZ162" s="143"/>
      <c r="FA162" s="38"/>
      <c r="FB162" s="144"/>
      <c r="FC162" s="150"/>
      <c r="FD162" s="174"/>
      <c r="FE162" s="175"/>
      <c r="FF162" s="176"/>
      <c r="FG162" s="155"/>
      <c r="FH162" s="148"/>
      <c r="FI162" s="33"/>
      <c r="FJ162" s="155"/>
      <c r="FK162" s="148"/>
      <c r="FL162" s="33"/>
      <c r="FM162" s="33"/>
      <c r="FN162" s="143"/>
      <c r="FO162" s="38"/>
      <c r="FP162" s="144"/>
      <c r="FQ162" s="150"/>
      <c r="FR162" s="174"/>
      <c r="FS162" s="175"/>
      <c r="FT162" s="176"/>
      <c r="FU162" s="155"/>
      <c r="FV162" s="148"/>
      <c r="FW162" s="33"/>
      <c r="FX162" s="155"/>
      <c r="FY162" s="148"/>
      <c r="FZ162" s="33"/>
      <c r="GA162" s="33"/>
      <c r="GB162" s="143"/>
      <c r="GC162" s="38"/>
      <c r="GD162" s="144"/>
      <c r="GE162" s="150"/>
      <c r="GF162" s="174"/>
      <c r="GG162" s="175"/>
      <c r="GH162" s="176"/>
      <c r="GI162" s="155"/>
      <c r="GJ162" s="148"/>
      <c r="GK162" s="33"/>
      <c r="GL162" s="155"/>
      <c r="GM162" s="148"/>
      <c r="GN162" s="33"/>
      <c r="GO162" s="33"/>
      <c r="GP162" s="143"/>
      <c r="GQ162" s="38"/>
      <c r="GR162" s="144"/>
      <c r="GS162" s="150"/>
      <c r="GT162" s="174"/>
      <c r="GU162" s="175"/>
      <c r="GV162" s="176"/>
      <c r="GW162" s="155"/>
      <c r="GX162" s="148"/>
      <c r="GY162" s="33"/>
      <c r="GZ162" s="155"/>
      <c r="HA162" s="148"/>
      <c r="HB162" s="33"/>
      <c r="HC162" s="33"/>
      <c r="HD162" s="143"/>
      <c r="HE162" s="38"/>
      <c r="HF162" s="144"/>
      <c r="HG162" s="150"/>
      <c r="HH162" s="174"/>
      <c r="HI162" s="175"/>
      <c r="HJ162" s="176"/>
      <c r="HK162" s="155"/>
      <c r="HL162" s="148"/>
      <c r="HM162" s="33"/>
      <c r="HN162" s="155"/>
      <c r="HO162" s="148"/>
      <c r="HP162" s="33"/>
      <c r="HQ162" s="33"/>
      <c r="HR162" s="143"/>
      <c r="HS162" s="38"/>
      <c r="HT162" s="144"/>
      <c r="HU162" s="150"/>
      <c r="HV162" s="174"/>
      <c r="HW162" s="175"/>
      <c r="HX162" s="176"/>
      <c r="HY162" s="155"/>
      <c r="HZ162" s="148"/>
      <c r="IA162" s="33"/>
      <c r="IB162" s="155"/>
      <c r="IC162" s="148"/>
      <c r="ID162" s="33"/>
      <c r="IE162" s="33"/>
      <c r="IF162" s="143"/>
      <c r="IG162" s="38"/>
      <c r="IH162" s="144"/>
      <c r="II162" s="150"/>
      <c r="IJ162" s="174"/>
      <c r="IK162" s="175"/>
      <c r="IL162" s="176"/>
      <c r="IM162" s="155"/>
      <c r="IN162" s="148"/>
      <c r="IO162" s="33"/>
      <c r="IP162" s="155"/>
      <c r="IQ162" s="148"/>
      <c r="IR162" s="33"/>
      <c r="IS162" s="33"/>
      <c r="IT162" s="143"/>
      <c r="IU162" s="38"/>
      <c r="IV162" s="144"/>
      <c r="IW162" s="143"/>
      <c r="IX162" s="38"/>
      <c r="IY162" s="144" t="e">
        <v>#REF!</v>
      </c>
    </row>
    <row r="163">
      <c r="A163" s="33"/>
      <c r="B163" s="181"/>
      <c r="C163" s="38" t="str">
        <f>IFERROR(__xludf.DUMMYFUNCTION("""COMPUTED_VALUE"""),"")</f>
        <v/>
      </c>
      <c r="D163" s="144">
        <v>46111.0</v>
      </c>
      <c r="E163" s="182"/>
      <c r="F163" s="168"/>
      <c r="G163" s="169"/>
      <c r="H163" s="170"/>
      <c r="I163" s="171" t="str">
        <f t="array" ref="I163">IFERROR(IF(C163="ac"+ISNUMBER(SEARCH("'",H163))+G163="","", MROUND(SWITCH(C163,"sq",'Personal Info'!$O$15,"bn",'Personal Info'!$S$15,"dl",'Personal Info'!$W$15,"")*IF(H163&gt;10, H163/100, VLOOKUP(H163, _rpe,SUBSTITUTE(G163,"+","")+1,0)), IF( SWITCH(C163:C210,"sq",'Personal Info'!$O$15,"bn",'Personal Info'!$S$15,"dl", 'Personal Info'!$W$15,"")&lt; IF(_uom="lbs", 175, 80), 1.25, IF(_uom="lbs",5,2.5)))),"")</f>
        <v/>
      </c>
      <c r="J163" s="148"/>
      <c r="K163" s="33"/>
      <c r="L163" s="171"/>
      <c r="M163" s="124" t="str">
        <f>IFERROR(__xludf.DUMMYFUNCTION("IF(I163=MAX(FILTER(I$10:I$199,LOOKUP(ROW(C$10:C$199),FILTER(ROW(C$10:C$199),C$10:C$199&lt;&gt;C$9:C$198))=LOOKUP(ROW(C163),FILTER(ROW(C$10:C$199),C$10:C$199&lt;&gt;C$9:C$198)))),J163,)"),"")</f>
        <v/>
      </c>
      <c r="N163" s="122"/>
      <c r="O163" s="33"/>
      <c r="P163" s="143" t="str">
        <f t="shared" si="12"/>
        <v/>
      </c>
      <c r="Q163" s="38" t="str">
        <f>IFERROR(__xludf.DUMMYFUNCTION("""COMPUTED_VALUE"""),"")</f>
        <v/>
      </c>
      <c r="R163" s="144">
        <v>46118.0</v>
      </c>
      <c r="S163" s="167" t="str">
        <f t="shared" si="13"/>
        <v/>
      </c>
      <c r="T163" s="168" t="str">
        <f t="shared" si="319"/>
        <v/>
      </c>
      <c r="U163" s="169" t="str">
        <f t="shared" si="320"/>
        <v/>
      </c>
      <c r="V163" s="172" t="str">
        <f t="shared" si="321"/>
        <v/>
      </c>
      <c r="W163" s="171" t="str">
        <f t="array" ref="W163">IFERROR(IF(Q163="ac"+ISNUMBER(SEARCH("'",V163))+U163="","", IF(ISNUMBER(SEARCH("lw",V163)), I163 + SUBSTITUTE(V163,"lw+",""), MROUND(SWITCH(Q163,"sq",U$7,"bn",V$7,"dl",W$7,"")*IF(V163&gt;10, V163/100, VLOOKUP(V163, _rpe,SUBSTITUTE(U163,"+","")+1,0)), IF( SWITCH(Q163,"sq",U$7,"bn",V$7,"dl", W$7,"")&lt; IF(_uom="lbs", 175, 80), 1.25, IF(_uom="lbs",5,2.5))))), "")</f>
        <v/>
      </c>
      <c r="X163" s="148"/>
      <c r="Y163" s="33"/>
      <c r="Z163" s="171"/>
      <c r="AA163" s="124" t="str">
        <f>IFERROR(__xludf.DUMMYFUNCTION("IF(W163=MAX(FILTER(W$10:W$199,LOOKUP(ROW(Q$10:Q$199),FILTER(ROW(Q$10:Q$199),Q$10:Q$199&lt;&gt;Q$9:Q$198))=LOOKUP(ROW(Q163),FILTER(ROW(Q$10:Q$199),Q$10:Q$199&lt;&gt;Q$9:Q$198)))),X163,)"),"")</f>
        <v/>
      </c>
      <c r="AB163" s="122"/>
      <c r="AC163" s="33"/>
      <c r="AD163" s="143" t="str">
        <f t="shared" si="14"/>
        <v/>
      </c>
      <c r="AE163" s="38" t="str">
        <f>IFERROR(__xludf.DUMMYFUNCTION("""COMPUTED_VALUE"""),"")</f>
        <v/>
      </c>
      <c r="AF163" s="144">
        <v>46125.0</v>
      </c>
      <c r="AG163" s="167" t="str">
        <f t="shared" si="54"/>
        <v/>
      </c>
      <c r="AH163" s="168" t="str">
        <f t="shared" si="322"/>
        <v/>
      </c>
      <c r="AI163" s="169" t="str">
        <f t="shared" si="323"/>
        <v/>
      </c>
      <c r="AJ163" s="172" t="str">
        <f t="shared" si="324"/>
        <v/>
      </c>
      <c r="AK163" s="171" t="str">
        <f t="array" ref="AK163">IFERROR(IF(AE163="ac"+ISNUMBER(SEARCH("'",AJ163))+AI163="","", IF(ISNUMBER(SEARCH("lw",AJ163)), W163 + SUBSTITUTE(AJ163,"lw+",""), MROUND(SWITCH(AE163,"sq",AI$7,"bn",AJ$7,"dl",AK$7,"")*IF(AJ163&gt;10, AJ163/100, VLOOKUP(AJ163, _rpe,SUBSTITUTE(AI163,"+","")+1,0)), IF( SWITCH(AE163,"sq",AI$7,"bn",AJ$7,"dl", AK$7,"")&lt; IF(_uom="lbs", 175, 80), 1.25, IF(_uom="lbs",5,2.5))))), "")</f>
        <v/>
      </c>
      <c r="AL163" s="148"/>
      <c r="AM163" s="33"/>
      <c r="AN163" s="171"/>
      <c r="AO163" s="124" t="str">
        <f>IFERROR(__xludf.DUMMYFUNCTION("IF(AK163=MAX(FILTER(AK$10:AK$199,LOOKUP(ROW(AE$10:AE$199),FILTER(ROW(AE$10:AE$199),AE$10:AE$199&lt;&gt;AE$9:AE$198))=LOOKUP(ROW(AE163),FILTER(ROW(AE$10:AE$199),AE$10:AE$199&lt;&gt;AE$9:AE$198)))),AL163,)"),"")</f>
        <v/>
      </c>
      <c r="AP163" s="122"/>
      <c r="AQ163" s="33"/>
      <c r="AR163" s="143" t="str">
        <f t="shared" si="16"/>
        <v/>
      </c>
      <c r="AS163" s="38" t="str">
        <f>IFERROR(__xludf.DUMMYFUNCTION("""COMPUTED_VALUE"""),"")</f>
        <v/>
      </c>
      <c r="AT163" s="144">
        <v>46132.0</v>
      </c>
      <c r="AU163" s="167" t="str">
        <f t="shared" si="26"/>
        <v/>
      </c>
      <c r="AV163" s="168" t="str">
        <f t="shared" si="325"/>
        <v/>
      </c>
      <c r="AW163" s="169" t="str">
        <f t="shared" si="326"/>
        <v/>
      </c>
      <c r="AX163" s="172" t="str">
        <f t="shared" si="327"/>
        <v/>
      </c>
      <c r="AY163" s="171" t="str">
        <f t="array" ref="AY163">IFERROR(IF(AS163="ac"+ISNUMBER(SEARCH("'",AX163))+AW163="","", IF(ISNUMBER(SEARCH("lw",AX163)), AK163 + SUBSTITUTE(AX163,"lw+",""), MROUND(SWITCH(AS163,"sq",AW$7,"bn",AX$7,"dl",AY$7,"")*IF(AX163&gt;10, AX163/100, VLOOKUP(AX163, _rpe,SUBSTITUTE(AW163,"+","")+1,0)), IF( SWITCH(AS163,"sq",AW$7,"bn",AX$7,"dl", AY$7,"")&lt; IF(_uom="lbs", 175, 80), 1.25, IF(_uom="lbs",5,2.5))))), "")</f>
        <v/>
      </c>
      <c r="AZ163" s="148"/>
      <c r="BA163" s="33"/>
      <c r="BB163" s="171"/>
      <c r="BC163" s="124" t="str">
        <f>IFERROR(__xludf.DUMMYFUNCTION("IF(AY163=MAX(FILTER(AY$10:AY$199,LOOKUP(ROW(AS$10:AS$199),FILTER(ROW(AS$10:AS$199),AS$10:AS$199&lt;&gt;AS$9:AS$198))=LOOKUP(ROW(AS163),FILTER(ROW(AS$10:AS$199),AS$10:AS$199&lt;&gt;AS$9:AS$198)))),AZ163,)"),"")</f>
        <v/>
      </c>
      <c r="BD163" s="122"/>
      <c r="BE163" s="33"/>
      <c r="BF163" s="143" t="str">
        <f t="shared" si="17"/>
        <v/>
      </c>
      <c r="BG163" s="38" t="str">
        <f>IFERROR(__xludf.DUMMYFUNCTION("""COMPUTED_VALUE"""),"")</f>
        <v/>
      </c>
      <c r="BH163" s="144">
        <v>46139.0</v>
      </c>
      <c r="BI163" s="167" t="str">
        <f t="shared" si="18"/>
        <v/>
      </c>
      <c r="BJ163" s="168" t="str">
        <f t="shared" si="328"/>
        <v/>
      </c>
      <c r="BK163" s="169" t="str">
        <f t="shared" si="329"/>
        <v/>
      </c>
      <c r="BL163" s="172" t="str">
        <f t="shared" si="330"/>
        <v/>
      </c>
      <c r="BM163" s="171" t="str">
        <f t="array" ref="BM163">IFERROR(IF(BG163="ac"+ISNUMBER(SEARCH("'",BL163))+BK163="","", IF(ISNUMBER(SEARCH("lw",BL163)), AY163 + SUBSTITUTE(BL163,"lw+",""), MROUND(SWITCH(BG163,"sq",BK$7,"bn",BL$7,"dl",BM$7,"")*IF(BL163&gt;10, BL163/100, VLOOKUP(BL163, _rpe,SUBSTITUTE(BK163,"+","")+1,0)), IF( SWITCH(BG163,"sq",BK$7,"bn",BL$7,"dl", BM$7,"")&lt; IF(_uom="lbs", 175, 80), 1.25, IF(_uom="lbs",5,2.5))))), "")</f>
        <v/>
      </c>
      <c r="BN163" s="148"/>
      <c r="BO163" s="33"/>
      <c r="BP163" s="171"/>
      <c r="BQ163" s="124" t="str">
        <f>IFERROR(__xludf.DUMMYFUNCTION("IF(BM163=MAX(FILTER(BM$10:BM$199,LOOKUP(ROW(BG$10:BG$199),FILTER(ROW(BG$10:BG$199),BG$10:BG$199&lt;&gt;BG$9:BG$198))=LOOKUP(ROW(BG163),FILTER(ROW(BG$10:BG$199),BG$10:BG$199&lt;&gt;BG$9:BG$198)))),BN163,)"),"")</f>
        <v/>
      </c>
      <c r="BR163" s="122"/>
      <c r="BS163" s="33"/>
      <c r="BT163" s="143" t="str">
        <f t="shared" si="19"/>
        <v/>
      </c>
      <c r="BU163" s="38" t="str">
        <f>IFERROR(__xludf.DUMMYFUNCTION("""COMPUTED_VALUE"""),"")</f>
        <v/>
      </c>
      <c r="BV163" s="144">
        <v>46146.0</v>
      </c>
      <c r="BW163" s="167" t="str">
        <f t="shared" si="20"/>
        <v/>
      </c>
      <c r="BX163" s="168" t="str">
        <f t="shared" si="331"/>
        <v/>
      </c>
      <c r="BY163" s="169" t="str">
        <f t="shared" si="332"/>
        <v/>
      </c>
      <c r="BZ163" s="172" t="str">
        <f t="shared" si="333"/>
        <v/>
      </c>
      <c r="CA163" s="171" t="str">
        <f t="array" ref="CA163">IFERROR(IF(BU163="ac"+ISNUMBER(SEARCH("'",BZ163))+BY163="","", IF(ISNUMBER(SEARCH("lw",BZ163)), BM163 + SUBSTITUTE(BZ163,"lw+",""), MROUND(SWITCH(BU163,"sq",BY$7,"bn",BZ$7,"dl",CA$7,"")*IF(BZ163&gt;10, BZ163/100, VLOOKUP(BZ163, _rpe,SUBSTITUTE(BY163,"+","")+1,0)), IF( SWITCH(BU163,"sq",BY$7,"bn",BZ$7,"dl", CA$7,"")&lt; IF(_uom="lbs", 175, 80), 1.25, IF(_uom="lbs",5,2.5))))), "")</f>
        <v/>
      </c>
      <c r="CB163" s="148"/>
      <c r="CC163" s="33"/>
      <c r="CD163" s="171"/>
      <c r="CE163" s="124" t="str">
        <f>IFERROR(__xludf.DUMMYFUNCTION("IF(CA163=MAX(FILTER(CA$10:CA$199,LOOKUP(ROW(BU$10:BU$199),FILTER(ROW(BU$10:BU$199),BU$10:BU$199&lt;&gt;BU$9:BU$198))=LOOKUP(ROW(BU163),FILTER(ROW(BU$10:BU$199),BU$10:BU$199&lt;&gt;BU$9:BU$198)))),CB163,)"),"")</f>
        <v/>
      </c>
      <c r="CF163" s="122"/>
      <c r="CG163" s="33"/>
      <c r="CH163" s="143" t="str">
        <f t="shared" si="21"/>
        <v/>
      </c>
      <c r="CI163" s="38" t="str">
        <f>IFERROR(__xludf.DUMMYFUNCTION("""COMPUTED_VALUE"""),"")</f>
        <v/>
      </c>
      <c r="CJ163" s="144">
        <v>46153.0</v>
      </c>
      <c r="CK163" s="167" t="str">
        <f t="shared" si="27"/>
        <v/>
      </c>
      <c r="CL163" s="168" t="str">
        <f t="shared" si="334"/>
        <v/>
      </c>
      <c r="CM163" s="169" t="str">
        <f t="shared" si="335"/>
        <v/>
      </c>
      <c r="CN163" s="172" t="str">
        <f t="shared" si="336"/>
        <v/>
      </c>
      <c r="CO163" s="171" t="str">
        <f t="array" ref="CO163">IFERROR(IF(CI163="ac"+ISNUMBER(SEARCH("'",CN163))+CM163="","", IF(ISNUMBER(SEARCH("lw",CN163)), CA163 + SUBSTITUTE(CN163,"lw+",""), MROUND(SWITCH(CI163,"sq",CM$7,"bn",CN$7,"dl",CO$7,"")*IF(CN163&gt;10, CN163/100, VLOOKUP(CN163, _rpe,SUBSTITUTE(CM163,"+","")+1,0)), IF( SWITCH(CI163,"sq",CM$7,"bn",CN$7,"dl", CO$7,"")&lt; IF(_uom="lbs", 175, 80), 1.25, IF(_uom="lbs",5,2.5))))), "")</f>
        <v/>
      </c>
      <c r="CP163" s="148"/>
      <c r="CQ163" s="33"/>
      <c r="CR163" s="171"/>
      <c r="CS163" s="124" t="str">
        <f>IFERROR(__xludf.DUMMYFUNCTION("IF(CO163=MAX(FILTER(CO$10:CO$199,LOOKUP(ROW(CI$10:CI$199),FILTER(ROW(CI$10:CI$199),CI$10:CI$199&lt;&gt;CI$9:CI$198))=LOOKUP(ROW(CI163),FILTER(ROW(CI$10:CI$199),CI$10:CI$199&lt;&gt;CI$9:CI$198)))),CP163,)"),"")</f>
        <v/>
      </c>
      <c r="CT163" s="122"/>
      <c r="CU163" s="33"/>
      <c r="CV163" s="143" t="str">
        <f t="shared" si="22"/>
        <v/>
      </c>
      <c r="CW163" s="38" t="str">
        <f>IFERROR(__xludf.DUMMYFUNCTION("""COMPUTED_VALUE"""),"")</f>
        <v/>
      </c>
      <c r="CX163" s="144">
        <v>46160.0</v>
      </c>
      <c r="CY163" s="167" t="str">
        <f t="shared" si="28"/>
        <v/>
      </c>
      <c r="CZ163" s="168" t="str">
        <f t="shared" si="337"/>
        <v/>
      </c>
      <c r="DA163" s="169" t="str">
        <f t="shared" si="338"/>
        <v/>
      </c>
      <c r="DB163" s="172" t="str">
        <f t="shared" si="339"/>
        <v/>
      </c>
      <c r="DC163" s="171" t="str">
        <f t="array" ref="DC163">IFERROR(IF(CW163="ac"+ISNUMBER(SEARCH("'",DB163))+DA163="","", IF(ISNUMBER(SEARCH("lw",DB163)), CO163 + SUBSTITUTE(DB163,"lw+",""), MROUND(SWITCH(CW163,"sq",DA$7,"bn",DB$7,"dl",DC$7,"")*IF(DB163&gt;10, DB163/100, VLOOKUP(DB163, _rpe,SUBSTITUTE(DA163,"+","")+1,0)), IF( SWITCH(CW163,"sq",DA$7,"bn",DB$7,"dl", DC$7,"")&lt; IF(_uom="lbs", 175, 80), 1.25, IF(_uom="lbs",5,2.5))))), "")</f>
        <v/>
      </c>
      <c r="DD163" s="148"/>
      <c r="DE163" s="33"/>
      <c r="DF163" s="171"/>
      <c r="DG163" s="124" t="str">
        <f>IFERROR(__xludf.DUMMYFUNCTION("IF(DC163=MAX(FILTER(DC$10:DC$199,LOOKUP(ROW(CW$10:CW$199),FILTER(ROW(CW$10:CW$199),CW$10:CW$199&lt;&gt;CW$9:CW$198))=LOOKUP(ROW(CW163),FILTER(ROW(CW$10:CW$199),CW$10:CW$199&lt;&gt;CW$9:CW$198)))),DD163,)"),"")</f>
        <v/>
      </c>
      <c r="DH163" s="122"/>
      <c r="DI163" s="33"/>
      <c r="DJ163" s="143" t="str">
        <f t="shared" si="23"/>
        <v/>
      </c>
      <c r="DK163" s="38" t="str">
        <f>IFERROR(__xludf.DUMMYFUNCTION("""COMPUTED_VALUE"""),"")</f>
        <v/>
      </c>
      <c r="DL163" s="144">
        <v>46167.0</v>
      </c>
      <c r="DM163" s="167" t="str">
        <f t="shared" ref="DM163:DN163" si="415">IF(ISBLANK(CY163),"",CY163)</f>
        <v/>
      </c>
      <c r="DN163" s="168" t="str">
        <f t="shared" si="415"/>
        <v/>
      </c>
      <c r="DO163" s="169" t="str">
        <f t="shared" si="341"/>
        <v/>
      </c>
      <c r="DP163" s="172" t="str">
        <f t="shared" si="342"/>
        <v/>
      </c>
      <c r="DQ163" s="171" t="str">
        <f t="array" ref="DQ163">IFERROR(IF(DK163="ac"+ISNUMBER(SEARCH("'",DP163))+DO163="","", IF(ISNUMBER(SEARCH("lw",DP163)), DC163 + SUBSTITUTE(DP163,"lw+",""), MROUND(SWITCH(DK163,"sq",DO$7,"bn",DP$7,"dl",DQ$7,"")*IF(DP163&gt;10, DP163/100, VLOOKUP(DP163, _rpe,SUBSTITUTE(DO163,"+","")+1,0)), IF( SWITCH(DK163,"sq",DO$7,"bn",DP$7,"dl", DQ$7,"")&lt; IF(_uom="lbs", 175, 80), 1.25, IF(_uom="lbs",5,2.5))))), "")</f>
        <v/>
      </c>
      <c r="DR163" s="148"/>
      <c r="DS163" s="33"/>
      <c r="DT163" s="171"/>
      <c r="DU163" s="124" t="str">
        <f>IFERROR(__xludf.DUMMYFUNCTION("IF(DQ163=MAX(FILTER(DQ$10:DQ$199,LOOKUP(ROW(DK$10:DK$199),FILTER(ROW(DK$10:DK$199),DK$10:DK$199&lt;&gt;DK$9:DK$198))=LOOKUP(ROW(DK163),FILTER(ROW(DK$10:DK$199),DK$10:DK$199&lt;&gt;DK$9:DK$198)))),DR163,)"),"")</f>
        <v/>
      </c>
      <c r="DV163" s="122"/>
      <c r="DW163" s="33"/>
      <c r="DX163" s="143"/>
      <c r="DY163" s="38"/>
      <c r="DZ163" s="144"/>
      <c r="EA163" s="150"/>
      <c r="EB163" s="174"/>
      <c r="EC163" s="175"/>
      <c r="ED163" s="176"/>
      <c r="EE163" s="155"/>
      <c r="EF163" s="148"/>
      <c r="EG163" s="33"/>
      <c r="EH163" s="155"/>
      <c r="EI163" s="148"/>
      <c r="EJ163" s="33"/>
      <c r="EK163" s="33"/>
      <c r="EL163" s="143"/>
      <c r="EM163" s="38"/>
      <c r="EN163" s="144"/>
      <c r="EO163" s="150"/>
      <c r="EP163" s="174"/>
      <c r="EQ163" s="175"/>
      <c r="ER163" s="176"/>
      <c r="ES163" s="155"/>
      <c r="ET163" s="148"/>
      <c r="EU163" s="33"/>
      <c r="EV163" s="155"/>
      <c r="EW163" s="148"/>
      <c r="EX163" s="33"/>
      <c r="EY163" s="33"/>
      <c r="EZ163" s="143"/>
      <c r="FA163" s="38"/>
      <c r="FB163" s="144"/>
      <c r="FC163" s="150"/>
      <c r="FD163" s="174"/>
      <c r="FE163" s="175"/>
      <c r="FF163" s="176"/>
      <c r="FG163" s="155"/>
      <c r="FH163" s="148"/>
      <c r="FI163" s="33"/>
      <c r="FJ163" s="155"/>
      <c r="FK163" s="148"/>
      <c r="FL163" s="33"/>
      <c r="FM163" s="33"/>
      <c r="FN163" s="143"/>
      <c r="FO163" s="38"/>
      <c r="FP163" s="144"/>
      <c r="FQ163" s="150"/>
      <c r="FR163" s="174"/>
      <c r="FS163" s="175"/>
      <c r="FT163" s="176"/>
      <c r="FU163" s="155"/>
      <c r="FV163" s="148"/>
      <c r="FW163" s="33"/>
      <c r="FX163" s="155"/>
      <c r="FY163" s="148"/>
      <c r="FZ163" s="33"/>
      <c r="GA163" s="33"/>
      <c r="GB163" s="143"/>
      <c r="GC163" s="38"/>
      <c r="GD163" s="144"/>
      <c r="GE163" s="150"/>
      <c r="GF163" s="174"/>
      <c r="GG163" s="175"/>
      <c r="GH163" s="176"/>
      <c r="GI163" s="155"/>
      <c r="GJ163" s="148"/>
      <c r="GK163" s="33"/>
      <c r="GL163" s="155"/>
      <c r="GM163" s="148"/>
      <c r="GN163" s="33"/>
      <c r="GO163" s="33"/>
      <c r="GP163" s="143"/>
      <c r="GQ163" s="38"/>
      <c r="GR163" s="144"/>
      <c r="GS163" s="150"/>
      <c r="GT163" s="174"/>
      <c r="GU163" s="175"/>
      <c r="GV163" s="176"/>
      <c r="GW163" s="155"/>
      <c r="GX163" s="148"/>
      <c r="GY163" s="33"/>
      <c r="GZ163" s="155"/>
      <c r="HA163" s="148"/>
      <c r="HB163" s="33"/>
      <c r="HC163" s="33"/>
      <c r="HD163" s="143"/>
      <c r="HE163" s="38"/>
      <c r="HF163" s="144"/>
      <c r="HG163" s="150"/>
      <c r="HH163" s="174"/>
      <c r="HI163" s="175"/>
      <c r="HJ163" s="176"/>
      <c r="HK163" s="155"/>
      <c r="HL163" s="148"/>
      <c r="HM163" s="33"/>
      <c r="HN163" s="155"/>
      <c r="HO163" s="148"/>
      <c r="HP163" s="33"/>
      <c r="HQ163" s="33"/>
      <c r="HR163" s="143"/>
      <c r="HS163" s="38"/>
      <c r="HT163" s="144"/>
      <c r="HU163" s="150"/>
      <c r="HV163" s="174"/>
      <c r="HW163" s="175"/>
      <c r="HX163" s="176"/>
      <c r="HY163" s="155"/>
      <c r="HZ163" s="148"/>
      <c r="IA163" s="33"/>
      <c r="IB163" s="155"/>
      <c r="IC163" s="148"/>
      <c r="ID163" s="33"/>
      <c r="IE163" s="33"/>
      <c r="IF163" s="143"/>
      <c r="IG163" s="38"/>
      <c r="IH163" s="144"/>
      <c r="II163" s="150"/>
      <c r="IJ163" s="174"/>
      <c r="IK163" s="175"/>
      <c r="IL163" s="176"/>
      <c r="IM163" s="155"/>
      <c r="IN163" s="148"/>
      <c r="IO163" s="33"/>
      <c r="IP163" s="155"/>
      <c r="IQ163" s="148"/>
      <c r="IR163" s="33"/>
      <c r="IS163" s="33"/>
      <c r="IT163" s="143"/>
      <c r="IU163" s="38"/>
      <c r="IV163" s="144"/>
      <c r="IW163" s="143"/>
      <c r="IX163" s="38"/>
      <c r="IY163" s="144" t="e">
        <v>#REF!</v>
      </c>
    </row>
    <row r="164">
      <c r="A164" s="33"/>
      <c r="B164" s="181"/>
      <c r="C164" s="38" t="str">
        <f>IFERROR(__xludf.DUMMYFUNCTION("""COMPUTED_VALUE"""),"")</f>
        <v/>
      </c>
      <c r="D164" s="144">
        <v>46111.0</v>
      </c>
      <c r="E164" s="182"/>
      <c r="F164" s="168"/>
      <c r="G164" s="169"/>
      <c r="H164" s="170"/>
      <c r="I164" s="171" t="str">
        <f t="array" ref="I164">IFERROR(IF(C164="ac"+ISNUMBER(SEARCH("'",H164))+G164="","", MROUND(SWITCH(C164,"sq",'Personal Info'!$O$15,"bn",'Personal Info'!$S$15,"dl",'Personal Info'!$W$15,"")*IF(H164&gt;10, H164/100, VLOOKUP(H164, _rpe,SUBSTITUTE(G164,"+","")+1,0)), IF( SWITCH(C164:C210,"sq",'Personal Info'!$O$15,"bn",'Personal Info'!$S$15,"dl", 'Personal Info'!$W$15,"")&lt; IF(_uom="lbs", 175, 80), 1.25, IF(_uom="lbs",5,2.5)))),"")</f>
        <v/>
      </c>
      <c r="J164" s="148"/>
      <c r="K164" s="33"/>
      <c r="L164" s="171"/>
      <c r="M164" s="124" t="str">
        <f>IFERROR(__xludf.DUMMYFUNCTION("IF(I164=MAX(FILTER(I$10:I$199,LOOKUP(ROW(C$10:C$199),FILTER(ROW(C$10:C$199),C$10:C$199&lt;&gt;C$9:C$198))=LOOKUP(ROW(C164),FILTER(ROW(C$10:C$199),C$10:C$199&lt;&gt;C$9:C$198)))),J164,)"),"")</f>
        <v/>
      </c>
      <c r="N164" s="122"/>
      <c r="O164" s="33"/>
      <c r="P164" s="143" t="str">
        <f t="shared" si="12"/>
        <v/>
      </c>
      <c r="Q164" s="38" t="str">
        <f>IFERROR(__xludf.DUMMYFUNCTION("""COMPUTED_VALUE"""),"")</f>
        <v/>
      </c>
      <c r="R164" s="144">
        <v>46118.0</v>
      </c>
      <c r="S164" s="167" t="str">
        <f t="shared" si="13"/>
        <v/>
      </c>
      <c r="T164" s="168" t="str">
        <f t="shared" si="319"/>
        <v/>
      </c>
      <c r="U164" s="169" t="str">
        <f t="shared" si="320"/>
        <v/>
      </c>
      <c r="V164" s="172" t="str">
        <f t="shared" si="321"/>
        <v/>
      </c>
      <c r="W164" s="171" t="str">
        <f t="array" ref="W164">IFERROR(IF(Q164="ac"+ISNUMBER(SEARCH("'",V164))+U164="","", IF(ISNUMBER(SEARCH("lw",V164)), I164 + SUBSTITUTE(V164,"lw+",""), MROUND(SWITCH(Q164,"sq",U$7,"bn",V$7,"dl",W$7,"")*IF(V164&gt;10, V164/100, VLOOKUP(V164, _rpe,SUBSTITUTE(U164,"+","")+1,0)), IF( SWITCH(Q164,"sq",U$7,"bn",V$7,"dl", W$7,"")&lt; IF(_uom="lbs", 175, 80), 1.25, IF(_uom="lbs",5,2.5))))), "")</f>
        <v/>
      </c>
      <c r="X164" s="148"/>
      <c r="Y164" s="33"/>
      <c r="Z164" s="171"/>
      <c r="AA164" s="124" t="str">
        <f>IFERROR(__xludf.DUMMYFUNCTION("IF(W164=MAX(FILTER(W$10:W$199,LOOKUP(ROW(Q$10:Q$199),FILTER(ROW(Q$10:Q$199),Q$10:Q$199&lt;&gt;Q$9:Q$198))=LOOKUP(ROW(Q164),FILTER(ROW(Q$10:Q$199),Q$10:Q$199&lt;&gt;Q$9:Q$198)))),X164,)"),"")</f>
        <v/>
      </c>
      <c r="AB164" s="122"/>
      <c r="AC164" s="33"/>
      <c r="AD164" s="143" t="str">
        <f t="shared" si="14"/>
        <v/>
      </c>
      <c r="AE164" s="38" t="str">
        <f>IFERROR(__xludf.DUMMYFUNCTION("""COMPUTED_VALUE"""),"")</f>
        <v/>
      </c>
      <c r="AF164" s="144">
        <v>46125.0</v>
      </c>
      <c r="AG164" s="167" t="str">
        <f t="shared" si="54"/>
        <v/>
      </c>
      <c r="AH164" s="168" t="str">
        <f t="shared" si="322"/>
        <v/>
      </c>
      <c r="AI164" s="169" t="str">
        <f t="shared" si="323"/>
        <v/>
      </c>
      <c r="AJ164" s="172" t="str">
        <f t="shared" si="324"/>
        <v/>
      </c>
      <c r="AK164" s="171" t="str">
        <f t="array" ref="AK164">IFERROR(IF(AE164="ac"+ISNUMBER(SEARCH("'",AJ164))+AI164="","", IF(ISNUMBER(SEARCH("lw",AJ164)), W164 + SUBSTITUTE(AJ164,"lw+",""), MROUND(SWITCH(AE164,"sq",AI$7,"bn",AJ$7,"dl",AK$7,"")*IF(AJ164&gt;10, AJ164/100, VLOOKUP(AJ164, _rpe,SUBSTITUTE(AI164,"+","")+1,0)), IF( SWITCH(AE164,"sq",AI$7,"bn",AJ$7,"dl", AK$7,"")&lt; IF(_uom="lbs", 175, 80), 1.25, IF(_uom="lbs",5,2.5))))), "")</f>
        <v/>
      </c>
      <c r="AL164" s="148"/>
      <c r="AM164" s="33"/>
      <c r="AN164" s="171"/>
      <c r="AO164" s="124" t="str">
        <f>IFERROR(__xludf.DUMMYFUNCTION("IF(AK164=MAX(FILTER(AK$10:AK$199,LOOKUP(ROW(AE$10:AE$199),FILTER(ROW(AE$10:AE$199),AE$10:AE$199&lt;&gt;AE$9:AE$198))=LOOKUP(ROW(AE164),FILTER(ROW(AE$10:AE$199),AE$10:AE$199&lt;&gt;AE$9:AE$198)))),AL164,)"),"")</f>
        <v/>
      </c>
      <c r="AP164" s="122"/>
      <c r="AQ164" s="33"/>
      <c r="AR164" s="143" t="str">
        <f t="shared" si="16"/>
        <v/>
      </c>
      <c r="AS164" s="38" t="str">
        <f>IFERROR(__xludf.DUMMYFUNCTION("""COMPUTED_VALUE"""),"")</f>
        <v/>
      </c>
      <c r="AT164" s="144">
        <v>46132.0</v>
      </c>
      <c r="AU164" s="167" t="str">
        <f t="shared" si="26"/>
        <v/>
      </c>
      <c r="AV164" s="168" t="str">
        <f t="shared" si="325"/>
        <v/>
      </c>
      <c r="AW164" s="169" t="str">
        <f t="shared" si="326"/>
        <v/>
      </c>
      <c r="AX164" s="172" t="str">
        <f t="shared" si="327"/>
        <v/>
      </c>
      <c r="AY164" s="171" t="str">
        <f t="array" ref="AY164">IFERROR(IF(AS164="ac"+ISNUMBER(SEARCH("'",AX164))+AW164="","", IF(ISNUMBER(SEARCH("lw",AX164)), AK164 + SUBSTITUTE(AX164,"lw+",""), MROUND(SWITCH(AS164,"sq",AW$7,"bn",AX$7,"dl",AY$7,"")*IF(AX164&gt;10, AX164/100, VLOOKUP(AX164, _rpe,SUBSTITUTE(AW164,"+","")+1,0)), IF( SWITCH(AS164,"sq",AW$7,"bn",AX$7,"dl", AY$7,"")&lt; IF(_uom="lbs", 175, 80), 1.25, IF(_uom="lbs",5,2.5))))), "")</f>
        <v/>
      </c>
      <c r="AZ164" s="148"/>
      <c r="BA164" s="33"/>
      <c r="BB164" s="171"/>
      <c r="BC164" s="124" t="str">
        <f>IFERROR(__xludf.DUMMYFUNCTION("IF(AY164=MAX(FILTER(AY$10:AY$199,LOOKUP(ROW(AS$10:AS$199),FILTER(ROW(AS$10:AS$199),AS$10:AS$199&lt;&gt;AS$9:AS$198))=LOOKUP(ROW(AS164),FILTER(ROW(AS$10:AS$199),AS$10:AS$199&lt;&gt;AS$9:AS$198)))),AZ164,)"),"")</f>
        <v/>
      </c>
      <c r="BD164" s="122"/>
      <c r="BE164" s="33"/>
      <c r="BF164" s="143" t="str">
        <f t="shared" si="17"/>
        <v/>
      </c>
      <c r="BG164" s="38" t="str">
        <f>IFERROR(__xludf.DUMMYFUNCTION("""COMPUTED_VALUE"""),"")</f>
        <v/>
      </c>
      <c r="BH164" s="144">
        <v>46139.0</v>
      </c>
      <c r="BI164" s="167" t="str">
        <f t="shared" si="18"/>
        <v/>
      </c>
      <c r="BJ164" s="168" t="str">
        <f t="shared" si="328"/>
        <v/>
      </c>
      <c r="BK164" s="169" t="str">
        <f t="shared" si="329"/>
        <v/>
      </c>
      <c r="BL164" s="172" t="str">
        <f t="shared" si="330"/>
        <v/>
      </c>
      <c r="BM164" s="171" t="str">
        <f t="array" ref="BM164">IFERROR(IF(BG164="ac"+ISNUMBER(SEARCH("'",BL164))+BK164="","", IF(ISNUMBER(SEARCH("lw",BL164)), AY164 + SUBSTITUTE(BL164,"lw+",""), MROUND(SWITCH(BG164,"sq",BK$7,"bn",BL$7,"dl",BM$7,"")*IF(BL164&gt;10, BL164/100, VLOOKUP(BL164, _rpe,SUBSTITUTE(BK164,"+","")+1,0)), IF( SWITCH(BG164,"sq",BK$7,"bn",BL$7,"dl", BM$7,"")&lt; IF(_uom="lbs", 175, 80), 1.25, IF(_uom="lbs",5,2.5))))), "")</f>
        <v/>
      </c>
      <c r="BN164" s="148"/>
      <c r="BO164" s="33"/>
      <c r="BP164" s="171"/>
      <c r="BQ164" s="124" t="str">
        <f>IFERROR(__xludf.DUMMYFUNCTION("IF(BM164=MAX(FILTER(BM$10:BM$199,LOOKUP(ROW(BG$10:BG$199),FILTER(ROW(BG$10:BG$199),BG$10:BG$199&lt;&gt;BG$9:BG$198))=LOOKUP(ROW(BG164),FILTER(ROW(BG$10:BG$199),BG$10:BG$199&lt;&gt;BG$9:BG$198)))),BN164,)"),"")</f>
        <v/>
      </c>
      <c r="BR164" s="122"/>
      <c r="BS164" s="33"/>
      <c r="BT164" s="143" t="str">
        <f t="shared" si="19"/>
        <v/>
      </c>
      <c r="BU164" s="38" t="str">
        <f>IFERROR(__xludf.DUMMYFUNCTION("""COMPUTED_VALUE"""),"")</f>
        <v/>
      </c>
      <c r="BV164" s="144">
        <v>46146.0</v>
      </c>
      <c r="BW164" s="167" t="str">
        <f t="shared" si="20"/>
        <v/>
      </c>
      <c r="BX164" s="168" t="str">
        <f t="shared" si="331"/>
        <v/>
      </c>
      <c r="BY164" s="169" t="str">
        <f t="shared" si="332"/>
        <v/>
      </c>
      <c r="BZ164" s="172" t="str">
        <f t="shared" si="333"/>
        <v/>
      </c>
      <c r="CA164" s="171" t="str">
        <f t="array" ref="CA164">IFERROR(IF(BU164="ac"+ISNUMBER(SEARCH("'",BZ164))+BY164="","", IF(ISNUMBER(SEARCH("lw",BZ164)), BM164 + SUBSTITUTE(BZ164,"lw+",""), MROUND(SWITCH(BU164,"sq",BY$7,"bn",BZ$7,"dl",CA$7,"")*IF(BZ164&gt;10, BZ164/100, VLOOKUP(BZ164, _rpe,SUBSTITUTE(BY164,"+","")+1,0)), IF( SWITCH(BU164,"sq",BY$7,"bn",BZ$7,"dl", CA$7,"")&lt; IF(_uom="lbs", 175, 80), 1.25, IF(_uom="lbs",5,2.5))))), "")</f>
        <v/>
      </c>
      <c r="CB164" s="148"/>
      <c r="CC164" s="33"/>
      <c r="CD164" s="171"/>
      <c r="CE164" s="124" t="str">
        <f>IFERROR(__xludf.DUMMYFUNCTION("IF(CA164=MAX(FILTER(CA$10:CA$199,LOOKUP(ROW(BU$10:BU$199),FILTER(ROW(BU$10:BU$199),BU$10:BU$199&lt;&gt;BU$9:BU$198))=LOOKUP(ROW(BU164),FILTER(ROW(BU$10:BU$199),BU$10:BU$199&lt;&gt;BU$9:BU$198)))),CB164,)"),"")</f>
        <v/>
      </c>
      <c r="CF164" s="122"/>
      <c r="CG164" s="33"/>
      <c r="CH164" s="143" t="str">
        <f t="shared" si="21"/>
        <v/>
      </c>
      <c r="CI164" s="38" t="str">
        <f>IFERROR(__xludf.DUMMYFUNCTION("""COMPUTED_VALUE"""),"")</f>
        <v/>
      </c>
      <c r="CJ164" s="144">
        <v>46153.0</v>
      </c>
      <c r="CK164" s="167" t="str">
        <f t="shared" si="27"/>
        <v/>
      </c>
      <c r="CL164" s="168" t="str">
        <f t="shared" si="334"/>
        <v/>
      </c>
      <c r="CM164" s="169" t="str">
        <f t="shared" si="335"/>
        <v/>
      </c>
      <c r="CN164" s="172" t="str">
        <f t="shared" si="336"/>
        <v/>
      </c>
      <c r="CO164" s="171" t="str">
        <f t="array" ref="CO164">IFERROR(IF(CI164="ac"+ISNUMBER(SEARCH("'",CN164))+CM164="","", IF(ISNUMBER(SEARCH("lw",CN164)), CA164 + SUBSTITUTE(CN164,"lw+",""), MROUND(SWITCH(CI164,"sq",CM$7,"bn",CN$7,"dl",CO$7,"")*IF(CN164&gt;10, CN164/100, VLOOKUP(CN164, _rpe,SUBSTITUTE(CM164,"+","")+1,0)), IF( SWITCH(CI164,"sq",CM$7,"bn",CN$7,"dl", CO$7,"")&lt; IF(_uom="lbs", 175, 80), 1.25, IF(_uom="lbs",5,2.5))))), "")</f>
        <v/>
      </c>
      <c r="CP164" s="148"/>
      <c r="CQ164" s="33"/>
      <c r="CR164" s="171"/>
      <c r="CS164" s="124" t="str">
        <f>IFERROR(__xludf.DUMMYFUNCTION("IF(CO164=MAX(FILTER(CO$10:CO$199,LOOKUP(ROW(CI$10:CI$199),FILTER(ROW(CI$10:CI$199),CI$10:CI$199&lt;&gt;CI$9:CI$198))=LOOKUP(ROW(CI164),FILTER(ROW(CI$10:CI$199),CI$10:CI$199&lt;&gt;CI$9:CI$198)))),CP164,)"),"")</f>
        <v/>
      </c>
      <c r="CT164" s="122"/>
      <c r="CU164" s="33"/>
      <c r="CV164" s="143" t="str">
        <f t="shared" si="22"/>
        <v/>
      </c>
      <c r="CW164" s="38" t="str">
        <f>IFERROR(__xludf.DUMMYFUNCTION("""COMPUTED_VALUE"""),"")</f>
        <v/>
      </c>
      <c r="CX164" s="144">
        <v>46160.0</v>
      </c>
      <c r="CY164" s="167" t="str">
        <f t="shared" si="28"/>
        <v/>
      </c>
      <c r="CZ164" s="168" t="str">
        <f t="shared" si="337"/>
        <v/>
      </c>
      <c r="DA164" s="169" t="str">
        <f t="shared" si="338"/>
        <v/>
      </c>
      <c r="DB164" s="172" t="str">
        <f t="shared" si="339"/>
        <v/>
      </c>
      <c r="DC164" s="171" t="str">
        <f t="array" ref="DC164">IFERROR(IF(CW164="ac"+ISNUMBER(SEARCH("'",DB164))+DA164="","", IF(ISNUMBER(SEARCH("lw",DB164)), CO164 + SUBSTITUTE(DB164,"lw+",""), MROUND(SWITCH(CW164,"sq",DA$7,"bn",DB$7,"dl",DC$7,"")*IF(DB164&gt;10, DB164/100, VLOOKUP(DB164, _rpe,SUBSTITUTE(DA164,"+","")+1,0)), IF( SWITCH(CW164,"sq",DA$7,"bn",DB$7,"dl", DC$7,"")&lt; IF(_uom="lbs", 175, 80), 1.25, IF(_uom="lbs",5,2.5))))), "")</f>
        <v/>
      </c>
      <c r="DD164" s="148"/>
      <c r="DE164" s="33"/>
      <c r="DF164" s="171"/>
      <c r="DG164" s="124" t="str">
        <f>IFERROR(__xludf.DUMMYFUNCTION("IF(DC164=MAX(FILTER(DC$10:DC$199,LOOKUP(ROW(CW$10:CW$199),FILTER(ROW(CW$10:CW$199),CW$10:CW$199&lt;&gt;CW$9:CW$198))=LOOKUP(ROW(CW164),FILTER(ROW(CW$10:CW$199),CW$10:CW$199&lt;&gt;CW$9:CW$198)))),DD164,)"),"")</f>
        <v/>
      </c>
      <c r="DH164" s="122"/>
      <c r="DI164" s="33"/>
      <c r="DJ164" s="143" t="str">
        <f t="shared" si="23"/>
        <v/>
      </c>
      <c r="DK164" s="38" t="str">
        <f>IFERROR(__xludf.DUMMYFUNCTION("""COMPUTED_VALUE"""),"")</f>
        <v/>
      </c>
      <c r="DL164" s="144">
        <v>46167.0</v>
      </c>
      <c r="DM164" s="167" t="str">
        <f t="shared" ref="DM164:DN164" si="416">IF(ISBLANK(CY164),"",CY164)</f>
        <v/>
      </c>
      <c r="DN164" s="168" t="str">
        <f t="shared" si="416"/>
        <v/>
      </c>
      <c r="DO164" s="169" t="str">
        <f t="shared" si="341"/>
        <v/>
      </c>
      <c r="DP164" s="172" t="str">
        <f t="shared" si="342"/>
        <v/>
      </c>
      <c r="DQ164" s="171" t="str">
        <f t="array" ref="DQ164">IFERROR(IF(DK164="ac"+ISNUMBER(SEARCH("'",DP164))+DO164="","", IF(ISNUMBER(SEARCH("lw",DP164)), DC164 + SUBSTITUTE(DP164,"lw+",""), MROUND(SWITCH(DK164,"sq",DO$7,"bn",DP$7,"dl",DQ$7,"")*IF(DP164&gt;10, DP164/100, VLOOKUP(DP164, _rpe,SUBSTITUTE(DO164,"+","")+1,0)), IF( SWITCH(DK164,"sq",DO$7,"bn",DP$7,"dl", DQ$7,"")&lt; IF(_uom="lbs", 175, 80), 1.25, IF(_uom="lbs",5,2.5))))), "")</f>
        <v/>
      </c>
      <c r="DR164" s="148"/>
      <c r="DS164" s="33"/>
      <c r="DT164" s="171"/>
      <c r="DU164" s="124" t="str">
        <f>IFERROR(__xludf.DUMMYFUNCTION("IF(DQ164=MAX(FILTER(DQ$10:DQ$199,LOOKUP(ROW(DK$10:DK$199),FILTER(ROW(DK$10:DK$199),DK$10:DK$199&lt;&gt;DK$9:DK$198))=LOOKUP(ROW(DK164),FILTER(ROW(DK$10:DK$199),DK$10:DK$199&lt;&gt;DK$9:DK$198)))),DR164,)"),"")</f>
        <v/>
      </c>
      <c r="DV164" s="122"/>
      <c r="DW164" s="33"/>
      <c r="DX164" s="143"/>
      <c r="DY164" s="38"/>
      <c r="DZ164" s="144"/>
      <c r="EA164" s="150"/>
      <c r="EB164" s="174"/>
      <c r="EC164" s="175"/>
      <c r="ED164" s="176"/>
      <c r="EE164" s="155"/>
      <c r="EF164" s="148"/>
      <c r="EG164" s="33"/>
      <c r="EH164" s="155"/>
      <c r="EI164" s="148"/>
      <c r="EJ164" s="33"/>
      <c r="EK164" s="33"/>
      <c r="EL164" s="143"/>
      <c r="EM164" s="38"/>
      <c r="EN164" s="144"/>
      <c r="EO164" s="150"/>
      <c r="EP164" s="174"/>
      <c r="EQ164" s="175"/>
      <c r="ER164" s="176"/>
      <c r="ES164" s="155"/>
      <c r="ET164" s="148"/>
      <c r="EU164" s="33"/>
      <c r="EV164" s="155"/>
      <c r="EW164" s="148"/>
      <c r="EX164" s="33"/>
      <c r="EY164" s="33"/>
      <c r="EZ164" s="143"/>
      <c r="FA164" s="38"/>
      <c r="FB164" s="144"/>
      <c r="FC164" s="150"/>
      <c r="FD164" s="174"/>
      <c r="FE164" s="175"/>
      <c r="FF164" s="176"/>
      <c r="FG164" s="155"/>
      <c r="FH164" s="148"/>
      <c r="FI164" s="33"/>
      <c r="FJ164" s="155"/>
      <c r="FK164" s="148"/>
      <c r="FL164" s="33"/>
      <c r="FM164" s="33"/>
      <c r="FN164" s="143"/>
      <c r="FO164" s="38"/>
      <c r="FP164" s="144"/>
      <c r="FQ164" s="150"/>
      <c r="FR164" s="174"/>
      <c r="FS164" s="175"/>
      <c r="FT164" s="176"/>
      <c r="FU164" s="155"/>
      <c r="FV164" s="148"/>
      <c r="FW164" s="33"/>
      <c r="FX164" s="155"/>
      <c r="FY164" s="148"/>
      <c r="FZ164" s="33"/>
      <c r="GA164" s="33"/>
      <c r="GB164" s="143"/>
      <c r="GC164" s="38"/>
      <c r="GD164" s="144"/>
      <c r="GE164" s="150"/>
      <c r="GF164" s="174"/>
      <c r="GG164" s="175"/>
      <c r="GH164" s="176"/>
      <c r="GI164" s="155"/>
      <c r="GJ164" s="148"/>
      <c r="GK164" s="33"/>
      <c r="GL164" s="155"/>
      <c r="GM164" s="148"/>
      <c r="GN164" s="33"/>
      <c r="GO164" s="33"/>
      <c r="GP164" s="143"/>
      <c r="GQ164" s="38"/>
      <c r="GR164" s="144"/>
      <c r="GS164" s="150"/>
      <c r="GT164" s="174"/>
      <c r="GU164" s="175"/>
      <c r="GV164" s="176"/>
      <c r="GW164" s="155"/>
      <c r="GX164" s="148"/>
      <c r="GY164" s="33"/>
      <c r="GZ164" s="155"/>
      <c r="HA164" s="148"/>
      <c r="HB164" s="33"/>
      <c r="HC164" s="33"/>
      <c r="HD164" s="143"/>
      <c r="HE164" s="38"/>
      <c r="HF164" s="144"/>
      <c r="HG164" s="150"/>
      <c r="HH164" s="174"/>
      <c r="HI164" s="175"/>
      <c r="HJ164" s="176"/>
      <c r="HK164" s="155"/>
      <c r="HL164" s="148"/>
      <c r="HM164" s="33"/>
      <c r="HN164" s="155"/>
      <c r="HO164" s="148"/>
      <c r="HP164" s="33"/>
      <c r="HQ164" s="33"/>
      <c r="HR164" s="143"/>
      <c r="HS164" s="38"/>
      <c r="HT164" s="144"/>
      <c r="HU164" s="150"/>
      <c r="HV164" s="174"/>
      <c r="HW164" s="175"/>
      <c r="HX164" s="176"/>
      <c r="HY164" s="155"/>
      <c r="HZ164" s="148"/>
      <c r="IA164" s="33"/>
      <c r="IB164" s="155"/>
      <c r="IC164" s="148"/>
      <c r="ID164" s="33"/>
      <c r="IE164" s="33"/>
      <c r="IF164" s="143"/>
      <c r="IG164" s="38"/>
      <c r="IH164" s="144"/>
      <c r="II164" s="150"/>
      <c r="IJ164" s="174"/>
      <c r="IK164" s="175"/>
      <c r="IL164" s="176"/>
      <c r="IM164" s="155"/>
      <c r="IN164" s="148"/>
      <c r="IO164" s="33"/>
      <c r="IP164" s="155"/>
      <c r="IQ164" s="148"/>
      <c r="IR164" s="33"/>
      <c r="IS164" s="33"/>
      <c r="IT164" s="143"/>
      <c r="IU164" s="38"/>
      <c r="IV164" s="144"/>
      <c r="IW164" s="143"/>
      <c r="IX164" s="38"/>
      <c r="IY164" s="144" t="e">
        <v>#REF!</v>
      </c>
    </row>
    <row r="165">
      <c r="A165" s="33"/>
      <c r="B165" s="181"/>
      <c r="C165" s="38" t="str">
        <f>IFERROR(__xludf.DUMMYFUNCTION("""COMPUTED_VALUE"""),"")</f>
        <v/>
      </c>
      <c r="D165" s="144">
        <v>46111.0</v>
      </c>
      <c r="E165" s="182"/>
      <c r="F165" s="168"/>
      <c r="G165" s="169"/>
      <c r="H165" s="170"/>
      <c r="I165" s="171" t="str">
        <f t="array" ref="I165">IFERROR(IF(C165="ac"+ISNUMBER(SEARCH("'",H165))+G165="","", MROUND(SWITCH(C165,"sq",'Personal Info'!$O$15,"bn",'Personal Info'!$S$15,"dl",'Personal Info'!$W$15,"")*IF(H165&gt;10, H165/100, VLOOKUP(H165, _rpe,SUBSTITUTE(G165,"+","")+1,0)), IF( SWITCH(C165:C210,"sq",'Personal Info'!$O$15,"bn",'Personal Info'!$S$15,"dl", 'Personal Info'!$W$15,"")&lt; IF(_uom="lbs", 175, 80), 1.25, IF(_uom="lbs",5,2.5)))),"")</f>
        <v/>
      </c>
      <c r="J165" s="148"/>
      <c r="K165" s="33"/>
      <c r="L165" s="171"/>
      <c r="M165" s="124" t="str">
        <f>IFERROR(__xludf.DUMMYFUNCTION("IF(I165=MAX(FILTER(I$10:I$199,LOOKUP(ROW(C$10:C$199),FILTER(ROW(C$10:C$199),C$10:C$199&lt;&gt;C$9:C$198))=LOOKUP(ROW(C165),FILTER(ROW(C$10:C$199),C$10:C$199&lt;&gt;C$9:C$198)))),J165,)"),"")</f>
        <v/>
      </c>
      <c r="N165" s="122"/>
      <c r="O165" s="33"/>
      <c r="P165" s="143" t="str">
        <f t="shared" si="12"/>
        <v/>
      </c>
      <c r="Q165" s="38" t="str">
        <f>IFERROR(__xludf.DUMMYFUNCTION("""COMPUTED_VALUE"""),"")</f>
        <v/>
      </c>
      <c r="R165" s="144">
        <v>46118.0</v>
      </c>
      <c r="S165" s="167" t="str">
        <f t="shared" si="13"/>
        <v/>
      </c>
      <c r="T165" s="168" t="str">
        <f t="shared" si="319"/>
        <v/>
      </c>
      <c r="U165" s="169" t="str">
        <f t="shared" si="320"/>
        <v/>
      </c>
      <c r="V165" s="172" t="str">
        <f t="shared" si="321"/>
        <v/>
      </c>
      <c r="W165" s="171" t="str">
        <f t="array" ref="W165">IFERROR(IF(Q165="ac"+ISNUMBER(SEARCH("'",V165))+U165="","", IF(ISNUMBER(SEARCH("lw",V165)), I165 + SUBSTITUTE(V165,"lw+",""), MROUND(SWITCH(Q165,"sq",U$7,"bn",V$7,"dl",W$7,"")*IF(V165&gt;10, V165/100, VLOOKUP(V165, _rpe,SUBSTITUTE(U165,"+","")+1,0)), IF( SWITCH(Q165,"sq",U$7,"bn",V$7,"dl", W$7,"")&lt; IF(_uom="lbs", 175, 80), 1.25, IF(_uom="lbs",5,2.5))))), "")</f>
        <v/>
      </c>
      <c r="X165" s="148"/>
      <c r="Y165" s="33"/>
      <c r="Z165" s="171"/>
      <c r="AA165" s="124" t="str">
        <f>IFERROR(__xludf.DUMMYFUNCTION("IF(W165=MAX(FILTER(W$10:W$199,LOOKUP(ROW(Q$10:Q$199),FILTER(ROW(Q$10:Q$199),Q$10:Q$199&lt;&gt;Q$9:Q$198))=LOOKUP(ROW(Q165),FILTER(ROW(Q$10:Q$199),Q$10:Q$199&lt;&gt;Q$9:Q$198)))),X165,)"),"")</f>
        <v/>
      </c>
      <c r="AB165" s="122"/>
      <c r="AC165" s="33"/>
      <c r="AD165" s="143" t="str">
        <f t="shared" si="14"/>
        <v/>
      </c>
      <c r="AE165" s="38" t="str">
        <f>IFERROR(__xludf.DUMMYFUNCTION("""COMPUTED_VALUE"""),"")</f>
        <v/>
      </c>
      <c r="AF165" s="144">
        <v>46125.0</v>
      </c>
      <c r="AG165" s="167" t="str">
        <f t="shared" si="54"/>
        <v/>
      </c>
      <c r="AH165" s="168" t="str">
        <f t="shared" si="322"/>
        <v/>
      </c>
      <c r="AI165" s="169" t="str">
        <f t="shared" si="323"/>
        <v/>
      </c>
      <c r="AJ165" s="172" t="str">
        <f t="shared" si="324"/>
        <v/>
      </c>
      <c r="AK165" s="171" t="str">
        <f t="array" ref="AK165">IFERROR(IF(AE165="ac"+ISNUMBER(SEARCH("'",AJ165))+AI165="","", IF(ISNUMBER(SEARCH("lw",AJ165)), W165 + SUBSTITUTE(AJ165,"lw+",""), MROUND(SWITCH(AE165,"sq",AI$7,"bn",AJ$7,"dl",AK$7,"")*IF(AJ165&gt;10, AJ165/100, VLOOKUP(AJ165, _rpe,SUBSTITUTE(AI165,"+","")+1,0)), IF( SWITCH(AE165,"sq",AI$7,"bn",AJ$7,"dl", AK$7,"")&lt; IF(_uom="lbs", 175, 80), 1.25, IF(_uom="lbs",5,2.5))))), "")</f>
        <v/>
      </c>
      <c r="AL165" s="148"/>
      <c r="AM165" s="33"/>
      <c r="AN165" s="171"/>
      <c r="AO165" s="124" t="str">
        <f>IFERROR(__xludf.DUMMYFUNCTION("IF(AK165=MAX(FILTER(AK$10:AK$199,LOOKUP(ROW(AE$10:AE$199),FILTER(ROW(AE$10:AE$199),AE$10:AE$199&lt;&gt;AE$9:AE$198))=LOOKUP(ROW(AE165),FILTER(ROW(AE$10:AE$199),AE$10:AE$199&lt;&gt;AE$9:AE$198)))),AL165,)"),"")</f>
        <v/>
      </c>
      <c r="AP165" s="122"/>
      <c r="AQ165" s="33"/>
      <c r="AR165" s="143" t="str">
        <f t="shared" si="16"/>
        <v/>
      </c>
      <c r="AS165" s="38" t="str">
        <f>IFERROR(__xludf.DUMMYFUNCTION("""COMPUTED_VALUE"""),"")</f>
        <v/>
      </c>
      <c r="AT165" s="144">
        <v>46132.0</v>
      </c>
      <c r="AU165" s="167" t="str">
        <f t="shared" si="26"/>
        <v/>
      </c>
      <c r="AV165" s="168" t="str">
        <f t="shared" si="325"/>
        <v/>
      </c>
      <c r="AW165" s="169" t="str">
        <f t="shared" si="326"/>
        <v/>
      </c>
      <c r="AX165" s="172" t="str">
        <f t="shared" si="327"/>
        <v/>
      </c>
      <c r="AY165" s="171" t="str">
        <f t="array" ref="AY165">IFERROR(IF(AS165="ac"+ISNUMBER(SEARCH("'",AX165))+AW165="","", IF(ISNUMBER(SEARCH("lw",AX165)), AK165 + SUBSTITUTE(AX165,"lw+",""), MROUND(SWITCH(AS165,"sq",AW$7,"bn",AX$7,"dl",AY$7,"")*IF(AX165&gt;10, AX165/100, VLOOKUP(AX165, _rpe,SUBSTITUTE(AW165,"+","")+1,0)), IF( SWITCH(AS165,"sq",AW$7,"bn",AX$7,"dl", AY$7,"")&lt; IF(_uom="lbs", 175, 80), 1.25, IF(_uom="lbs",5,2.5))))), "")</f>
        <v/>
      </c>
      <c r="AZ165" s="148"/>
      <c r="BA165" s="33"/>
      <c r="BB165" s="171"/>
      <c r="BC165" s="124" t="str">
        <f>IFERROR(__xludf.DUMMYFUNCTION("IF(AY165=MAX(FILTER(AY$10:AY$199,LOOKUP(ROW(AS$10:AS$199),FILTER(ROW(AS$10:AS$199),AS$10:AS$199&lt;&gt;AS$9:AS$198))=LOOKUP(ROW(AS165),FILTER(ROW(AS$10:AS$199),AS$10:AS$199&lt;&gt;AS$9:AS$198)))),AZ165,)"),"")</f>
        <v/>
      </c>
      <c r="BD165" s="122"/>
      <c r="BE165" s="33"/>
      <c r="BF165" s="143" t="str">
        <f t="shared" si="17"/>
        <v/>
      </c>
      <c r="BG165" s="38" t="str">
        <f>IFERROR(__xludf.DUMMYFUNCTION("""COMPUTED_VALUE"""),"")</f>
        <v/>
      </c>
      <c r="BH165" s="144">
        <v>46139.0</v>
      </c>
      <c r="BI165" s="167" t="str">
        <f t="shared" si="18"/>
        <v/>
      </c>
      <c r="BJ165" s="168" t="str">
        <f t="shared" si="328"/>
        <v/>
      </c>
      <c r="BK165" s="169" t="str">
        <f t="shared" si="329"/>
        <v/>
      </c>
      <c r="BL165" s="172" t="str">
        <f t="shared" si="330"/>
        <v/>
      </c>
      <c r="BM165" s="171" t="str">
        <f t="array" ref="BM165">IFERROR(IF(BG165="ac"+ISNUMBER(SEARCH("'",BL165))+BK165="","", IF(ISNUMBER(SEARCH("lw",BL165)), AY165 + SUBSTITUTE(BL165,"lw+",""), MROUND(SWITCH(BG165,"sq",BK$7,"bn",BL$7,"dl",BM$7,"")*IF(BL165&gt;10, BL165/100, VLOOKUP(BL165, _rpe,SUBSTITUTE(BK165,"+","")+1,0)), IF( SWITCH(BG165,"sq",BK$7,"bn",BL$7,"dl", BM$7,"")&lt; IF(_uom="lbs", 175, 80), 1.25, IF(_uom="lbs",5,2.5))))), "")</f>
        <v/>
      </c>
      <c r="BN165" s="148"/>
      <c r="BO165" s="33"/>
      <c r="BP165" s="171"/>
      <c r="BQ165" s="124" t="str">
        <f>IFERROR(__xludf.DUMMYFUNCTION("IF(BM165=MAX(FILTER(BM$10:BM$199,LOOKUP(ROW(BG$10:BG$199),FILTER(ROW(BG$10:BG$199),BG$10:BG$199&lt;&gt;BG$9:BG$198))=LOOKUP(ROW(BG165),FILTER(ROW(BG$10:BG$199),BG$10:BG$199&lt;&gt;BG$9:BG$198)))),BN165,)"),"")</f>
        <v/>
      </c>
      <c r="BR165" s="122"/>
      <c r="BS165" s="33"/>
      <c r="BT165" s="143" t="str">
        <f t="shared" si="19"/>
        <v/>
      </c>
      <c r="BU165" s="38" t="str">
        <f>IFERROR(__xludf.DUMMYFUNCTION("""COMPUTED_VALUE"""),"")</f>
        <v/>
      </c>
      <c r="BV165" s="144">
        <v>46146.0</v>
      </c>
      <c r="BW165" s="167" t="str">
        <f t="shared" si="20"/>
        <v/>
      </c>
      <c r="BX165" s="168" t="str">
        <f t="shared" si="331"/>
        <v/>
      </c>
      <c r="BY165" s="169" t="str">
        <f t="shared" si="332"/>
        <v/>
      </c>
      <c r="BZ165" s="172" t="str">
        <f t="shared" si="333"/>
        <v/>
      </c>
      <c r="CA165" s="171" t="str">
        <f t="array" ref="CA165">IFERROR(IF(BU165="ac"+ISNUMBER(SEARCH("'",BZ165))+BY165="","", IF(ISNUMBER(SEARCH("lw",BZ165)), BM165 + SUBSTITUTE(BZ165,"lw+",""), MROUND(SWITCH(BU165,"sq",BY$7,"bn",BZ$7,"dl",CA$7,"")*IF(BZ165&gt;10, BZ165/100, VLOOKUP(BZ165, _rpe,SUBSTITUTE(BY165,"+","")+1,0)), IF( SWITCH(BU165,"sq",BY$7,"bn",BZ$7,"dl", CA$7,"")&lt; IF(_uom="lbs", 175, 80), 1.25, IF(_uom="lbs",5,2.5))))), "")</f>
        <v/>
      </c>
      <c r="CB165" s="148"/>
      <c r="CC165" s="33"/>
      <c r="CD165" s="171"/>
      <c r="CE165" s="124" t="str">
        <f>IFERROR(__xludf.DUMMYFUNCTION("IF(CA165=MAX(FILTER(CA$10:CA$199,LOOKUP(ROW(BU$10:BU$199),FILTER(ROW(BU$10:BU$199),BU$10:BU$199&lt;&gt;BU$9:BU$198))=LOOKUP(ROW(BU165),FILTER(ROW(BU$10:BU$199),BU$10:BU$199&lt;&gt;BU$9:BU$198)))),CB165,)"),"")</f>
        <v/>
      </c>
      <c r="CF165" s="122"/>
      <c r="CG165" s="33"/>
      <c r="CH165" s="143" t="str">
        <f t="shared" si="21"/>
        <v/>
      </c>
      <c r="CI165" s="38" t="str">
        <f>IFERROR(__xludf.DUMMYFUNCTION("""COMPUTED_VALUE"""),"")</f>
        <v/>
      </c>
      <c r="CJ165" s="144">
        <v>46153.0</v>
      </c>
      <c r="CK165" s="167" t="str">
        <f t="shared" si="27"/>
        <v/>
      </c>
      <c r="CL165" s="168" t="str">
        <f t="shared" si="334"/>
        <v/>
      </c>
      <c r="CM165" s="169" t="str">
        <f t="shared" si="335"/>
        <v/>
      </c>
      <c r="CN165" s="172" t="str">
        <f t="shared" si="336"/>
        <v/>
      </c>
      <c r="CO165" s="171" t="str">
        <f t="array" ref="CO165">IFERROR(IF(CI165="ac"+ISNUMBER(SEARCH("'",CN165))+CM165="","", IF(ISNUMBER(SEARCH("lw",CN165)), CA165 + SUBSTITUTE(CN165,"lw+",""), MROUND(SWITCH(CI165,"sq",CM$7,"bn",CN$7,"dl",CO$7,"")*IF(CN165&gt;10, CN165/100, VLOOKUP(CN165, _rpe,SUBSTITUTE(CM165,"+","")+1,0)), IF( SWITCH(CI165,"sq",CM$7,"bn",CN$7,"dl", CO$7,"")&lt; IF(_uom="lbs", 175, 80), 1.25, IF(_uom="lbs",5,2.5))))), "")</f>
        <v/>
      </c>
      <c r="CP165" s="148"/>
      <c r="CQ165" s="33"/>
      <c r="CR165" s="171"/>
      <c r="CS165" s="124" t="str">
        <f>IFERROR(__xludf.DUMMYFUNCTION("IF(CO165=MAX(FILTER(CO$10:CO$199,LOOKUP(ROW(CI$10:CI$199),FILTER(ROW(CI$10:CI$199),CI$10:CI$199&lt;&gt;CI$9:CI$198))=LOOKUP(ROW(CI165),FILTER(ROW(CI$10:CI$199),CI$10:CI$199&lt;&gt;CI$9:CI$198)))),CP165,)"),"")</f>
        <v/>
      </c>
      <c r="CT165" s="122"/>
      <c r="CU165" s="33"/>
      <c r="CV165" s="143" t="str">
        <f t="shared" si="22"/>
        <v/>
      </c>
      <c r="CW165" s="38" t="str">
        <f>IFERROR(__xludf.DUMMYFUNCTION("""COMPUTED_VALUE"""),"")</f>
        <v/>
      </c>
      <c r="CX165" s="144">
        <v>46160.0</v>
      </c>
      <c r="CY165" s="167" t="str">
        <f t="shared" si="28"/>
        <v/>
      </c>
      <c r="CZ165" s="168" t="str">
        <f t="shared" si="337"/>
        <v/>
      </c>
      <c r="DA165" s="169" t="str">
        <f t="shared" si="338"/>
        <v/>
      </c>
      <c r="DB165" s="172" t="str">
        <f t="shared" si="339"/>
        <v/>
      </c>
      <c r="DC165" s="171" t="str">
        <f t="array" ref="DC165">IFERROR(IF(CW165="ac"+ISNUMBER(SEARCH("'",DB165))+DA165="","", IF(ISNUMBER(SEARCH("lw",DB165)), CO165 + SUBSTITUTE(DB165,"lw+",""), MROUND(SWITCH(CW165,"sq",DA$7,"bn",DB$7,"dl",DC$7,"")*IF(DB165&gt;10, DB165/100, VLOOKUP(DB165, _rpe,SUBSTITUTE(DA165,"+","")+1,0)), IF( SWITCH(CW165,"sq",DA$7,"bn",DB$7,"dl", DC$7,"")&lt; IF(_uom="lbs", 175, 80), 1.25, IF(_uom="lbs",5,2.5))))), "")</f>
        <v/>
      </c>
      <c r="DD165" s="148"/>
      <c r="DE165" s="33"/>
      <c r="DF165" s="171"/>
      <c r="DG165" s="124" t="str">
        <f>IFERROR(__xludf.DUMMYFUNCTION("IF(DC165=MAX(FILTER(DC$10:DC$199,LOOKUP(ROW(CW$10:CW$199),FILTER(ROW(CW$10:CW$199),CW$10:CW$199&lt;&gt;CW$9:CW$198))=LOOKUP(ROW(CW165),FILTER(ROW(CW$10:CW$199),CW$10:CW$199&lt;&gt;CW$9:CW$198)))),DD165,)"),"")</f>
        <v/>
      </c>
      <c r="DH165" s="122"/>
      <c r="DI165" s="33"/>
      <c r="DJ165" s="143" t="str">
        <f t="shared" si="23"/>
        <v/>
      </c>
      <c r="DK165" s="38" t="str">
        <f>IFERROR(__xludf.DUMMYFUNCTION("""COMPUTED_VALUE"""),"")</f>
        <v/>
      </c>
      <c r="DL165" s="144">
        <v>46167.0</v>
      </c>
      <c r="DM165" s="167" t="str">
        <f t="shared" ref="DM165:DN165" si="417">IF(ISBLANK(CY165),"",CY165)</f>
        <v/>
      </c>
      <c r="DN165" s="168" t="str">
        <f t="shared" si="417"/>
        <v/>
      </c>
      <c r="DO165" s="169" t="str">
        <f t="shared" si="341"/>
        <v/>
      </c>
      <c r="DP165" s="172" t="str">
        <f t="shared" si="342"/>
        <v/>
      </c>
      <c r="DQ165" s="171" t="str">
        <f t="array" ref="DQ165">IFERROR(IF(DK165="ac"+ISNUMBER(SEARCH("'",DP165))+DO165="","", IF(ISNUMBER(SEARCH("lw",DP165)), DC165 + SUBSTITUTE(DP165,"lw+",""), MROUND(SWITCH(DK165,"sq",DO$7,"bn",DP$7,"dl",DQ$7,"")*IF(DP165&gt;10, DP165/100, VLOOKUP(DP165, _rpe,SUBSTITUTE(DO165,"+","")+1,0)), IF( SWITCH(DK165,"sq",DO$7,"bn",DP$7,"dl", DQ$7,"")&lt; IF(_uom="lbs", 175, 80), 1.25, IF(_uom="lbs",5,2.5))))), "")</f>
        <v/>
      </c>
      <c r="DR165" s="148"/>
      <c r="DS165" s="33"/>
      <c r="DT165" s="171"/>
      <c r="DU165" s="124" t="str">
        <f>IFERROR(__xludf.DUMMYFUNCTION("IF(DQ165=MAX(FILTER(DQ$10:DQ$199,LOOKUP(ROW(DK$10:DK$199),FILTER(ROW(DK$10:DK$199),DK$10:DK$199&lt;&gt;DK$9:DK$198))=LOOKUP(ROW(DK165),FILTER(ROW(DK$10:DK$199),DK$10:DK$199&lt;&gt;DK$9:DK$198)))),DR165,)"),"")</f>
        <v/>
      </c>
      <c r="DV165" s="122"/>
      <c r="DW165" s="33"/>
      <c r="DX165" s="143"/>
      <c r="DY165" s="38"/>
      <c r="DZ165" s="144"/>
      <c r="EA165" s="150"/>
      <c r="EB165" s="174"/>
      <c r="EC165" s="175"/>
      <c r="ED165" s="176"/>
      <c r="EE165" s="155"/>
      <c r="EF165" s="148"/>
      <c r="EG165" s="33"/>
      <c r="EH165" s="155"/>
      <c r="EI165" s="148"/>
      <c r="EJ165" s="33"/>
      <c r="EK165" s="33"/>
      <c r="EL165" s="143"/>
      <c r="EM165" s="38"/>
      <c r="EN165" s="144"/>
      <c r="EO165" s="150"/>
      <c r="EP165" s="174"/>
      <c r="EQ165" s="175"/>
      <c r="ER165" s="176"/>
      <c r="ES165" s="155"/>
      <c r="ET165" s="148"/>
      <c r="EU165" s="33"/>
      <c r="EV165" s="155"/>
      <c r="EW165" s="148"/>
      <c r="EX165" s="33"/>
      <c r="EY165" s="33"/>
      <c r="EZ165" s="143"/>
      <c r="FA165" s="38"/>
      <c r="FB165" s="144"/>
      <c r="FC165" s="150"/>
      <c r="FD165" s="174"/>
      <c r="FE165" s="175"/>
      <c r="FF165" s="176"/>
      <c r="FG165" s="155"/>
      <c r="FH165" s="148"/>
      <c r="FI165" s="33"/>
      <c r="FJ165" s="155"/>
      <c r="FK165" s="148"/>
      <c r="FL165" s="33"/>
      <c r="FM165" s="33"/>
      <c r="FN165" s="143"/>
      <c r="FO165" s="38"/>
      <c r="FP165" s="144"/>
      <c r="FQ165" s="150"/>
      <c r="FR165" s="174"/>
      <c r="FS165" s="175"/>
      <c r="FT165" s="176"/>
      <c r="FU165" s="155"/>
      <c r="FV165" s="148"/>
      <c r="FW165" s="33"/>
      <c r="FX165" s="155"/>
      <c r="FY165" s="148"/>
      <c r="FZ165" s="33"/>
      <c r="GA165" s="33"/>
      <c r="GB165" s="143"/>
      <c r="GC165" s="38"/>
      <c r="GD165" s="144"/>
      <c r="GE165" s="150"/>
      <c r="GF165" s="174"/>
      <c r="GG165" s="175"/>
      <c r="GH165" s="176"/>
      <c r="GI165" s="155"/>
      <c r="GJ165" s="148"/>
      <c r="GK165" s="33"/>
      <c r="GL165" s="155"/>
      <c r="GM165" s="148"/>
      <c r="GN165" s="33"/>
      <c r="GO165" s="33"/>
      <c r="GP165" s="143"/>
      <c r="GQ165" s="38"/>
      <c r="GR165" s="144"/>
      <c r="GS165" s="150"/>
      <c r="GT165" s="174"/>
      <c r="GU165" s="175"/>
      <c r="GV165" s="176"/>
      <c r="GW165" s="155"/>
      <c r="GX165" s="148"/>
      <c r="GY165" s="33"/>
      <c r="GZ165" s="155"/>
      <c r="HA165" s="148"/>
      <c r="HB165" s="33"/>
      <c r="HC165" s="33"/>
      <c r="HD165" s="143"/>
      <c r="HE165" s="38"/>
      <c r="HF165" s="144"/>
      <c r="HG165" s="150"/>
      <c r="HH165" s="174"/>
      <c r="HI165" s="175"/>
      <c r="HJ165" s="176"/>
      <c r="HK165" s="155"/>
      <c r="HL165" s="148"/>
      <c r="HM165" s="33"/>
      <c r="HN165" s="155"/>
      <c r="HO165" s="148"/>
      <c r="HP165" s="33"/>
      <c r="HQ165" s="33"/>
      <c r="HR165" s="143"/>
      <c r="HS165" s="38"/>
      <c r="HT165" s="144"/>
      <c r="HU165" s="150"/>
      <c r="HV165" s="174"/>
      <c r="HW165" s="175"/>
      <c r="HX165" s="176"/>
      <c r="HY165" s="155"/>
      <c r="HZ165" s="148"/>
      <c r="IA165" s="33"/>
      <c r="IB165" s="155"/>
      <c r="IC165" s="148"/>
      <c r="ID165" s="33"/>
      <c r="IE165" s="33"/>
      <c r="IF165" s="143"/>
      <c r="IG165" s="38"/>
      <c r="IH165" s="144"/>
      <c r="II165" s="150"/>
      <c r="IJ165" s="174"/>
      <c r="IK165" s="175"/>
      <c r="IL165" s="176"/>
      <c r="IM165" s="155"/>
      <c r="IN165" s="148"/>
      <c r="IO165" s="33"/>
      <c r="IP165" s="155"/>
      <c r="IQ165" s="148"/>
      <c r="IR165" s="33"/>
      <c r="IS165" s="33"/>
      <c r="IT165" s="143"/>
      <c r="IU165" s="38"/>
      <c r="IV165" s="144"/>
      <c r="IW165" s="143"/>
      <c r="IX165" s="38"/>
      <c r="IY165" s="144" t="e">
        <v>#REF!</v>
      </c>
    </row>
    <row r="166">
      <c r="A166" s="33"/>
      <c r="B166" s="181"/>
      <c r="C166" s="38" t="str">
        <f>IFERROR(__xludf.DUMMYFUNCTION("""COMPUTED_VALUE"""),"")</f>
        <v/>
      </c>
      <c r="D166" s="144">
        <v>46111.0</v>
      </c>
      <c r="E166" s="182"/>
      <c r="F166" s="168"/>
      <c r="G166" s="169"/>
      <c r="H166" s="170"/>
      <c r="I166" s="171" t="str">
        <f t="array" ref="I166">IFERROR(IF(C166="ac"+ISNUMBER(SEARCH("'",H166))+G166="","", MROUND(SWITCH(C166,"sq",'Personal Info'!$O$15,"bn",'Personal Info'!$S$15,"dl",'Personal Info'!$W$15,"")*IF(H166&gt;10, H166/100, VLOOKUP(H166, _rpe,SUBSTITUTE(G166,"+","")+1,0)), IF( SWITCH(C166:C210,"sq",'Personal Info'!$O$15,"bn",'Personal Info'!$S$15,"dl", 'Personal Info'!$W$15,"")&lt; IF(_uom="lbs", 175, 80), 1.25, IF(_uom="lbs",5,2.5)))),"")</f>
        <v/>
      </c>
      <c r="J166" s="148"/>
      <c r="K166" s="33"/>
      <c r="L166" s="171"/>
      <c r="M166" s="124" t="str">
        <f>IFERROR(__xludf.DUMMYFUNCTION("IF(I166=MAX(FILTER(I$10:I$199,LOOKUP(ROW(C$10:C$199),FILTER(ROW(C$10:C$199),C$10:C$199&lt;&gt;C$9:C$198))=LOOKUP(ROW(C166),FILTER(ROW(C$10:C$199),C$10:C$199&lt;&gt;C$9:C$198)))),J166,)"),"")</f>
        <v/>
      </c>
      <c r="N166" s="122"/>
      <c r="O166" s="33"/>
      <c r="P166" s="143" t="str">
        <f t="shared" si="12"/>
        <v/>
      </c>
      <c r="Q166" s="38" t="str">
        <f>IFERROR(__xludf.DUMMYFUNCTION("""COMPUTED_VALUE"""),"")</f>
        <v/>
      </c>
      <c r="R166" s="144">
        <v>46118.0</v>
      </c>
      <c r="S166" s="167" t="str">
        <f t="shared" si="13"/>
        <v/>
      </c>
      <c r="T166" s="168" t="str">
        <f t="shared" si="319"/>
        <v/>
      </c>
      <c r="U166" s="169" t="str">
        <f t="shared" si="320"/>
        <v/>
      </c>
      <c r="V166" s="172" t="str">
        <f t="shared" si="321"/>
        <v/>
      </c>
      <c r="W166" s="171" t="str">
        <f t="array" ref="W166">IFERROR(IF(Q166="ac"+ISNUMBER(SEARCH("'",V166))+U166="","", IF(ISNUMBER(SEARCH("lw",V166)), I166 + SUBSTITUTE(V166,"lw+",""), MROUND(SWITCH(Q166,"sq",U$7,"bn",V$7,"dl",W$7,"")*IF(V166&gt;10, V166/100, VLOOKUP(V166, _rpe,SUBSTITUTE(U166,"+","")+1,0)), IF( SWITCH(Q166,"sq",U$7,"bn",V$7,"dl", W$7,"")&lt; IF(_uom="lbs", 175, 80), 1.25, IF(_uom="lbs",5,2.5))))), "")</f>
        <v/>
      </c>
      <c r="X166" s="148"/>
      <c r="Y166" s="33"/>
      <c r="Z166" s="171"/>
      <c r="AA166" s="124" t="str">
        <f>IFERROR(__xludf.DUMMYFUNCTION("IF(W166=MAX(FILTER(W$10:W$199,LOOKUP(ROW(Q$10:Q$199),FILTER(ROW(Q$10:Q$199),Q$10:Q$199&lt;&gt;Q$9:Q$198))=LOOKUP(ROW(Q166),FILTER(ROW(Q$10:Q$199),Q$10:Q$199&lt;&gt;Q$9:Q$198)))),X166,)"),"")</f>
        <v/>
      </c>
      <c r="AB166" s="122"/>
      <c r="AC166" s="33"/>
      <c r="AD166" s="143" t="str">
        <f t="shared" si="14"/>
        <v/>
      </c>
      <c r="AE166" s="38" t="str">
        <f>IFERROR(__xludf.DUMMYFUNCTION("""COMPUTED_VALUE"""),"")</f>
        <v/>
      </c>
      <c r="AF166" s="144">
        <v>46125.0</v>
      </c>
      <c r="AG166" s="167" t="str">
        <f t="shared" si="54"/>
        <v/>
      </c>
      <c r="AH166" s="168" t="str">
        <f t="shared" si="322"/>
        <v/>
      </c>
      <c r="AI166" s="169" t="str">
        <f t="shared" si="323"/>
        <v/>
      </c>
      <c r="AJ166" s="172" t="str">
        <f t="shared" si="324"/>
        <v/>
      </c>
      <c r="AK166" s="171" t="str">
        <f t="array" ref="AK166">IFERROR(IF(AE166="ac"+ISNUMBER(SEARCH("'",AJ166))+AI166="","", IF(ISNUMBER(SEARCH("lw",AJ166)), W166 + SUBSTITUTE(AJ166,"lw+",""), MROUND(SWITCH(AE166,"sq",AI$7,"bn",AJ$7,"dl",AK$7,"")*IF(AJ166&gt;10, AJ166/100, VLOOKUP(AJ166, _rpe,SUBSTITUTE(AI166,"+","")+1,0)), IF( SWITCH(AE166,"sq",AI$7,"bn",AJ$7,"dl", AK$7,"")&lt; IF(_uom="lbs", 175, 80), 1.25, IF(_uom="lbs",5,2.5))))), "")</f>
        <v/>
      </c>
      <c r="AL166" s="148"/>
      <c r="AM166" s="33"/>
      <c r="AN166" s="171"/>
      <c r="AO166" s="124" t="str">
        <f>IFERROR(__xludf.DUMMYFUNCTION("IF(AK166=MAX(FILTER(AK$10:AK$199,LOOKUP(ROW(AE$10:AE$199),FILTER(ROW(AE$10:AE$199),AE$10:AE$199&lt;&gt;AE$9:AE$198))=LOOKUP(ROW(AE166),FILTER(ROW(AE$10:AE$199),AE$10:AE$199&lt;&gt;AE$9:AE$198)))),AL166,)"),"")</f>
        <v/>
      </c>
      <c r="AP166" s="122"/>
      <c r="AQ166" s="33"/>
      <c r="AR166" s="143" t="str">
        <f t="shared" si="16"/>
        <v/>
      </c>
      <c r="AS166" s="38" t="str">
        <f>IFERROR(__xludf.DUMMYFUNCTION("""COMPUTED_VALUE"""),"")</f>
        <v/>
      </c>
      <c r="AT166" s="144">
        <v>46132.0</v>
      </c>
      <c r="AU166" s="167" t="str">
        <f t="shared" si="26"/>
        <v/>
      </c>
      <c r="AV166" s="168" t="str">
        <f t="shared" si="325"/>
        <v/>
      </c>
      <c r="AW166" s="169" t="str">
        <f t="shared" si="326"/>
        <v/>
      </c>
      <c r="AX166" s="172" t="str">
        <f t="shared" si="327"/>
        <v/>
      </c>
      <c r="AY166" s="171" t="str">
        <f t="array" ref="AY166">IFERROR(IF(AS166="ac"+ISNUMBER(SEARCH("'",AX166))+AW166="","", IF(ISNUMBER(SEARCH("lw",AX166)), AK166 + SUBSTITUTE(AX166,"lw+",""), MROUND(SWITCH(AS166,"sq",AW$7,"bn",AX$7,"dl",AY$7,"")*IF(AX166&gt;10, AX166/100, VLOOKUP(AX166, _rpe,SUBSTITUTE(AW166,"+","")+1,0)), IF( SWITCH(AS166,"sq",AW$7,"bn",AX$7,"dl", AY$7,"")&lt; IF(_uom="lbs", 175, 80), 1.25, IF(_uom="lbs",5,2.5))))), "")</f>
        <v/>
      </c>
      <c r="AZ166" s="148"/>
      <c r="BA166" s="33"/>
      <c r="BB166" s="171"/>
      <c r="BC166" s="124" t="str">
        <f>IFERROR(__xludf.DUMMYFUNCTION("IF(AY166=MAX(FILTER(AY$10:AY$199,LOOKUP(ROW(AS$10:AS$199),FILTER(ROW(AS$10:AS$199),AS$10:AS$199&lt;&gt;AS$9:AS$198))=LOOKUP(ROW(AS166),FILTER(ROW(AS$10:AS$199),AS$10:AS$199&lt;&gt;AS$9:AS$198)))),AZ166,)"),"")</f>
        <v/>
      </c>
      <c r="BD166" s="122"/>
      <c r="BE166" s="33"/>
      <c r="BF166" s="143" t="str">
        <f t="shared" si="17"/>
        <v/>
      </c>
      <c r="BG166" s="38" t="str">
        <f>IFERROR(__xludf.DUMMYFUNCTION("""COMPUTED_VALUE"""),"")</f>
        <v/>
      </c>
      <c r="BH166" s="144">
        <v>46139.0</v>
      </c>
      <c r="BI166" s="167" t="str">
        <f t="shared" si="18"/>
        <v/>
      </c>
      <c r="BJ166" s="168" t="str">
        <f t="shared" si="328"/>
        <v/>
      </c>
      <c r="BK166" s="169" t="str">
        <f t="shared" si="329"/>
        <v/>
      </c>
      <c r="BL166" s="172" t="str">
        <f t="shared" si="330"/>
        <v/>
      </c>
      <c r="BM166" s="171" t="str">
        <f t="array" ref="BM166">IFERROR(IF(BG166="ac"+ISNUMBER(SEARCH("'",BL166))+BK166="","", IF(ISNUMBER(SEARCH("lw",BL166)), AY166 + SUBSTITUTE(BL166,"lw+",""), MROUND(SWITCH(BG166,"sq",BK$7,"bn",BL$7,"dl",BM$7,"")*IF(BL166&gt;10, BL166/100, VLOOKUP(BL166, _rpe,SUBSTITUTE(BK166,"+","")+1,0)), IF( SWITCH(BG166,"sq",BK$7,"bn",BL$7,"dl", BM$7,"")&lt; IF(_uom="lbs", 175, 80), 1.25, IF(_uom="lbs",5,2.5))))), "")</f>
        <v/>
      </c>
      <c r="BN166" s="148"/>
      <c r="BO166" s="33"/>
      <c r="BP166" s="171"/>
      <c r="BQ166" s="124" t="str">
        <f>IFERROR(__xludf.DUMMYFUNCTION("IF(BM166=MAX(FILTER(BM$10:BM$199,LOOKUP(ROW(BG$10:BG$199),FILTER(ROW(BG$10:BG$199),BG$10:BG$199&lt;&gt;BG$9:BG$198))=LOOKUP(ROW(BG166),FILTER(ROW(BG$10:BG$199),BG$10:BG$199&lt;&gt;BG$9:BG$198)))),BN166,)"),"")</f>
        <v/>
      </c>
      <c r="BR166" s="122"/>
      <c r="BS166" s="33"/>
      <c r="BT166" s="143" t="str">
        <f t="shared" si="19"/>
        <v/>
      </c>
      <c r="BU166" s="38" t="str">
        <f>IFERROR(__xludf.DUMMYFUNCTION("""COMPUTED_VALUE"""),"")</f>
        <v/>
      </c>
      <c r="BV166" s="144">
        <v>46146.0</v>
      </c>
      <c r="BW166" s="167" t="str">
        <f t="shared" si="20"/>
        <v/>
      </c>
      <c r="BX166" s="168" t="str">
        <f t="shared" si="331"/>
        <v/>
      </c>
      <c r="BY166" s="169" t="str">
        <f t="shared" si="332"/>
        <v/>
      </c>
      <c r="BZ166" s="172" t="str">
        <f t="shared" si="333"/>
        <v/>
      </c>
      <c r="CA166" s="171" t="str">
        <f t="array" ref="CA166">IFERROR(IF(BU166="ac"+ISNUMBER(SEARCH("'",BZ166))+BY166="","", IF(ISNUMBER(SEARCH("lw",BZ166)), BM166 + SUBSTITUTE(BZ166,"lw+",""), MROUND(SWITCH(BU166,"sq",BY$7,"bn",BZ$7,"dl",CA$7,"")*IF(BZ166&gt;10, BZ166/100, VLOOKUP(BZ166, _rpe,SUBSTITUTE(BY166,"+","")+1,0)), IF( SWITCH(BU166,"sq",BY$7,"bn",BZ$7,"dl", CA$7,"")&lt; IF(_uom="lbs", 175, 80), 1.25, IF(_uom="lbs",5,2.5))))), "")</f>
        <v/>
      </c>
      <c r="CB166" s="148"/>
      <c r="CC166" s="33"/>
      <c r="CD166" s="171"/>
      <c r="CE166" s="124" t="str">
        <f>IFERROR(__xludf.DUMMYFUNCTION("IF(CA166=MAX(FILTER(CA$10:CA$199,LOOKUP(ROW(BU$10:BU$199),FILTER(ROW(BU$10:BU$199),BU$10:BU$199&lt;&gt;BU$9:BU$198))=LOOKUP(ROW(BU166),FILTER(ROW(BU$10:BU$199),BU$10:BU$199&lt;&gt;BU$9:BU$198)))),CB166,)"),"")</f>
        <v/>
      </c>
      <c r="CF166" s="122"/>
      <c r="CG166" s="33"/>
      <c r="CH166" s="143" t="str">
        <f t="shared" si="21"/>
        <v/>
      </c>
      <c r="CI166" s="38" t="str">
        <f>IFERROR(__xludf.DUMMYFUNCTION("""COMPUTED_VALUE"""),"")</f>
        <v/>
      </c>
      <c r="CJ166" s="144">
        <v>46153.0</v>
      </c>
      <c r="CK166" s="167" t="str">
        <f t="shared" si="27"/>
        <v/>
      </c>
      <c r="CL166" s="168" t="str">
        <f t="shared" si="334"/>
        <v/>
      </c>
      <c r="CM166" s="169" t="str">
        <f t="shared" si="335"/>
        <v/>
      </c>
      <c r="CN166" s="172" t="str">
        <f t="shared" si="336"/>
        <v/>
      </c>
      <c r="CO166" s="171" t="str">
        <f t="array" ref="CO166">IFERROR(IF(CI166="ac"+ISNUMBER(SEARCH("'",CN166))+CM166="","", IF(ISNUMBER(SEARCH("lw",CN166)), CA166 + SUBSTITUTE(CN166,"lw+",""), MROUND(SWITCH(CI166,"sq",CM$7,"bn",CN$7,"dl",CO$7,"")*IF(CN166&gt;10, CN166/100, VLOOKUP(CN166, _rpe,SUBSTITUTE(CM166,"+","")+1,0)), IF( SWITCH(CI166,"sq",CM$7,"bn",CN$7,"dl", CO$7,"")&lt; IF(_uom="lbs", 175, 80), 1.25, IF(_uom="lbs",5,2.5))))), "")</f>
        <v/>
      </c>
      <c r="CP166" s="148"/>
      <c r="CQ166" s="33"/>
      <c r="CR166" s="171"/>
      <c r="CS166" s="124" t="str">
        <f>IFERROR(__xludf.DUMMYFUNCTION("IF(CO166=MAX(FILTER(CO$10:CO$199,LOOKUP(ROW(CI$10:CI$199),FILTER(ROW(CI$10:CI$199),CI$10:CI$199&lt;&gt;CI$9:CI$198))=LOOKUP(ROW(CI166),FILTER(ROW(CI$10:CI$199),CI$10:CI$199&lt;&gt;CI$9:CI$198)))),CP166,)"),"")</f>
        <v/>
      </c>
      <c r="CT166" s="122"/>
      <c r="CU166" s="33"/>
      <c r="CV166" s="143" t="str">
        <f t="shared" si="22"/>
        <v/>
      </c>
      <c r="CW166" s="38" t="str">
        <f>IFERROR(__xludf.DUMMYFUNCTION("""COMPUTED_VALUE"""),"")</f>
        <v/>
      </c>
      <c r="CX166" s="144">
        <v>46160.0</v>
      </c>
      <c r="CY166" s="167" t="str">
        <f t="shared" si="28"/>
        <v/>
      </c>
      <c r="CZ166" s="168" t="str">
        <f t="shared" si="337"/>
        <v/>
      </c>
      <c r="DA166" s="169" t="str">
        <f t="shared" si="338"/>
        <v/>
      </c>
      <c r="DB166" s="172" t="str">
        <f t="shared" si="339"/>
        <v/>
      </c>
      <c r="DC166" s="171" t="str">
        <f t="array" ref="DC166">IFERROR(IF(CW166="ac"+ISNUMBER(SEARCH("'",DB166))+DA166="","", IF(ISNUMBER(SEARCH("lw",DB166)), CO166 + SUBSTITUTE(DB166,"lw+",""), MROUND(SWITCH(CW166,"sq",DA$7,"bn",DB$7,"dl",DC$7,"")*IF(DB166&gt;10, DB166/100, VLOOKUP(DB166, _rpe,SUBSTITUTE(DA166,"+","")+1,0)), IF( SWITCH(CW166,"sq",DA$7,"bn",DB$7,"dl", DC$7,"")&lt; IF(_uom="lbs", 175, 80), 1.25, IF(_uom="lbs",5,2.5))))), "")</f>
        <v/>
      </c>
      <c r="DD166" s="148"/>
      <c r="DE166" s="33"/>
      <c r="DF166" s="171"/>
      <c r="DG166" s="124" t="str">
        <f>IFERROR(__xludf.DUMMYFUNCTION("IF(DC166=MAX(FILTER(DC$10:DC$199,LOOKUP(ROW(CW$10:CW$199),FILTER(ROW(CW$10:CW$199),CW$10:CW$199&lt;&gt;CW$9:CW$198))=LOOKUP(ROW(CW166),FILTER(ROW(CW$10:CW$199),CW$10:CW$199&lt;&gt;CW$9:CW$198)))),DD166,)"),"")</f>
        <v/>
      </c>
      <c r="DH166" s="122"/>
      <c r="DI166" s="33"/>
      <c r="DJ166" s="143" t="str">
        <f t="shared" si="23"/>
        <v/>
      </c>
      <c r="DK166" s="38" t="str">
        <f>IFERROR(__xludf.DUMMYFUNCTION("""COMPUTED_VALUE"""),"")</f>
        <v/>
      </c>
      <c r="DL166" s="144">
        <v>46167.0</v>
      </c>
      <c r="DM166" s="167" t="str">
        <f t="shared" ref="DM166:DN166" si="418">IF(ISBLANK(CY166),"",CY166)</f>
        <v/>
      </c>
      <c r="DN166" s="168" t="str">
        <f t="shared" si="418"/>
        <v/>
      </c>
      <c r="DO166" s="169" t="str">
        <f t="shared" si="341"/>
        <v/>
      </c>
      <c r="DP166" s="172" t="str">
        <f t="shared" si="342"/>
        <v/>
      </c>
      <c r="DQ166" s="171" t="str">
        <f t="array" ref="DQ166">IFERROR(IF(DK166="ac"+ISNUMBER(SEARCH("'",DP166))+DO166="","", IF(ISNUMBER(SEARCH("lw",DP166)), DC166 + SUBSTITUTE(DP166,"lw+",""), MROUND(SWITCH(DK166,"sq",DO$7,"bn",DP$7,"dl",DQ$7,"")*IF(DP166&gt;10, DP166/100, VLOOKUP(DP166, _rpe,SUBSTITUTE(DO166,"+","")+1,0)), IF( SWITCH(DK166,"sq",DO$7,"bn",DP$7,"dl", DQ$7,"")&lt; IF(_uom="lbs", 175, 80), 1.25, IF(_uom="lbs",5,2.5))))), "")</f>
        <v/>
      </c>
      <c r="DR166" s="148"/>
      <c r="DS166" s="33"/>
      <c r="DT166" s="171"/>
      <c r="DU166" s="124" t="str">
        <f>IFERROR(__xludf.DUMMYFUNCTION("IF(DQ166=MAX(FILTER(DQ$10:DQ$199,LOOKUP(ROW(DK$10:DK$199),FILTER(ROW(DK$10:DK$199),DK$10:DK$199&lt;&gt;DK$9:DK$198))=LOOKUP(ROW(DK166),FILTER(ROW(DK$10:DK$199),DK$10:DK$199&lt;&gt;DK$9:DK$198)))),DR166,)"),"")</f>
        <v/>
      </c>
      <c r="DV166" s="122"/>
      <c r="DW166" s="33"/>
      <c r="DX166" s="143"/>
      <c r="DY166" s="38"/>
      <c r="DZ166" s="144"/>
      <c r="EA166" s="150"/>
      <c r="EB166" s="174"/>
      <c r="EC166" s="175"/>
      <c r="ED166" s="176"/>
      <c r="EE166" s="155"/>
      <c r="EF166" s="148"/>
      <c r="EG166" s="33"/>
      <c r="EH166" s="155"/>
      <c r="EI166" s="148"/>
      <c r="EJ166" s="33"/>
      <c r="EK166" s="33"/>
      <c r="EL166" s="143"/>
      <c r="EM166" s="38"/>
      <c r="EN166" s="144"/>
      <c r="EO166" s="150"/>
      <c r="EP166" s="174"/>
      <c r="EQ166" s="175"/>
      <c r="ER166" s="176"/>
      <c r="ES166" s="155"/>
      <c r="ET166" s="148"/>
      <c r="EU166" s="33"/>
      <c r="EV166" s="155"/>
      <c r="EW166" s="148"/>
      <c r="EX166" s="33"/>
      <c r="EY166" s="33"/>
      <c r="EZ166" s="143"/>
      <c r="FA166" s="38"/>
      <c r="FB166" s="144"/>
      <c r="FC166" s="150"/>
      <c r="FD166" s="174"/>
      <c r="FE166" s="175"/>
      <c r="FF166" s="176"/>
      <c r="FG166" s="155"/>
      <c r="FH166" s="148"/>
      <c r="FI166" s="33"/>
      <c r="FJ166" s="155"/>
      <c r="FK166" s="148"/>
      <c r="FL166" s="33"/>
      <c r="FM166" s="33"/>
      <c r="FN166" s="143"/>
      <c r="FO166" s="38"/>
      <c r="FP166" s="144"/>
      <c r="FQ166" s="150"/>
      <c r="FR166" s="174"/>
      <c r="FS166" s="175"/>
      <c r="FT166" s="176"/>
      <c r="FU166" s="155"/>
      <c r="FV166" s="148"/>
      <c r="FW166" s="33"/>
      <c r="FX166" s="155"/>
      <c r="FY166" s="148"/>
      <c r="FZ166" s="33"/>
      <c r="GA166" s="33"/>
      <c r="GB166" s="143"/>
      <c r="GC166" s="38"/>
      <c r="GD166" s="144"/>
      <c r="GE166" s="150"/>
      <c r="GF166" s="174"/>
      <c r="GG166" s="175"/>
      <c r="GH166" s="176"/>
      <c r="GI166" s="155"/>
      <c r="GJ166" s="148"/>
      <c r="GK166" s="33"/>
      <c r="GL166" s="155"/>
      <c r="GM166" s="148"/>
      <c r="GN166" s="33"/>
      <c r="GO166" s="33"/>
      <c r="GP166" s="143"/>
      <c r="GQ166" s="38"/>
      <c r="GR166" s="144"/>
      <c r="GS166" s="150"/>
      <c r="GT166" s="174"/>
      <c r="GU166" s="175"/>
      <c r="GV166" s="176"/>
      <c r="GW166" s="155"/>
      <c r="GX166" s="148"/>
      <c r="GY166" s="33"/>
      <c r="GZ166" s="155"/>
      <c r="HA166" s="148"/>
      <c r="HB166" s="33"/>
      <c r="HC166" s="33"/>
      <c r="HD166" s="143"/>
      <c r="HE166" s="38"/>
      <c r="HF166" s="144"/>
      <c r="HG166" s="150"/>
      <c r="HH166" s="174"/>
      <c r="HI166" s="175"/>
      <c r="HJ166" s="176"/>
      <c r="HK166" s="155"/>
      <c r="HL166" s="148"/>
      <c r="HM166" s="33"/>
      <c r="HN166" s="155"/>
      <c r="HO166" s="148"/>
      <c r="HP166" s="33"/>
      <c r="HQ166" s="33"/>
      <c r="HR166" s="143"/>
      <c r="HS166" s="38"/>
      <c r="HT166" s="144"/>
      <c r="HU166" s="150"/>
      <c r="HV166" s="174"/>
      <c r="HW166" s="175"/>
      <c r="HX166" s="176"/>
      <c r="HY166" s="155"/>
      <c r="HZ166" s="148"/>
      <c r="IA166" s="33"/>
      <c r="IB166" s="155"/>
      <c r="IC166" s="148"/>
      <c r="ID166" s="33"/>
      <c r="IE166" s="33"/>
      <c r="IF166" s="143"/>
      <c r="IG166" s="38"/>
      <c r="IH166" s="144"/>
      <c r="II166" s="150"/>
      <c r="IJ166" s="174"/>
      <c r="IK166" s="175"/>
      <c r="IL166" s="176"/>
      <c r="IM166" s="155"/>
      <c r="IN166" s="148"/>
      <c r="IO166" s="33"/>
      <c r="IP166" s="155"/>
      <c r="IQ166" s="148"/>
      <c r="IR166" s="33"/>
      <c r="IS166" s="33"/>
      <c r="IT166" s="143"/>
      <c r="IU166" s="38"/>
      <c r="IV166" s="144"/>
      <c r="IW166" s="143"/>
      <c r="IX166" s="38"/>
      <c r="IY166" s="144" t="e">
        <v>#REF!</v>
      </c>
    </row>
    <row r="167">
      <c r="A167" s="33"/>
      <c r="B167" s="181"/>
      <c r="C167" s="38" t="str">
        <f>IFERROR(__xludf.DUMMYFUNCTION("""COMPUTED_VALUE"""),"")</f>
        <v/>
      </c>
      <c r="D167" s="144">
        <v>46111.0</v>
      </c>
      <c r="E167" s="182"/>
      <c r="F167" s="168"/>
      <c r="G167" s="169"/>
      <c r="H167" s="170"/>
      <c r="I167" s="171" t="str">
        <f t="array" ref="I167">IFERROR(IF(C167="ac"+ISNUMBER(SEARCH("'",H167))+G167="","", MROUND(SWITCH(C167,"sq",'Personal Info'!$O$15,"bn",'Personal Info'!$S$15,"dl",'Personal Info'!$W$15,"")*IF(H167&gt;10, H167/100, VLOOKUP(H167, _rpe,SUBSTITUTE(G167,"+","")+1,0)), IF( SWITCH(C167:C210,"sq",'Personal Info'!$O$15,"bn",'Personal Info'!$S$15,"dl", 'Personal Info'!$W$15,"")&lt; IF(_uom="lbs", 175, 80), 1.25, IF(_uom="lbs",5,2.5)))),"")</f>
        <v/>
      </c>
      <c r="J167" s="148"/>
      <c r="K167" s="33"/>
      <c r="L167" s="171"/>
      <c r="M167" s="124" t="str">
        <f>IFERROR(__xludf.DUMMYFUNCTION("IF(I167=MAX(FILTER(I$10:I$199,LOOKUP(ROW(C$10:C$199),FILTER(ROW(C$10:C$199),C$10:C$199&lt;&gt;C$9:C$198))=LOOKUP(ROW(C167),FILTER(ROW(C$10:C$199),C$10:C$199&lt;&gt;C$9:C$198)))),J167,)"),"")</f>
        <v/>
      </c>
      <c r="N167" s="122"/>
      <c r="O167" s="33"/>
      <c r="P167" s="143" t="str">
        <f t="shared" si="12"/>
        <v/>
      </c>
      <c r="Q167" s="38" t="str">
        <f>IFERROR(__xludf.DUMMYFUNCTION("""COMPUTED_VALUE"""),"")</f>
        <v/>
      </c>
      <c r="R167" s="144">
        <v>46118.0</v>
      </c>
      <c r="S167" s="167" t="str">
        <f t="shared" si="13"/>
        <v/>
      </c>
      <c r="T167" s="168" t="str">
        <f t="shared" si="319"/>
        <v/>
      </c>
      <c r="U167" s="169" t="str">
        <f t="shared" si="320"/>
        <v/>
      </c>
      <c r="V167" s="172" t="str">
        <f t="shared" si="321"/>
        <v/>
      </c>
      <c r="W167" s="171" t="str">
        <f t="array" ref="W167">IFERROR(IF(Q167="ac"+ISNUMBER(SEARCH("'",V167))+U167="","", IF(ISNUMBER(SEARCH("lw",V167)), I167 + SUBSTITUTE(V167,"lw+",""), MROUND(SWITCH(Q167,"sq",U$7,"bn",V$7,"dl",W$7,"")*IF(V167&gt;10, V167/100, VLOOKUP(V167, _rpe,SUBSTITUTE(U167,"+","")+1,0)), IF( SWITCH(Q167,"sq",U$7,"bn",V$7,"dl", W$7,"")&lt; IF(_uom="lbs", 175, 80), 1.25, IF(_uom="lbs",5,2.5))))), "")</f>
        <v/>
      </c>
      <c r="X167" s="148"/>
      <c r="Y167" s="33"/>
      <c r="Z167" s="171"/>
      <c r="AA167" s="124" t="str">
        <f>IFERROR(__xludf.DUMMYFUNCTION("IF(W167=MAX(FILTER(W$10:W$199,LOOKUP(ROW(Q$10:Q$199),FILTER(ROW(Q$10:Q$199),Q$10:Q$199&lt;&gt;Q$9:Q$198))=LOOKUP(ROW(Q167),FILTER(ROW(Q$10:Q$199),Q$10:Q$199&lt;&gt;Q$9:Q$198)))),X167,)"),"")</f>
        <v/>
      </c>
      <c r="AB167" s="122"/>
      <c r="AC167" s="33"/>
      <c r="AD167" s="143" t="str">
        <f t="shared" si="14"/>
        <v/>
      </c>
      <c r="AE167" s="38" t="str">
        <f>IFERROR(__xludf.DUMMYFUNCTION("""COMPUTED_VALUE"""),"")</f>
        <v/>
      </c>
      <c r="AF167" s="144">
        <v>46125.0</v>
      </c>
      <c r="AG167" s="167" t="str">
        <f t="shared" si="54"/>
        <v/>
      </c>
      <c r="AH167" s="168" t="str">
        <f t="shared" si="322"/>
        <v/>
      </c>
      <c r="AI167" s="169" t="str">
        <f t="shared" si="323"/>
        <v/>
      </c>
      <c r="AJ167" s="172" t="str">
        <f t="shared" si="324"/>
        <v/>
      </c>
      <c r="AK167" s="171" t="str">
        <f t="array" ref="AK167">IFERROR(IF(AE167="ac"+ISNUMBER(SEARCH("'",AJ167))+AI167="","", IF(ISNUMBER(SEARCH("lw",AJ167)), W167 + SUBSTITUTE(AJ167,"lw+",""), MROUND(SWITCH(AE167,"sq",AI$7,"bn",AJ$7,"dl",AK$7,"")*IF(AJ167&gt;10, AJ167/100, VLOOKUP(AJ167, _rpe,SUBSTITUTE(AI167,"+","")+1,0)), IF( SWITCH(AE167,"sq",AI$7,"bn",AJ$7,"dl", AK$7,"")&lt; IF(_uom="lbs", 175, 80), 1.25, IF(_uom="lbs",5,2.5))))), "")</f>
        <v/>
      </c>
      <c r="AL167" s="148"/>
      <c r="AM167" s="33"/>
      <c r="AN167" s="171"/>
      <c r="AO167" s="124" t="str">
        <f>IFERROR(__xludf.DUMMYFUNCTION("IF(AK167=MAX(FILTER(AK$10:AK$199,LOOKUP(ROW(AE$10:AE$199),FILTER(ROW(AE$10:AE$199),AE$10:AE$199&lt;&gt;AE$9:AE$198))=LOOKUP(ROW(AE167),FILTER(ROW(AE$10:AE$199),AE$10:AE$199&lt;&gt;AE$9:AE$198)))),AL167,)"),"")</f>
        <v/>
      </c>
      <c r="AP167" s="122"/>
      <c r="AQ167" s="33"/>
      <c r="AR167" s="143" t="str">
        <f t="shared" si="16"/>
        <v/>
      </c>
      <c r="AS167" s="38" t="str">
        <f>IFERROR(__xludf.DUMMYFUNCTION("""COMPUTED_VALUE"""),"")</f>
        <v/>
      </c>
      <c r="AT167" s="144">
        <v>46132.0</v>
      </c>
      <c r="AU167" s="167" t="str">
        <f t="shared" si="26"/>
        <v/>
      </c>
      <c r="AV167" s="168" t="str">
        <f t="shared" si="325"/>
        <v/>
      </c>
      <c r="AW167" s="169" t="str">
        <f t="shared" si="326"/>
        <v/>
      </c>
      <c r="AX167" s="172" t="str">
        <f t="shared" si="327"/>
        <v/>
      </c>
      <c r="AY167" s="171" t="str">
        <f t="array" ref="AY167">IFERROR(IF(AS167="ac"+ISNUMBER(SEARCH("'",AX167))+AW167="","", IF(ISNUMBER(SEARCH("lw",AX167)), AK167 + SUBSTITUTE(AX167,"lw+",""), MROUND(SWITCH(AS167,"sq",AW$7,"bn",AX$7,"dl",AY$7,"")*IF(AX167&gt;10, AX167/100, VLOOKUP(AX167, _rpe,SUBSTITUTE(AW167,"+","")+1,0)), IF( SWITCH(AS167,"sq",AW$7,"bn",AX$7,"dl", AY$7,"")&lt; IF(_uom="lbs", 175, 80), 1.25, IF(_uom="lbs",5,2.5))))), "")</f>
        <v/>
      </c>
      <c r="AZ167" s="148"/>
      <c r="BA167" s="33"/>
      <c r="BB167" s="171"/>
      <c r="BC167" s="124" t="str">
        <f>IFERROR(__xludf.DUMMYFUNCTION("IF(AY167=MAX(FILTER(AY$10:AY$199,LOOKUP(ROW(AS$10:AS$199),FILTER(ROW(AS$10:AS$199),AS$10:AS$199&lt;&gt;AS$9:AS$198))=LOOKUP(ROW(AS167),FILTER(ROW(AS$10:AS$199),AS$10:AS$199&lt;&gt;AS$9:AS$198)))),AZ167,)"),"")</f>
        <v/>
      </c>
      <c r="BD167" s="122"/>
      <c r="BE167" s="33"/>
      <c r="BF167" s="143" t="str">
        <f t="shared" si="17"/>
        <v/>
      </c>
      <c r="BG167" s="38" t="str">
        <f>IFERROR(__xludf.DUMMYFUNCTION("""COMPUTED_VALUE"""),"")</f>
        <v/>
      </c>
      <c r="BH167" s="144">
        <v>46139.0</v>
      </c>
      <c r="BI167" s="167" t="str">
        <f t="shared" si="18"/>
        <v/>
      </c>
      <c r="BJ167" s="168" t="str">
        <f t="shared" si="328"/>
        <v/>
      </c>
      <c r="BK167" s="169" t="str">
        <f t="shared" si="329"/>
        <v/>
      </c>
      <c r="BL167" s="172" t="str">
        <f t="shared" si="330"/>
        <v/>
      </c>
      <c r="BM167" s="171" t="str">
        <f t="array" ref="BM167">IFERROR(IF(BG167="ac"+ISNUMBER(SEARCH("'",BL167))+BK167="","", IF(ISNUMBER(SEARCH("lw",BL167)), AY167 + SUBSTITUTE(BL167,"lw+",""), MROUND(SWITCH(BG167,"sq",BK$7,"bn",BL$7,"dl",BM$7,"")*IF(BL167&gt;10, BL167/100, VLOOKUP(BL167, _rpe,SUBSTITUTE(BK167,"+","")+1,0)), IF( SWITCH(BG167,"sq",BK$7,"bn",BL$7,"dl", BM$7,"")&lt; IF(_uom="lbs", 175, 80), 1.25, IF(_uom="lbs",5,2.5))))), "")</f>
        <v/>
      </c>
      <c r="BN167" s="148"/>
      <c r="BO167" s="33"/>
      <c r="BP167" s="171"/>
      <c r="BQ167" s="124" t="str">
        <f>IFERROR(__xludf.DUMMYFUNCTION("IF(BM167=MAX(FILTER(BM$10:BM$199,LOOKUP(ROW(BG$10:BG$199),FILTER(ROW(BG$10:BG$199),BG$10:BG$199&lt;&gt;BG$9:BG$198))=LOOKUP(ROW(BG167),FILTER(ROW(BG$10:BG$199),BG$10:BG$199&lt;&gt;BG$9:BG$198)))),BN167,)"),"")</f>
        <v/>
      </c>
      <c r="BR167" s="122"/>
      <c r="BS167" s="33"/>
      <c r="BT167" s="143" t="str">
        <f t="shared" si="19"/>
        <v/>
      </c>
      <c r="BU167" s="38" t="str">
        <f>IFERROR(__xludf.DUMMYFUNCTION("""COMPUTED_VALUE"""),"")</f>
        <v/>
      </c>
      <c r="BV167" s="144">
        <v>46146.0</v>
      </c>
      <c r="BW167" s="167" t="str">
        <f t="shared" si="20"/>
        <v/>
      </c>
      <c r="BX167" s="168" t="str">
        <f t="shared" si="331"/>
        <v/>
      </c>
      <c r="BY167" s="169" t="str">
        <f t="shared" si="332"/>
        <v/>
      </c>
      <c r="BZ167" s="172" t="str">
        <f t="shared" si="333"/>
        <v/>
      </c>
      <c r="CA167" s="171" t="str">
        <f t="array" ref="CA167">IFERROR(IF(BU167="ac"+ISNUMBER(SEARCH("'",BZ167))+BY167="","", IF(ISNUMBER(SEARCH("lw",BZ167)), BM167 + SUBSTITUTE(BZ167,"lw+",""), MROUND(SWITCH(BU167,"sq",BY$7,"bn",BZ$7,"dl",CA$7,"")*IF(BZ167&gt;10, BZ167/100, VLOOKUP(BZ167, _rpe,SUBSTITUTE(BY167,"+","")+1,0)), IF( SWITCH(BU167,"sq",BY$7,"bn",BZ$7,"dl", CA$7,"")&lt; IF(_uom="lbs", 175, 80), 1.25, IF(_uom="lbs",5,2.5))))), "")</f>
        <v/>
      </c>
      <c r="CB167" s="148"/>
      <c r="CC167" s="33"/>
      <c r="CD167" s="171"/>
      <c r="CE167" s="124" t="str">
        <f>IFERROR(__xludf.DUMMYFUNCTION("IF(CA167=MAX(FILTER(CA$10:CA$199,LOOKUP(ROW(BU$10:BU$199),FILTER(ROW(BU$10:BU$199),BU$10:BU$199&lt;&gt;BU$9:BU$198))=LOOKUP(ROW(BU167),FILTER(ROW(BU$10:BU$199),BU$10:BU$199&lt;&gt;BU$9:BU$198)))),CB167,)"),"")</f>
        <v/>
      </c>
      <c r="CF167" s="122"/>
      <c r="CG167" s="33"/>
      <c r="CH167" s="143" t="str">
        <f t="shared" si="21"/>
        <v/>
      </c>
      <c r="CI167" s="38" t="str">
        <f>IFERROR(__xludf.DUMMYFUNCTION("""COMPUTED_VALUE"""),"")</f>
        <v/>
      </c>
      <c r="CJ167" s="144">
        <v>46153.0</v>
      </c>
      <c r="CK167" s="167" t="str">
        <f t="shared" si="27"/>
        <v/>
      </c>
      <c r="CL167" s="168" t="str">
        <f t="shared" si="334"/>
        <v/>
      </c>
      <c r="CM167" s="169" t="str">
        <f t="shared" si="335"/>
        <v/>
      </c>
      <c r="CN167" s="172" t="str">
        <f t="shared" si="336"/>
        <v/>
      </c>
      <c r="CO167" s="171" t="str">
        <f t="array" ref="CO167">IFERROR(IF(CI167="ac"+ISNUMBER(SEARCH("'",CN167))+CM167="","", IF(ISNUMBER(SEARCH("lw",CN167)), CA167 + SUBSTITUTE(CN167,"lw+",""), MROUND(SWITCH(CI167,"sq",CM$7,"bn",CN$7,"dl",CO$7,"")*IF(CN167&gt;10, CN167/100, VLOOKUP(CN167, _rpe,SUBSTITUTE(CM167,"+","")+1,0)), IF( SWITCH(CI167,"sq",CM$7,"bn",CN$7,"dl", CO$7,"")&lt; IF(_uom="lbs", 175, 80), 1.25, IF(_uom="lbs",5,2.5))))), "")</f>
        <v/>
      </c>
      <c r="CP167" s="148"/>
      <c r="CQ167" s="33"/>
      <c r="CR167" s="171"/>
      <c r="CS167" s="124" t="str">
        <f>IFERROR(__xludf.DUMMYFUNCTION("IF(CO167=MAX(FILTER(CO$10:CO$199,LOOKUP(ROW(CI$10:CI$199),FILTER(ROW(CI$10:CI$199),CI$10:CI$199&lt;&gt;CI$9:CI$198))=LOOKUP(ROW(CI167),FILTER(ROW(CI$10:CI$199),CI$10:CI$199&lt;&gt;CI$9:CI$198)))),CP167,)"),"")</f>
        <v/>
      </c>
      <c r="CT167" s="122"/>
      <c r="CU167" s="33"/>
      <c r="CV167" s="143" t="str">
        <f t="shared" si="22"/>
        <v/>
      </c>
      <c r="CW167" s="38" t="str">
        <f>IFERROR(__xludf.DUMMYFUNCTION("""COMPUTED_VALUE"""),"")</f>
        <v/>
      </c>
      <c r="CX167" s="144">
        <v>46160.0</v>
      </c>
      <c r="CY167" s="167" t="str">
        <f t="shared" si="28"/>
        <v/>
      </c>
      <c r="CZ167" s="168" t="str">
        <f t="shared" si="337"/>
        <v/>
      </c>
      <c r="DA167" s="169" t="str">
        <f t="shared" si="338"/>
        <v/>
      </c>
      <c r="DB167" s="172" t="str">
        <f t="shared" si="339"/>
        <v/>
      </c>
      <c r="DC167" s="171" t="str">
        <f t="array" ref="DC167">IFERROR(IF(CW167="ac"+ISNUMBER(SEARCH("'",DB167))+DA167="","", IF(ISNUMBER(SEARCH("lw",DB167)), CO167 + SUBSTITUTE(DB167,"lw+",""), MROUND(SWITCH(CW167,"sq",DA$7,"bn",DB$7,"dl",DC$7,"")*IF(DB167&gt;10, DB167/100, VLOOKUP(DB167, _rpe,SUBSTITUTE(DA167,"+","")+1,0)), IF( SWITCH(CW167,"sq",DA$7,"bn",DB$7,"dl", DC$7,"")&lt; IF(_uom="lbs", 175, 80), 1.25, IF(_uom="lbs",5,2.5))))), "")</f>
        <v/>
      </c>
      <c r="DD167" s="148"/>
      <c r="DE167" s="33"/>
      <c r="DF167" s="171"/>
      <c r="DG167" s="124" t="str">
        <f>IFERROR(__xludf.DUMMYFUNCTION("IF(DC167=MAX(FILTER(DC$10:DC$199,LOOKUP(ROW(CW$10:CW$199),FILTER(ROW(CW$10:CW$199),CW$10:CW$199&lt;&gt;CW$9:CW$198))=LOOKUP(ROW(CW167),FILTER(ROW(CW$10:CW$199),CW$10:CW$199&lt;&gt;CW$9:CW$198)))),DD167,)"),"")</f>
        <v/>
      </c>
      <c r="DH167" s="122"/>
      <c r="DI167" s="33"/>
      <c r="DJ167" s="143" t="str">
        <f t="shared" si="23"/>
        <v/>
      </c>
      <c r="DK167" s="38" t="str">
        <f>IFERROR(__xludf.DUMMYFUNCTION("""COMPUTED_VALUE"""),"")</f>
        <v/>
      </c>
      <c r="DL167" s="144">
        <v>46167.0</v>
      </c>
      <c r="DM167" s="167" t="str">
        <f t="shared" ref="DM167:DN167" si="419">IF(ISBLANK(CY167),"",CY167)</f>
        <v/>
      </c>
      <c r="DN167" s="168" t="str">
        <f t="shared" si="419"/>
        <v/>
      </c>
      <c r="DO167" s="169" t="str">
        <f t="shared" si="341"/>
        <v/>
      </c>
      <c r="DP167" s="172" t="str">
        <f t="shared" si="342"/>
        <v/>
      </c>
      <c r="DQ167" s="171" t="str">
        <f t="array" ref="DQ167">IFERROR(IF(DK167="ac"+ISNUMBER(SEARCH("'",DP167))+DO167="","", IF(ISNUMBER(SEARCH("lw",DP167)), DC167 + SUBSTITUTE(DP167,"lw+",""), MROUND(SWITCH(DK167,"sq",DO$7,"bn",DP$7,"dl",DQ$7,"")*IF(DP167&gt;10, DP167/100, VLOOKUP(DP167, _rpe,SUBSTITUTE(DO167,"+","")+1,0)), IF( SWITCH(DK167,"sq",DO$7,"bn",DP$7,"dl", DQ$7,"")&lt; IF(_uom="lbs", 175, 80), 1.25, IF(_uom="lbs",5,2.5))))), "")</f>
        <v/>
      </c>
      <c r="DR167" s="148"/>
      <c r="DS167" s="33"/>
      <c r="DT167" s="171"/>
      <c r="DU167" s="124" t="str">
        <f>IFERROR(__xludf.DUMMYFUNCTION("IF(DQ167=MAX(FILTER(DQ$10:DQ$199,LOOKUP(ROW(DK$10:DK$199),FILTER(ROW(DK$10:DK$199),DK$10:DK$199&lt;&gt;DK$9:DK$198))=LOOKUP(ROW(DK167),FILTER(ROW(DK$10:DK$199),DK$10:DK$199&lt;&gt;DK$9:DK$198)))),DR167,)"),"")</f>
        <v/>
      </c>
      <c r="DV167" s="122"/>
      <c r="DW167" s="33"/>
      <c r="DX167" s="143"/>
      <c r="DY167" s="38"/>
      <c r="DZ167" s="144"/>
      <c r="EA167" s="150"/>
      <c r="EB167" s="174"/>
      <c r="EC167" s="175"/>
      <c r="ED167" s="176"/>
      <c r="EE167" s="155"/>
      <c r="EF167" s="148"/>
      <c r="EG167" s="33"/>
      <c r="EH167" s="155"/>
      <c r="EI167" s="148"/>
      <c r="EJ167" s="33"/>
      <c r="EK167" s="33"/>
      <c r="EL167" s="143"/>
      <c r="EM167" s="38"/>
      <c r="EN167" s="144"/>
      <c r="EO167" s="150"/>
      <c r="EP167" s="174"/>
      <c r="EQ167" s="175"/>
      <c r="ER167" s="176"/>
      <c r="ES167" s="155"/>
      <c r="ET167" s="148"/>
      <c r="EU167" s="33"/>
      <c r="EV167" s="155"/>
      <c r="EW167" s="148"/>
      <c r="EX167" s="33"/>
      <c r="EY167" s="33"/>
      <c r="EZ167" s="143"/>
      <c r="FA167" s="38"/>
      <c r="FB167" s="144"/>
      <c r="FC167" s="150"/>
      <c r="FD167" s="174"/>
      <c r="FE167" s="175"/>
      <c r="FF167" s="176"/>
      <c r="FG167" s="155"/>
      <c r="FH167" s="148"/>
      <c r="FI167" s="33"/>
      <c r="FJ167" s="155"/>
      <c r="FK167" s="148"/>
      <c r="FL167" s="33"/>
      <c r="FM167" s="33"/>
      <c r="FN167" s="143"/>
      <c r="FO167" s="38"/>
      <c r="FP167" s="144"/>
      <c r="FQ167" s="150"/>
      <c r="FR167" s="174"/>
      <c r="FS167" s="175"/>
      <c r="FT167" s="176"/>
      <c r="FU167" s="155"/>
      <c r="FV167" s="148"/>
      <c r="FW167" s="33"/>
      <c r="FX167" s="155"/>
      <c r="FY167" s="148"/>
      <c r="FZ167" s="33"/>
      <c r="GA167" s="33"/>
      <c r="GB167" s="143"/>
      <c r="GC167" s="38"/>
      <c r="GD167" s="144"/>
      <c r="GE167" s="150"/>
      <c r="GF167" s="174"/>
      <c r="GG167" s="175"/>
      <c r="GH167" s="176"/>
      <c r="GI167" s="155"/>
      <c r="GJ167" s="148"/>
      <c r="GK167" s="33"/>
      <c r="GL167" s="155"/>
      <c r="GM167" s="148"/>
      <c r="GN167" s="33"/>
      <c r="GO167" s="33"/>
      <c r="GP167" s="143"/>
      <c r="GQ167" s="38"/>
      <c r="GR167" s="144"/>
      <c r="GS167" s="150"/>
      <c r="GT167" s="174"/>
      <c r="GU167" s="175"/>
      <c r="GV167" s="176"/>
      <c r="GW167" s="155"/>
      <c r="GX167" s="148"/>
      <c r="GY167" s="33"/>
      <c r="GZ167" s="155"/>
      <c r="HA167" s="148"/>
      <c r="HB167" s="33"/>
      <c r="HC167" s="33"/>
      <c r="HD167" s="143"/>
      <c r="HE167" s="38"/>
      <c r="HF167" s="144"/>
      <c r="HG167" s="150"/>
      <c r="HH167" s="174"/>
      <c r="HI167" s="175"/>
      <c r="HJ167" s="176"/>
      <c r="HK167" s="155"/>
      <c r="HL167" s="148"/>
      <c r="HM167" s="33"/>
      <c r="HN167" s="155"/>
      <c r="HO167" s="148"/>
      <c r="HP167" s="33"/>
      <c r="HQ167" s="33"/>
      <c r="HR167" s="143"/>
      <c r="HS167" s="38"/>
      <c r="HT167" s="144"/>
      <c r="HU167" s="150"/>
      <c r="HV167" s="174"/>
      <c r="HW167" s="175"/>
      <c r="HX167" s="176"/>
      <c r="HY167" s="155"/>
      <c r="HZ167" s="148"/>
      <c r="IA167" s="33"/>
      <c r="IB167" s="155"/>
      <c r="IC167" s="148"/>
      <c r="ID167" s="33"/>
      <c r="IE167" s="33"/>
      <c r="IF167" s="143"/>
      <c r="IG167" s="38"/>
      <c r="IH167" s="144"/>
      <c r="II167" s="150"/>
      <c r="IJ167" s="174"/>
      <c r="IK167" s="175"/>
      <c r="IL167" s="176"/>
      <c r="IM167" s="155"/>
      <c r="IN167" s="148"/>
      <c r="IO167" s="33"/>
      <c r="IP167" s="155"/>
      <c r="IQ167" s="148"/>
      <c r="IR167" s="33"/>
      <c r="IS167" s="33"/>
      <c r="IT167" s="143"/>
      <c r="IU167" s="38"/>
      <c r="IV167" s="144"/>
      <c r="IW167" s="143"/>
      <c r="IX167" s="38"/>
      <c r="IY167" s="144" t="e">
        <v>#REF!</v>
      </c>
    </row>
    <row r="168">
      <c r="A168" s="33"/>
      <c r="B168" s="181"/>
      <c r="C168" s="38" t="str">
        <f>IFERROR(__xludf.DUMMYFUNCTION("""COMPUTED_VALUE"""),"")</f>
        <v/>
      </c>
      <c r="D168" s="144">
        <v>46111.0</v>
      </c>
      <c r="E168" s="182"/>
      <c r="F168" s="168"/>
      <c r="G168" s="169"/>
      <c r="H168" s="170"/>
      <c r="I168" s="171" t="str">
        <f t="array" ref="I168">IFERROR(IF(C168="ac"+ISNUMBER(SEARCH("'",H168))+G168="","", MROUND(SWITCH(C168,"sq",'Personal Info'!$O$15,"bn",'Personal Info'!$S$15,"dl",'Personal Info'!$W$15,"")*IF(H168&gt;10, H168/100, VLOOKUP(H168, _rpe,SUBSTITUTE(G168,"+","")+1,0)), IF( SWITCH(C168:C210,"sq",'Personal Info'!$O$15,"bn",'Personal Info'!$S$15,"dl", 'Personal Info'!$W$15,"")&lt; IF(_uom="lbs", 175, 80), 1.25, IF(_uom="lbs",5,2.5)))),"")</f>
        <v/>
      </c>
      <c r="J168" s="148"/>
      <c r="K168" s="33"/>
      <c r="L168" s="171"/>
      <c r="M168" s="124" t="str">
        <f>IFERROR(__xludf.DUMMYFUNCTION("IF(I168=MAX(FILTER(I$10:I$199,LOOKUP(ROW(C$10:C$199),FILTER(ROW(C$10:C$199),C$10:C$199&lt;&gt;C$9:C$198))=LOOKUP(ROW(C168),FILTER(ROW(C$10:C$199),C$10:C$199&lt;&gt;C$9:C$198)))),J168,)"),"")</f>
        <v/>
      </c>
      <c r="N168" s="122"/>
      <c r="O168" s="33"/>
      <c r="P168" s="143" t="str">
        <f t="shared" si="12"/>
        <v/>
      </c>
      <c r="Q168" s="38" t="str">
        <f>IFERROR(__xludf.DUMMYFUNCTION("""COMPUTED_VALUE"""),"")</f>
        <v/>
      </c>
      <c r="R168" s="144">
        <v>46118.0</v>
      </c>
      <c r="S168" s="167" t="str">
        <f t="shared" si="13"/>
        <v/>
      </c>
      <c r="T168" s="168" t="str">
        <f t="shared" si="319"/>
        <v/>
      </c>
      <c r="U168" s="169" t="str">
        <f t="shared" si="320"/>
        <v/>
      </c>
      <c r="V168" s="172" t="str">
        <f t="shared" si="321"/>
        <v/>
      </c>
      <c r="W168" s="171" t="str">
        <f t="array" ref="W168">IFERROR(IF(Q168="ac"+ISNUMBER(SEARCH("'",V168))+U168="","", IF(ISNUMBER(SEARCH("lw",V168)), I168 + SUBSTITUTE(V168,"lw+",""), MROUND(SWITCH(Q168,"sq",U$7,"bn",V$7,"dl",W$7,"")*IF(V168&gt;10, V168/100, VLOOKUP(V168, _rpe,SUBSTITUTE(U168,"+","")+1,0)), IF( SWITCH(Q168,"sq",U$7,"bn",V$7,"dl", W$7,"")&lt; IF(_uom="lbs", 175, 80), 1.25, IF(_uom="lbs",5,2.5))))), "")</f>
        <v/>
      </c>
      <c r="X168" s="148"/>
      <c r="Y168" s="33"/>
      <c r="Z168" s="171"/>
      <c r="AA168" s="124" t="str">
        <f>IFERROR(__xludf.DUMMYFUNCTION("IF(W168=MAX(FILTER(W$10:W$199,LOOKUP(ROW(Q$10:Q$199),FILTER(ROW(Q$10:Q$199),Q$10:Q$199&lt;&gt;Q$9:Q$198))=LOOKUP(ROW(Q168),FILTER(ROW(Q$10:Q$199),Q$10:Q$199&lt;&gt;Q$9:Q$198)))),X168,)"),"")</f>
        <v/>
      </c>
      <c r="AB168" s="122"/>
      <c r="AC168" s="33"/>
      <c r="AD168" s="143" t="str">
        <f t="shared" si="14"/>
        <v/>
      </c>
      <c r="AE168" s="38" t="str">
        <f>IFERROR(__xludf.DUMMYFUNCTION("""COMPUTED_VALUE"""),"")</f>
        <v/>
      </c>
      <c r="AF168" s="144">
        <v>46125.0</v>
      </c>
      <c r="AG168" s="167" t="str">
        <f t="shared" si="54"/>
        <v/>
      </c>
      <c r="AH168" s="168" t="str">
        <f t="shared" si="322"/>
        <v/>
      </c>
      <c r="AI168" s="169" t="str">
        <f t="shared" si="323"/>
        <v/>
      </c>
      <c r="AJ168" s="172" t="str">
        <f t="shared" si="324"/>
        <v/>
      </c>
      <c r="AK168" s="171" t="str">
        <f t="array" ref="AK168">IFERROR(IF(AE168="ac"+ISNUMBER(SEARCH("'",AJ168))+AI168="","", IF(ISNUMBER(SEARCH("lw",AJ168)), W168 + SUBSTITUTE(AJ168,"lw+",""), MROUND(SWITCH(AE168,"sq",AI$7,"bn",AJ$7,"dl",AK$7,"")*IF(AJ168&gt;10, AJ168/100, VLOOKUP(AJ168, _rpe,SUBSTITUTE(AI168,"+","")+1,0)), IF( SWITCH(AE168,"sq",AI$7,"bn",AJ$7,"dl", AK$7,"")&lt; IF(_uom="lbs", 175, 80), 1.25, IF(_uom="lbs",5,2.5))))), "")</f>
        <v/>
      </c>
      <c r="AL168" s="148"/>
      <c r="AM168" s="33"/>
      <c r="AN168" s="171"/>
      <c r="AO168" s="124" t="str">
        <f>IFERROR(__xludf.DUMMYFUNCTION("IF(AK168=MAX(FILTER(AK$10:AK$199,LOOKUP(ROW(AE$10:AE$199),FILTER(ROW(AE$10:AE$199),AE$10:AE$199&lt;&gt;AE$9:AE$198))=LOOKUP(ROW(AE168),FILTER(ROW(AE$10:AE$199),AE$10:AE$199&lt;&gt;AE$9:AE$198)))),AL168,)"),"")</f>
        <v/>
      </c>
      <c r="AP168" s="122"/>
      <c r="AQ168" s="33"/>
      <c r="AR168" s="143" t="str">
        <f t="shared" si="16"/>
        <v/>
      </c>
      <c r="AS168" s="38" t="str">
        <f>IFERROR(__xludf.DUMMYFUNCTION("""COMPUTED_VALUE"""),"")</f>
        <v/>
      </c>
      <c r="AT168" s="144">
        <v>46132.0</v>
      </c>
      <c r="AU168" s="167" t="str">
        <f t="shared" si="26"/>
        <v/>
      </c>
      <c r="AV168" s="168" t="str">
        <f t="shared" si="325"/>
        <v/>
      </c>
      <c r="AW168" s="169" t="str">
        <f t="shared" si="326"/>
        <v/>
      </c>
      <c r="AX168" s="172" t="str">
        <f t="shared" si="327"/>
        <v/>
      </c>
      <c r="AY168" s="171" t="str">
        <f t="array" ref="AY168">IFERROR(IF(AS168="ac"+ISNUMBER(SEARCH("'",AX168))+AW168="","", IF(ISNUMBER(SEARCH("lw",AX168)), AK168 + SUBSTITUTE(AX168,"lw+",""), MROUND(SWITCH(AS168,"sq",AW$7,"bn",AX$7,"dl",AY$7,"")*IF(AX168&gt;10, AX168/100, VLOOKUP(AX168, _rpe,SUBSTITUTE(AW168,"+","")+1,0)), IF( SWITCH(AS168,"sq",AW$7,"bn",AX$7,"dl", AY$7,"")&lt; IF(_uom="lbs", 175, 80), 1.25, IF(_uom="lbs",5,2.5))))), "")</f>
        <v/>
      </c>
      <c r="AZ168" s="148"/>
      <c r="BA168" s="33"/>
      <c r="BB168" s="171"/>
      <c r="BC168" s="124" t="str">
        <f>IFERROR(__xludf.DUMMYFUNCTION("IF(AY168=MAX(FILTER(AY$10:AY$199,LOOKUP(ROW(AS$10:AS$199),FILTER(ROW(AS$10:AS$199),AS$10:AS$199&lt;&gt;AS$9:AS$198))=LOOKUP(ROW(AS168),FILTER(ROW(AS$10:AS$199),AS$10:AS$199&lt;&gt;AS$9:AS$198)))),AZ168,)"),"")</f>
        <v/>
      </c>
      <c r="BD168" s="122"/>
      <c r="BE168" s="33"/>
      <c r="BF168" s="143" t="str">
        <f t="shared" si="17"/>
        <v/>
      </c>
      <c r="BG168" s="38" t="str">
        <f>IFERROR(__xludf.DUMMYFUNCTION("""COMPUTED_VALUE"""),"")</f>
        <v/>
      </c>
      <c r="BH168" s="144">
        <v>46139.0</v>
      </c>
      <c r="BI168" s="167" t="str">
        <f t="shared" si="18"/>
        <v/>
      </c>
      <c r="BJ168" s="168" t="str">
        <f t="shared" si="328"/>
        <v/>
      </c>
      <c r="BK168" s="169" t="str">
        <f t="shared" si="329"/>
        <v/>
      </c>
      <c r="BL168" s="172" t="str">
        <f t="shared" si="330"/>
        <v/>
      </c>
      <c r="BM168" s="171" t="str">
        <f t="array" ref="BM168">IFERROR(IF(BG168="ac"+ISNUMBER(SEARCH("'",BL168))+BK168="","", IF(ISNUMBER(SEARCH("lw",BL168)), AY168 + SUBSTITUTE(BL168,"lw+",""), MROUND(SWITCH(BG168,"sq",BK$7,"bn",BL$7,"dl",BM$7,"")*IF(BL168&gt;10, BL168/100, VLOOKUP(BL168, _rpe,SUBSTITUTE(BK168,"+","")+1,0)), IF( SWITCH(BG168,"sq",BK$7,"bn",BL$7,"dl", BM$7,"")&lt; IF(_uom="lbs", 175, 80), 1.25, IF(_uom="lbs",5,2.5))))), "")</f>
        <v/>
      </c>
      <c r="BN168" s="148"/>
      <c r="BO168" s="33"/>
      <c r="BP168" s="171"/>
      <c r="BQ168" s="124" t="str">
        <f>IFERROR(__xludf.DUMMYFUNCTION("IF(BM168=MAX(FILTER(BM$10:BM$199,LOOKUP(ROW(BG$10:BG$199),FILTER(ROW(BG$10:BG$199),BG$10:BG$199&lt;&gt;BG$9:BG$198))=LOOKUP(ROW(BG168),FILTER(ROW(BG$10:BG$199),BG$10:BG$199&lt;&gt;BG$9:BG$198)))),BN168,)"),"")</f>
        <v/>
      </c>
      <c r="BR168" s="122"/>
      <c r="BS168" s="33"/>
      <c r="BT168" s="143" t="str">
        <f t="shared" si="19"/>
        <v/>
      </c>
      <c r="BU168" s="38" t="str">
        <f>IFERROR(__xludf.DUMMYFUNCTION("""COMPUTED_VALUE"""),"")</f>
        <v/>
      </c>
      <c r="BV168" s="144">
        <v>46146.0</v>
      </c>
      <c r="BW168" s="167" t="str">
        <f t="shared" si="20"/>
        <v/>
      </c>
      <c r="BX168" s="168" t="str">
        <f t="shared" si="331"/>
        <v/>
      </c>
      <c r="BY168" s="169" t="str">
        <f t="shared" si="332"/>
        <v/>
      </c>
      <c r="BZ168" s="172" t="str">
        <f t="shared" si="333"/>
        <v/>
      </c>
      <c r="CA168" s="171" t="str">
        <f t="array" ref="CA168">IFERROR(IF(BU168="ac"+ISNUMBER(SEARCH("'",BZ168))+BY168="","", IF(ISNUMBER(SEARCH("lw",BZ168)), BM168 + SUBSTITUTE(BZ168,"lw+",""), MROUND(SWITCH(BU168,"sq",BY$7,"bn",BZ$7,"dl",CA$7,"")*IF(BZ168&gt;10, BZ168/100, VLOOKUP(BZ168, _rpe,SUBSTITUTE(BY168,"+","")+1,0)), IF( SWITCH(BU168,"sq",BY$7,"bn",BZ$7,"dl", CA$7,"")&lt; IF(_uom="lbs", 175, 80), 1.25, IF(_uom="lbs",5,2.5))))), "")</f>
        <v/>
      </c>
      <c r="CB168" s="148"/>
      <c r="CC168" s="33"/>
      <c r="CD168" s="171"/>
      <c r="CE168" s="124" t="str">
        <f>IFERROR(__xludf.DUMMYFUNCTION("IF(CA168=MAX(FILTER(CA$10:CA$199,LOOKUP(ROW(BU$10:BU$199),FILTER(ROW(BU$10:BU$199),BU$10:BU$199&lt;&gt;BU$9:BU$198))=LOOKUP(ROW(BU168),FILTER(ROW(BU$10:BU$199),BU$10:BU$199&lt;&gt;BU$9:BU$198)))),CB168,)"),"")</f>
        <v/>
      </c>
      <c r="CF168" s="122"/>
      <c r="CG168" s="33"/>
      <c r="CH168" s="143" t="str">
        <f t="shared" si="21"/>
        <v/>
      </c>
      <c r="CI168" s="38" t="str">
        <f>IFERROR(__xludf.DUMMYFUNCTION("""COMPUTED_VALUE"""),"")</f>
        <v/>
      </c>
      <c r="CJ168" s="144">
        <v>46153.0</v>
      </c>
      <c r="CK168" s="167" t="str">
        <f t="shared" si="27"/>
        <v/>
      </c>
      <c r="CL168" s="168" t="str">
        <f t="shared" si="334"/>
        <v/>
      </c>
      <c r="CM168" s="169" t="str">
        <f t="shared" si="335"/>
        <v/>
      </c>
      <c r="CN168" s="172" t="str">
        <f t="shared" si="336"/>
        <v/>
      </c>
      <c r="CO168" s="171" t="str">
        <f t="array" ref="CO168">IFERROR(IF(CI168="ac"+ISNUMBER(SEARCH("'",CN168))+CM168="","", IF(ISNUMBER(SEARCH("lw",CN168)), CA168 + SUBSTITUTE(CN168,"lw+",""), MROUND(SWITCH(CI168,"sq",CM$7,"bn",CN$7,"dl",CO$7,"")*IF(CN168&gt;10, CN168/100, VLOOKUP(CN168, _rpe,SUBSTITUTE(CM168,"+","")+1,0)), IF( SWITCH(CI168,"sq",CM$7,"bn",CN$7,"dl", CO$7,"")&lt; IF(_uom="lbs", 175, 80), 1.25, IF(_uom="lbs",5,2.5))))), "")</f>
        <v/>
      </c>
      <c r="CP168" s="148"/>
      <c r="CQ168" s="33"/>
      <c r="CR168" s="171"/>
      <c r="CS168" s="124" t="str">
        <f>IFERROR(__xludf.DUMMYFUNCTION("IF(CO168=MAX(FILTER(CO$10:CO$199,LOOKUP(ROW(CI$10:CI$199),FILTER(ROW(CI$10:CI$199),CI$10:CI$199&lt;&gt;CI$9:CI$198))=LOOKUP(ROW(CI168),FILTER(ROW(CI$10:CI$199),CI$10:CI$199&lt;&gt;CI$9:CI$198)))),CP168,)"),"")</f>
        <v/>
      </c>
      <c r="CT168" s="122"/>
      <c r="CU168" s="33"/>
      <c r="CV168" s="143" t="str">
        <f t="shared" si="22"/>
        <v/>
      </c>
      <c r="CW168" s="38" t="str">
        <f>IFERROR(__xludf.DUMMYFUNCTION("""COMPUTED_VALUE"""),"")</f>
        <v/>
      </c>
      <c r="CX168" s="144">
        <v>46160.0</v>
      </c>
      <c r="CY168" s="167" t="str">
        <f t="shared" si="28"/>
        <v/>
      </c>
      <c r="CZ168" s="168" t="str">
        <f t="shared" si="337"/>
        <v/>
      </c>
      <c r="DA168" s="169" t="str">
        <f t="shared" si="338"/>
        <v/>
      </c>
      <c r="DB168" s="172" t="str">
        <f t="shared" si="339"/>
        <v/>
      </c>
      <c r="DC168" s="171" t="str">
        <f t="array" ref="DC168">IFERROR(IF(CW168="ac"+ISNUMBER(SEARCH("'",DB168))+DA168="","", IF(ISNUMBER(SEARCH("lw",DB168)), CO168 + SUBSTITUTE(DB168,"lw+",""), MROUND(SWITCH(CW168,"sq",DA$7,"bn",DB$7,"dl",DC$7,"")*IF(DB168&gt;10, DB168/100, VLOOKUP(DB168, _rpe,SUBSTITUTE(DA168,"+","")+1,0)), IF( SWITCH(CW168,"sq",DA$7,"bn",DB$7,"dl", DC$7,"")&lt; IF(_uom="lbs", 175, 80), 1.25, IF(_uom="lbs",5,2.5))))), "")</f>
        <v/>
      </c>
      <c r="DD168" s="148"/>
      <c r="DE168" s="33"/>
      <c r="DF168" s="171"/>
      <c r="DG168" s="124" t="str">
        <f>IFERROR(__xludf.DUMMYFUNCTION("IF(DC168=MAX(FILTER(DC$10:DC$199,LOOKUP(ROW(CW$10:CW$199),FILTER(ROW(CW$10:CW$199),CW$10:CW$199&lt;&gt;CW$9:CW$198))=LOOKUP(ROW(CW168),FILTER(ROW(CW$10:CW$199),CW$10:CW$199&lt;&gt;CW$9:CW$198)))),DD168,)"),"")</f>
        <v/>
      </c>
      <c r="DH168" s="122"/>
      <c r="DI168" s="33"/>
      <c r="DJ168" s="143" t="str">
        <f t="shared" si="23"/>
        <v/>
      </c>
      <c r="DK168" s="38" t="str">
        <f>IFERROR(__xludf.DUMMYFUNCTION("""COMPUTED_VALUE"""),"")</f>
        <v/>
      </c>
      <c r="DL168" s="144">
        <v>46167.0</v>
      </c>
      <c r="DM168" s="167" t="str">
        <f t="shared" ref="DM168:DN168" si="420">IF(ISBLANK(CY168),"",CY168)</f>
        <v/>
      </c>
      <c r="DN168" s="168" t="str">
        <f t="shared" si="420"/>
        <v/>
      </c>
      <c r="DO168" s="169" t="str">
        <f t="shared" si="341"/>
        <v/>
      </c>
      <c r="DP168" s="172" t="str">
        <f t="shared" si="342"/>
        <v/>
      </c>
      <c r="DQ168" s="171" t="str">
        <f t="array" ref="DQ168">IFERROR(IF(DK168="ac"+ISNUMBER(SEARCH("'",DP168))+DO168="","", IF(ISNUMBER(SEARCH("lw",DP168)), DC168 + SUBSTITUTE(DP168,"lw+",""), MROUND(SWITCH(DK168,"sq",DO$7,"bn",DP$7,"dl",DQ$7,"")*IF(DP168&gt;10, DP168/100, VLOOKUP(DP168, _rpe,SUBSTITUTE(DO168,"+","")+1,0)), IF( SWITCH(DK168,"sq",DO$7,"bn",DP$7,"dl", DQ$7,"")&lt; IF(_uom="lbs", 175, 80), 1.25, IF(_uom="lbs",5,2.5))))), "")</f>
        <v/>
      </c>
      <c r="DR168" s="148"/>
      <c r="DS168" s="33"/>
      <c r="DT168" s="171"/>
      <c r="DU168" s="124" t="str">
        <f>IFERROR(__xludf.DUMMYFUNCTION("IF(DQ168=MAX(FILTER(DQ$10:DQ$199,LOOKUP(ROW(DK$10:DK$199),FILTER(ROW(DK$10:DK$199),DK$10:DK$199&lt;&gt;DK$9:DK$198))=LOOKUP(ROW(DK168),FILTER(ROW(DK$10:DK$199),DK$10:DK$199&lt;&gt;DK$9:DK$198)))),DR168,)"),"")</f>
        <v/>
      </c>
      <c r="DV168" s="122"/>
      <c r="DW168" s="33"/>
      <c r="DX168" s="143"/>
      <c r="DY168" s="38"/>
      <c r="DZ168" s="144"/>
      <c r="EA168" s="150"/>
      <c r="EB168" s="174"/>
      <c r="EC168" s="175"/>
      <c r="ED168" s="176"/>
      <c r="EE168" s="155"/>
      <c r="EF168" s="148"/>
      <c r="EG168" s="33"/>
      <c r="EH168" s="155"/>
      <c r="EI168" s="148"/>
      <c r="EJ168" s="33"/>
      <c r="EK168" s="33"/>
      <c r="EL168" s="143"/>
      <c r="EM168" s="38"/>
      <c r="EN168" s="144"/>
      <c r="EO168" s="150"/>
      <c r="EP168" s="174"/>
      <c r="EQ168" s="175"/>
      <c r="ER168" s="176"/>
      <c r="ES168" s="155"/>
      <c r="ET168" s="148"/>
      <c r="EU168" s="33"/>
      <c r="EV168" s="155"/>
      <c r="EW168" s="148"/>
      <c r="EX168" s="33"/>
      <c r="EY168" s="33"/>
      <c r="EZ168" s="143"/>
      <c r="FA168" s="38"/>
      <c r="FB168" s="144"/>
      <c r="FC168" s="150"/>
      <c r="FD168" s="174"/>
      <c r="FE168" s="175"/>
      <c r="FF168" s="176"/>
      <c r="FG168" s="155"/>
      <c r="FH168" s="148"/>
      <c r="FI168" s="33"/>
      <c r="FJ168" s="155"/>
      <c r="FK168" s="148"/>
      <c r="FL168" s="33"/>
      <c r="FM168" s="33"/>
      <c r="FN168" s="143"/>
      <c r="FO168" s="38"/>
      <c r="FP168" s="144"/>
      <c r="FQ168" s="150"/>
      <c r="FR168" s="174"/>
      <c r="FS168" s="175"/>
      <c r="FT168" s="176"/>
      <c r="FU168" s="155"/>
      <c r="FV168" s="148"/>
      <c r="FW168" s="33"/>
      <c r="FX168" s="155"/>
      <c r="FY168" s="148"/>
      <c r="FZ168" s="33"/>
      <c r="GA168" s="33"/>
      <c r="GB168" s="143"/>
      <c r="GC168" s="38"/>
      <c r="GD168" s="144"/>
      <c r="GE168" s="150"/>
      <c r="GF168" s="174"/>
      <c r="GG168" s="175"/>
      <c r="GH168" s="176"/>
      <c r="GI168" s="155"/>
      <c r="GJ168" s="148"/>
      <c r="GK168" s="33"/>
      <c r="GL168" s="155"/>
      <c r="GM168" s="148"/>
      <c r="GN168" s="33"/>
      <c r="GO168" s="33"/>
      <c r="GP168" s="143"/>
      <c r="GQ168" s="38"/>
      <c r="GR168" s="144"/>
      <c r="GS168" s="150"/>
      <c r="GT168" s="174"/>
      <c r="GU168" s="175"/>
      <c r="GV168" s="176"/>
      <c r="GW168" s="155"/>
      <c r="GX168" s="148"/>
      <c r="GY168" s="33"/>
      <c r="GZ168" s="155"/>
      <c r="HA168" s="148"/>
      <c r="HB168" s="33"/>
      <c r="HC168" s="33"/>
      <c r="HD168" s="143"/>
      <c r="HE168" s="38"/>
      <c r="HF168" s="144"/>
      <c r="HG168" s="150"/>
      <c r="HH168" s="174"/>
      <c r="HI168" s="175"/>
      <c r="HJ168" s="176"/>
      <c r="HK168" s="155"/>
      <c r="HL168" s="148"/>
      <c r="HM168" s="33"/>
      <c r="HN168" s="155"/>
      <c r="HO168" s="148"/>
      <c r="HP168" s="33"/>
      <c r="HQ168" s="33"/>
      <c r="HR168" s="143"/>
      <c r="HS168" s="38"/>
      <c r="HT168" s="144"/>
      <c r="HU168" s="150"/>
      <c r="HV168" s="174"/>
      <c r="HW168" s="175"/>
      <c r="HX168" s="176"/>
      <c r="HY168" s="155"/>
      <c r="HZ168" s="148"/>
      <c r="IA168" s="33"/>
      <c r="IB168" s="155"/>
      <c r="IC168" s="148"/>
      <c r="ID168" s="33"/>
      <c r="IE168" s="33"/>
      <c r="IF168" s="143"/>
      <c r="IG168" s="38"/>
      <c r="IH168" s="144"/>
      <c r="II168" s="150"/>
      <c r="IJ168" s="174"/>
      <c r="IK168" s="175"/>
      <c r="IL168" s="176"/>
      <c r="IM168" s="155"/>
      <c r="IN168" s="148"/>
      <c r="IO168" s="33"/>
      <c r="IP168" s="155"/>
      <c r="IQ168" s="148"/>
      <c r="IR168" s="33"/>
      <c r="IS168" s="33"/>
      <c r="IT168" s="143"/>
      <c r="IU168" s="38"/>
      <c r="IV168" s="144"/>
      <c r="IW168" s="143"/>
      <c r="IX168" s="38"/>
      <c r="IY168" s="144" t="e">
        <v>#REF!</v>
      </c>
    </row>
    <row r="169">
      <c r="A169" s="33"/>
      <c r="B169" s="181"/>
      <c r="C169" s="38" t="str">
        <f>IFERROR(__xludf.DUMMYFUNCTION("""COMPUTED_VALUE"""),"")</f>
        <v/>
      </c>
      <c r="D169" s="144">
        <v>46111.0</v>
      </c>
      <c r="E169" s="182"/>
      <c r="F169" s="168"/>
      <c r="G169" s="169"/>
      <c r="H169" s="170"/>
      <c r="I169" s="171" t="str">
        <f t="array" ref="I169">IFERROR(IF(C169="ac"+ISNUMBER(SEARCH("'",H169))+G169="","", MROUND(SWITCH(C169,"sq",'Personal Info'!$O$15,"bn",'Personal Info'!$S$15,"dl",'Personal Info'!$W$15,"")*IF(H169&gt;10, H169/100, VLOOKUP(H169, _rpe,SUBSTITUTE(G169,"+","")+1,0)), IF( SWITCH(C169:C210,"sq",'Personal Info'!$O$15,"bn",'Personal Info'!$S$15,"dl", 'Personal Info'!$W$15,"")&lt; IF(_uom="lbs", 175, 80), 1.25, IF(_uom="lbs",5,2.5)))),"")</f>
        <v/>
      </c>
      <c r="J169" s="148"/>
      <c r="K169" s="33"/>
      <c r="L169" s="171"/>
      <c r="M169" s="124" t="str">
        <f>IFERROR(__xludf.DUMMYFUNCTION("IF(I169=MAX(FILTER(I$10:I$199,LOOKUP(ROW(C$10:C$199),FILTER(ROW(C$10:C$199),C$10:C$199&lt;&gt;C$9:C$198))=LOOKUP(ROW(C169),FILTER(ROW(C$10:C$199),C$10:C$199&lt;&gt;C$9:C$198)))),J169,)"),"")</f>
        <v/>
      </c>
      <c r="N169" s="122"/>
      <c r="O169" s="33"/>
      <c r="P169" s="143" t="str">
        <f t="shared" si="12"/>
        <v/>
      </c>
      <c r="Q169" s="38" t="str">
        <f>IFERROR(__xludf.DUMMYFUNCTION("""COMPUTED_VALUE"""),"")</f>
        <v/>
      </c>
      <c r="R169" s="144">
        <v>46118.0</v>
      </c>
      <c r="S169" s="167" t="str">
        <f t="shared" si="13"/>
        <v/>
      </c>
      <c r="T169" s="168" t="str">
        <f t="shared" si="319"/>
        <v/>
      </c>
      <c r="U169" s="169" t="str">
        <f t="shared" si="320"/>
        <v/>
      </c>
      <c r="V169" s="172" t="str">
        <f t="shared" si="321"/>
        <v/>
      </c>
      <c r="W169" s="171" t="str">
        <f t="array" ref="W169">IFERROR(IF(Q169="ac"+ISNUMBER(SEARCH("'",V169))+U169="","", IF(ISNUMBER(SEARCH("lw",V169)), I169 + SUBSTITUTE(V169,"lw+",""), MROUND(SWITCH(Q169,"sq",U$7,"bn",V$7,"dl",W$7,"")*IF(V169&gt;10, V169/100, VLOOKUP(V169, _rpe,SUBSTITUTE(U169,"+","")+1,0)), IF( SWITCH(Q169,"sq",U$7,"bn",V$7,"dl", W$7,"")&lt; IF(_uom="lbs", 175, 80), 1.25, IF(_uom="lbs",5,2.5))))), "")</f>
        <v/>
      </c>
      <c r="X169" s="148"/>
      <c r="Y169" s="33"/>
      <c r="Z169" s="171"/>
      <c r="AA169" s="124" t="str">
        <f>IFERROR(__xludf.DUMMYFUNCTION("IF(W169=MAX(FILTER(W$10:W$199,LOOKUP(ROW(Q$10:Q$199),FILTER(ROW(Q$10:Q$199),Q$10:Q$199&lt;&gt;Q$9:Q$198))=LOOKUP(ROW(Q169),FILTER(ROW(Q$10:Q$199),Q$10:Q$199&lt;&gt;Q$9:Q$198)))),X169,)"),"")</f>
        <v/>
      </c>
      <c r="AB169" s="122"/>
      <c r="AC169" s="33"/>
      <c r="AD169" s="143" t="str">
        <f t="shared" si="14"/>
        <v/>
      </c>
      <c r="AE169" s="38" t="str">
        <f>IFERROR(__xludf.DUMMYFUNCTION("""COMPUTED_VALUE"""),"")</f>
        <v/>
      </c>
      <c r="AF169" s="144">
        <v>46125.0</v>
      </c>
      <c r="AG169" s="167" t="str">
        <f t="shared" si="54"/>
        <v/>
      </c>
      <c r="AH169" s="168" t="str">
        <f t="shared" si="322"/>
        <v/>
      </c>
      <c r="AI169" s="169" t="str">
        <f t="shared" si="323"/>
        <v/>
      </c>
      <c r="AJ169" s="172" t="str">
        <f t="shared" si="324"/>
        <v/>
      </c>
      <c r="AK169" s="171" t="str">
        <f t="array" ref="AK169">IFERROR(IF(AE169="ac"+ISNUMBER(SEARCH("'",AJ169))+AI169="","", IF(ISNUMBER(SEARCH("lw",AJ169)), W169 + SUBSTITUTE(AJ169,"lw+",""), MROUND(SWITCH(AE169,"sq",AI$7,"bn",AJ$7,"dl",AK$7,"")*IF(AJ169&gt;10, AJ169/100, VLOOKUP(AJ169, _rpe,SUBSTITUTE(AI169,"+","")+1,0)), IF( SWITCH(AE169,"sq",AI$7,"bn",AJ$7,"dl", AK$7,"")&lt; IF(_uom="lbs", 175, 80), 1.25, IF(_uom="lbs",5,2.5))))), "")</f>
        <v/>
      </c>
      <c r="AL169" s="148"/>
      <c r="AM169" s="33"/>
      <c r="AN169" s="171"/>
      <c r="AO169" s="124" t="str">
        <f>IFERROR(__xludf.DUMMYFUNCTION("IF(AK169=MAX(FILTER(AK$10:AK$199,LOOKUP(ROW(AE$10:AE$199),FILTER(ROW(AE$10:AE$199),AE$10:AE$199&lt;&gt;AE$9:AE$198))=LOOKUP(ROW(AE169),FILTER(ROW(AE$10:AE$199),AE$10:AE$199&lt;&gt;AE$9:AE$198)))),AL169,)"),"")</f>
        <v/>
      </c>
      <c r="AP169" s="122"/>
      <c r="AQ169" s="33"/>
      <c r="AR169" s="143" t="str">
        <f t="shared" si="16"/>
        <v/>
      </c>
      <c r="AS169" s="38" t="str">
        <f>IFERROR(__xludf.DUMMYFUNCTION("""COMPUTED_VALUE"""),"")</f>
        <v/>
      </c>
      <c r="AT169" s="144">
        <v>46132.0</v>
      </c>
      <c r="AU169" s="167" t="str">
        <f t="shared" si="26"/>
        <v/>
      </c>
      <c r="AV169" s="168" t="str">
        <f t="shared" si="325"/>
        <v/>
      </c>
      <c r="AW169" s="169" t="str">
        <f t="shared" si="326"/>
        <v/>
      </c>
      <c r="AX169" s="172" t="str">
        <f t="shared" si="327"/>
        <v/>
      </c>
      <c r="AY169" s="171" t="str">
        <f t="array" ref="AY169">IFERROR(IF(AS169="ac"+ISNUMBER(SEARCH("'",AX169))+AW169="","", IF(ISNUMBER(SEARCH("lw",AX169)), AK169 + SUBSTITUTE(AX169,"lw+",""), MROUND(SWITCH(AS169,"sq",AW$7,"bn",AX$7,"dl",AY$7,"")*IF(AX169&gt;10, AX169/100, VLOOKUP(AX169, _rpe,SUBSTITUTE(AW169,"+","")+1,0)), IF( SWITCH(AS169,"sq",AW$7,"bn",AX$7,"dl", AY$7,"")&lt; IF(_uom="lbs", 175, 80), 1.25, IF(_uom="lbs",5,2.5))))), "")</f>
        <v/>
      </c>
      <c r="AZ169" s="148"/>
      <c r="BA169" s="33"/>
      <c r="BB169" s="171"/>
      <c r="BC169" s="124" t="str">
        <f>IFERROR(__xludf.DUMMYFUNCTION("IF(AY169=MAX(FILTER(AY$10:AY$199,LOOKUP(ROW(AS$10:AS$199),FILTER(ROW(AS$10:AS$199),AS$10:AS$199&lt;&gt;AS$9:AS$198))=LOOKUP(ROW(AS169),FILTER(ROW(AS$10:AS$199),AS$10:AS$199&lt;&gt;AS$9:AS$198)))),AZ169,)"),"")</f>
        <v/>
      </c>
      <c r="BD169" s="122"/>
      <c r="BE169" s="33"/>
      <c r="BF169" s="143" t="str">
        <f t="shared" si="17"/>
        <v/>
      </c>
      <c r="BG169" s="38" t="str">
        <f>IFERROR(__xludf.DUMMYFUNCTION("""COMPUTED_VALUE"""),"")</f>
        <v/>
      </c>
      <c r="BH169" s="144">
        <v>46139.0</v>
      </c>
      <c r="BI169" s="167" t="str">
        <f t="shared" si="18"/>
        <v/>
      </c>
      <c r="BJ169" s="168" t="str">
        <f t="shared" si="328"/>
        <v/>
      </c>
      <c r="BK169" s="169" t="str">
        <f t="shared" si="329"/>
        <v/>
      </c>
      <c r="BL169" s="172" t="str">
        <f t="shared" si="330"/>
        <v/>
      </c>
      <c r="BM169" s="171" t="str">
        <f t="array" ref="BM169">IFERROR(IF(BG169="ac"+ISNUMBER(SEARCH("'",BL169))+BK169="","", IF(ISNUMBER(SEARCH("lw",BL169)), AY169 + SUBSTITUTE(BL169,"lw+",""), MROUND(SWITCH(BG169,"sq",BK$7,"bn",BL$7,"dl",BM$7,"")*IF(BL169&gt;10, BL169/100, VLOOKUP(BL169, _rpe,SUBSTITUTE(BK169,"+","")+1,0)), IF( SWITCH(BG169,"sq",BK$7,"bn",BL$7,"dl", BM$7,"")&lt; IF(_uom="lbs", 175, 80), 1.25, IF(_uom="lbs",5,2.5))))), "")</f>
        <v/>
      </c>
      <c r="BN169" s="148"/>
      <c r="BO169" s="33"/>
      <c r="BP169" s="171"/>
      <c r="BQ169" s="124" t="str">
        <f>IFERROR(__xludf.DUMMYFUNCTION("IF(BM169=MAX(FILTER(BM$10:BM$199,LOOKUP(ROW(BG$10:BG$199),FILTER(ROW(BG$10:BG$199),BG$10:BG$199&lt;&gt;BG$9:BG$198))=LOOKUP(ROW(BG169),FILTER(ROW(BG$10:BG$199),BG$10:BG$199&lt;&gt;BG$9:BG$198)))),BN169,)"),"")</f>
        <v/>
      </c>
      <c r="BR169" s="122"/>
      <c r="BS169" s="33"/>
      <c r="BT169" s="143" t="str">
        <f t="shared" si="19"/>
        <v/>
      </c>
      <c r="BU169" s="38" t="str">
        <f>IFERROR(__xludf.DUMMYFUNCTION("""COMPUTED_VALUE"""),"")</f>
        <v/>
      </c>
      <c r="BV169" s="144">
        <v>46146.0</v>
      </c>
      <c r="BW169" s="167" t="str">
        <f t="shared" si="20"/>
        <v/>
      </c>
      <c r="BX169" s="168" t="str">
        <f t="shared" si="331"/>
        <v/>
      </c>
      <c r="BY169" s="169" t="str">
        <f t="shared" si="332"/>
        <v/>
      </c>
      <c r="BZ169" s="172" t="str">
        <f t="shared" si="333"/>
        <v/>
      </c>
      <c r="CA169" s="171" t="str">
        <f t="array" ref="CA169">IFERROR(IF(BU169="ac"+ISNUMBER(SEARCH("'",BZ169))+BY169="","", IF(ISNUMBER(SEARCH("lw",BZ169)), BM169 + SUBSTITUTE(BZ169,"lw+",""), MROUND(SWITCH(BU169,"sq",BY$7,"bn",BZ$7,"dl",CA$7,"")*IF(BZ169&gt;10, BZ169/100, VLOOKUP(BZ169, _rpe,SUBSTITUTE(BY169,"+","")+1,0)), IF( SWITCH(BU169,"sq",BY$7,"bn",BZ$7,"dl", CA$7,"")&lt; IF(_uom="lbs", 175, 80), 1.25, IF(_uom="lbs",5,2.5))))), "")</f>
        <v/>
      </c>
      <c r="CB169" s="148"/>
      <c r="CC169" s="33"/>
      <c r="CD169" s="171"/>
      <c r="CE169" s="124" t="str">
        <f>IFERROR(__xludf.DUMMYFUNCTION("IF(CA169=MAX(FILTER(CA$10:CA$199,LOOKUP(ROW(BU$10:BU$199),FILTER(ROW(BU$10:BU$199),BU$10:BU$199&lt;&gt;BU$9:BU$198))=LOOKUP(ROW(BU169),FILTER(ROW(BU$10:BU$199),BU$10:BU$199&lt;&gt;BU$9:BU$198)))),CB169,)"),"")</f>
        <v/>
      </c>
      <c r="CF169" s="122"/>
      <c r="CG169" s="33"/>
      <c r="CH169" s="143" t="str">
        <f t="shared" si="21"/>
        <v/>
      </c>
      <c r="CI169" s="38" t="str">
        <f>IFERROR(__xludf.DUMMYFUNCTION("""COMPUTED_VALUE"""),"")</f>
        <v/>
      </c>
      <c r="CJ169" s="144">
        <v>46153.0</v>
      </c>
      <c r="CK169" s="167" t="str">
        <f t="shared" si="27"/>
        <v/>
      </c>
      <c r="CL169" s="168" t="str">
        <f t="shared" si="334"/>
        <v/>
      </c>
      <c r="CM169" s="169" t="str">
        <f t="shared" si="335"/>
        <v/>
      </c>
      <c r="CN169" s="172" t="str">
        <f t="shared" si="336"/>
        <v/>
      </c>
      <c r="CO169" s="171" t="str">
        <f t="array" ref="CO169">IFERROR(IF(CI169="ac"+ISNUMBER(SEARCH("'",CN169))+CM169="","", IF(ISNUMBER(SEARCH("lw",CN169)), CA169 + SUBSTITUTE(CN169,"lw+",""), MROUND(SWITCH(CI169,"sq",CM$7,"bn",CN$7,"dl",CO$7,"")*IF(CN169&gt;10, CN169/100, VLOOKUP(CN169, _rpe,SUBSTITUTE(CM169,"+","")+1,0)), IF( SWITCH(CI169,"sq",CM$7,"bn",CN$7,"dl", CO$7,"")&lt; IF(_uom="lbs", 175, 80), 1.25, IF(_uom="lbs",5,2.5))))), "")</f>
        <v/>
      </c>
      <c r="CP169" s="148"/>
      <c r="CQ169" s="33"/>
      <c r="CR169" s="171"/>
      <c r="CS169" s="124" t="str">
        <f>IFERROR(__xludf.DUMMYFUNCTION("IF(CO169=MAX(FILTER(CO$10:CO$199,LOOKUP(ROW(CI$10:CI$199),FILTER(ROW(CI$10:CI$199),CI$10:CI$199&lt;&gt;CI$9:CI$198))=LOOKUP(ROW(CI169),FILTER(ROW(CI$10:CI$199),CI$10:CI$199&lt;&gt;CI$9:CI$198)))),CP169,)"),"")</f>
        <v/>
      </c>
      <c r="CT169" s="122"/>
      <c r="CU169" s="33"/>
      <c r="CV169" s="143" t="str">
        <f t="shared" si="22"/>
        <v/>
      </c>
      <c r="CW169" s="38" t="str">
        <f>IFERROR(__xludf.DUMMYFUNCTION("""COMPUTED_VALUE"""),"")</f>
        <v/>
      </c>
      <c r="CX169" s="144">
        <v>46160.0</v>
      </c>
      <c r="CY169" s="167" t="str">
        <f t="shared" si="28"/>
        <v/>
      </c>
      <c r="CZ169" s="168" t="str">
        <f t="shared" si="337"/>
        <v/>
      </c>
      <c r="DA169" s="169" t="str">
        <f t="shared" si="338"/>
        <v/>
      </c>
      <c r="DB169" s="172" t="str">
        <f t="shared" si="339"/>
        <v/>
      </c>
      <c r="DC169" s="171" t="str">
        <f t="array" ref="DC169">IFERROR(IF(CW169="ac"+ISNUMBER(SEARCH("'",DB169))+DA169="","", IF(ISNUMBER(SEARCH("lw",DB169)), CO169 + SUBSTITUTE(DB169,"lw+",""), MROUND(SWITCH(CW169,"sq",DA$7,"bn",DB$7,"dl",DC$7,"")*IF(DB169&gt;10, DB169/100, VLOOKUP(DB169, _rpe,SUBSTITUTE(DA169,"+","")+1,0)), IF( SWITCH(CW169,"sq",DA$7,"bn",DB$7,"dl", DC$7,"")&lt; IF(_uom="lbs", 175, 80), 1.25, IF(_uom="lbs",5,2.5))))), "")</f>
        <v/>
      </c>
      <c r="DD169" s="148"/>
      <c r="DE169" s="33"/>
      <c r="DF169" s="171"/>
      <c r="DG169" s="124" t="str">
        <f>IFERROR(__xludf.DUMMYFUNCTION("IF(DC169=MAX(FILTER(DC$10:DC$199,LOOKUP(ROW(CW$10:CW$199),FILTER(ROW(CW$10:CW$199),CW$10:CW$199&lt;&gt;CW$9:CW$198))=LOOKUP(ROW(CW169),FILTER(ROW(CW$10:CW$199),CW$10:CW$199&lt;&gt;CW$9:CW$198)))),DD169,)"),"")</f>
        <v/>
      </c>
      <c r="DH169" s="122"/>
      <c r="DI169" s="33"/>
      <c r="DJ169" s="143" t="str">
        <f t="shared" si="23"/>
        <v/>
      </c>
      <c r="DK169" s="38" t="str">
        <f>IFERROR(__xludf.DUMMYFUNCTION("""COMPUTED_VALUE"""),"")</f>
        <v/>
      </c>
      <c r="DL169" s="144">
        <v>46167.0</v>
      </c>
      <c r="DM169" s="167" t="str">
        <f t="shared" ref="DM169:DN169" si="421">IF(ISBLANK(CY169),"",CY169)</f>
        <v/>
      </c>
      <c r="DN169" s="168" t="str">
        <f t="shared" si="421"/>
        <v/>
      </c>
      <c r="DO169" s="169" t="str">
        <f t="shared" si="341"/>
        <v/>
      </c>
      <c r="DP169" s="172" t="str">
        <f t="shared" si="342"/>
        <v/>
      </c>
      <c r="DQ169" s="171" t="str">
        <f t="array" ref="DQ169">IFERROR(IF(DK169="ac"+ISNUMBER(SEARCH("'",DP169))+DO169="","", IF(ISNUMBER(SEARCH("lw",DP169)), DC169 + SUBSTITUTE(DP169,"lw+",""), MROUND(SWITCH(DK169,"sq",DO$7,"bn",DP$7,"dl",DQ$7,"")*IF(DP169&gt;10, DP169/100, VLOOKUP(DP169, _rpe,SUBSTITUTE(DO169,"+","")+1,0)), IF( SWITCH(DK169,"sq",DO$7,"bn",DP$7,"dl", DQ$7,"")&lt; IF(_uom="lbs", 175, 80), 1.25, IF(_uom="lbs",5,2.5))))), "")</f>
        <v/>
      </c>
      <c r="DR169" s="148"/>
      <c r="DS169" s="33"/>
      <c r="DT169" s="171"/>
      <c r="DU169" s="124" t="str">
        <f>IFERROR(__xludf.DUMMYFUNCTION("IF(DQ169=MAX(FILTER(DQ$10:DQ$199,LOOKUP(ROW(DK$10:DK$199),FILTER(ROW(DK$10:DK$199),DK$10:DK$199&lt;&gt;DK$9:DK$198))=LOOKUP(ROW(DK169),FILTER(ROW(DK$10:DK$199),DK$10:DK$199&lt;&gt;DK$9:DK$198)))),DR169,)"),"")</f>
        <v/>
      </c>
      <c r="DV169" s="122"/>
      <c r="DW169" s="33"/>
      <c r="DX169" s="143"/>
      <c r="DY169" s="38"/>
      <c r="DZ169" s="144"/>
      <c r="EA169" s="150"/>
      <c r="EB169" s="174"/>
      <c r="EC169" s="175"/>
      <c r="ED169" s="176"/>
      <c r="EE169" s="155"/>
      <c r="EF169" s="148"/>
      <c r="EG169" s="33"/>
      <c r="EH169" s="155"/>
      <c r="EI169" s="148"/>
      <c r="EJ169" s="33"/>
      <c r="EK169" s="33"/>
      <c r="EL169" s="143"/>
      <c r="EM169" s="38"/>
      <c r="EN169" s="144"/>
      <c r="EO169" s="150"/>
      <c r="EP169" s="174"/>
      <c r="EQ169" s="175"/>
      <c r="ER169" s="176"/>
      <c r="ES169" s="155"/>
      <c r="ET169" s="148"/>
      <c r="EU169" s="33"/>
      <c r="EV169" s="155"/>
      <c r="EW169" s="148"/>
      <c r="EX169" s="33"/>
      <c r="EY169" s="33"/>
      <c r="EZ169" s="143"/>
      <c r="FA169" s="38"/>
      <c r="FB169" s="144"/>
      <c r="FC169" s="150"/>
      <c r="FD169" s="174"/>
      <c r="FE169" s="175"/>
      <c r="FF169" s="176"/>
      <c r="FG169" s="155"/>
      <c r="FH169" s="148"/>
      <c r="FI169" s="33"/>
      <c r="FJ169" s="155"/>
      <c r="FK169" s="148"/>
      <c r="FL169" s="33"/>
      <c r="FM169" s="33"/>
      <c r="FN169" s="143"/>
      <c r="FO169" s="38"/>
      <c r="FP169" s="144"/>
      <c r="FQ169" s="150"/>
      <c r="FR169" s="174"/>
      <c r="FS169" s="175"/>
      <c r="FT169" s="176"/>
      <c r="FU169" s="155"/>
      <c r="FV169" s="148"/>
      <c r="FW169" s="33"/>
      <c r="FX169" s="155"/>
      <c r="FY169" s="148"/>
      <c r="FZ169" s="33"/>
      <c r="GA169" s="33"/>
      <c r="GB169" s="143"/>
      <c r="GC169" s="38"/>
      <c r="GD169" s="144"/>
      <c r="GE169" s="150"/>
      <c r="GF169" s="174"/>
      <c r="GG169" s="175"/>
      <c r="GH169" s="176"/>
      <c r="GI169" s="155"/>
      <c r="GJ169" s="148"/>
      <c r="GK169" s="33"/>
      <c r="GL169" s="155"/>
      <c r="GM169" s="148"/>
      <c r="GN169" s="33"/>
      <c r="GO169" s="33"/>
      <c r="GP169" s="143"/>
      <c r="GQ169" s="38"/>
      <c r="GR169" s="144"/>
      <c r="GS169" s="150"/>
      <c r="GT169" s="174"/>
      <c r="GU169" s="175"/>
      <c r="GV169" s="176"/>
      <c r="GW169" s="155"/>
      <c r="GX169" s="148"/>
      <c r="GY169" s="33"/>
      <c r="GZ169" s="155"/>
      <c r="HA169" s="148"/>
      <c r="HB169" s="33"/>
      <c r="HC169" s="33"/>
      <c r="HD169" s="143"/>
      <c r="HE169" s="38"/>
      <c r="HF169" s="144"/>
      <c r="HG169" s="150"/>
      <c r="HH169" s="174"/>
      <c r="HI169" s="175"/>
      <c r="HJ169" s="176"/>
      <c r="HK169" s="155"/>
      <c r="HL169" s="148"/>
      <c r="HM169" s="33"/>
      <c r="HN169" s="155"/>
      <c r="HO169" s="148"/>
      <c r="HP169" s="33"/>
      <c r="HQ169" s="33"/>
      <c r="HR169" s="143"/>
      <c r="HS169" s="38"/>
      <c r="HT169" s="144"/>
      <c r="HU169" s="150"/>
      <c r="HV169" s="174"/>
      <c r="HW169" s="175"/>
      <c r="HX169" s="176"/>
      <c r="HY169" s="155"/>
      <c r="HZ169" s="148"/>
      <c r="IA169" s="33"/>
      <c r="IB169" s="155"/>
      <c r="IC169" s="148"/>
      <c r="ID169" s="33"/>
      <c r="IE169" s="33"/>
      <c r="IF169" s="143"/>
      <c r="IG169" s="38"/>
      <c r="IH169" s="144"/>
      <c r="II169" s="150"/>
      <c r="IJ169" s="174"/>
      <c r="IK169" s="175"/>
      <c r="IL169" s="176"/>
      <c r="IM169" s="155"/>
      <c r="IN169" s="148"/>
      <c r="IO169" s="33"/>
      <c r="IP169" s="155"/>
      <c r="IQ169" s="148"/>
      <c r="IR169" s="33"/>
      <c r="IS169" s="33"/>
      <c r="IT169" s="143"/>
      <c r="IU169" s="38"/>
      <c r="IV169" s="144"/>
      <c r="IW169" s="143"/>
      <c r="IX169" s="38"/>
      <c r="IY169" s="144" t="e">
        <v>#REF!</v>
      </c>
    </row>
    <row r="170">
      <c r="A170" s="33"/>
      <c r="B170" s="181"/>
      <c r="C170" s="38" t="str">
        <f>IFERROR(__xludf.DUMMYFUNCTION("""COMPUTED_VALUE"""),"")</f>
        <v/>
      </c>
      <c r="D170" s="144">
        <v>46111.0</v>
      </c>
      <c r="E170" s="182"/>
      <c r="F170" s="168"/>
      <c r="G170" s="169"/>
      <c r="H170" s="170"/>
      <c r="I170" s="171" t="str">
        <f t="array" ref="I170">IFERROR(IF(C170="ac"+ISNUMBER(SEARCH("'",H170))+G170="","", MROUND(SWITCH(C170,"sq",'Personal Info'!$O$15,"bn",'Personal Info'!$S$15,"dl",'Personal Info'!$W$15,"")*IF(H170&gt;10, H170/100, VLOOKUP(H170, _rpe,SUBSTITUTE(G170,"+","")+1,0)), IF( SWITCH(C170:C210,"sq",'Personal Info'!$O$15,"bn",'Personal Info'!$S$15,"dl", 'Personal Info'!$W$15,"")&lt; IF(_uom="lbs", 175, 80), 1.25, IF(_uom="lbs",5,2.5)))),"")</f>
        <v/>
      </c>
      <c r="J170" s="148"/>
      <c r="K170" s="33"/>
      <c r="L170" s="171"/>
      <c r="M170" s="124" t="str">
        <f>IFERROR(__xludf.DUMMYFUNCTION("IF(I170=MAX(FILTER(I$10:I$199,LOOKUP(ROW(C$10:C$199),FILTER(ROW(C$10:C$199),C$10:C$199&lt;&gt;C$9:C$198))=LOOKUP(ROW(C170),FILTER(ROW(C$10:C$199),C$10:C$199&lt;&gt;C$9:C$198)))),J170,)"),"")</f>
        <v/>
      </c>
      <c r="N170" s="122"/>
      <c r="O170" s="33"/>
      <c r="P170" s="143" t="str">
        <f t="shared" si="12"/>
        <v/>
      </c>
      <c r="Q170" s="38" t="str">
        <f>IFERROR(__xludf.DUMMYFUNCTION("""COMPUTED_VALUE"""),"")</f>
        <v/>
      </c>
      <c r="R170" s="144">
        <v>46118.0</v>
      </c>
      <c r="S170" s="167" t="str">
        <f t="shared" si="13"/>
        <v/>
      </c>
      <c r="T170" s="168" t="str">
        <f t="shared" si="319"/>
        <v/>
      </c>
      <c r="U170" s="169" t="str">
        <f t="shared" si="320"/>
        <v/>
      </c>
      <c r="V170" s="172" t="str">
        <f t="shared" si="321"/>
        <v/>
      </c>
      <c r="W170" s="171" t="str">
        <f t="array" ref="W170">IFERROR(IF(Q170="ac"+ISNUMBER(SEARCH("'",V170))+U170="","", IF(ISNUMBER(SEARCH("lw",V170)), I170 + SUBSTITUTE(V170,"lw+",""), MROUND(SWITCH(Q170,"sq",U$7,"bn",V$7,"dl",W$7,"")*IF(V170&gt;10, V170/100, VLOOKUP(V170, _rpe,SUBSTITUTE(U170,"+","")+1,0)), IF( SWITCH(Q170,"sq",U$7,"bn",V$7,"dl", W$7,"")&lt; IF(_uom="lbs", 175, 80), 1.25, IF(_uom="lbs",5,2.5))))), "")</f>
        <v/>
      </c>
      <c r="X170" s="148"/>
      <c r="Y170" s="33"/>
      <c r="Z170" s="171"/>
      <c r="AA170" s="124" t="str">
        <f>IFERROR(__xludf.DUMMYFUNCTION("IF(W170=MAX(FILTER(W$10:W$199,LOOKUP(ROW(Q$10:Q$199),FILTER(ROW(Q$10:Q$199),Q$10:Q$199&lt;&gt;Q$9:Q$198))=LOOKUP(ROW(Q170),FILTER(ROW(Q$10:Q$199),Q$10:Q$199&lt;&gt;Q$9:Q$198)))),X170,)"),"")</f>
        <v/>
      </c>
      <c r="AB170" s="122"/>
      <c r="AC170" s="33"/>
      <c r="AD170" s="143" t="str">
        <f t="shared" si="14"/>
        <v/>
      </c>
      <c r="AE170" s="38" t="str">
        <f>IFERROR(__xludf.DUMMYFUNCTION("""COMPUTED_VALUE"""),"")</f>
        <v/>
      </c>
      <c r="AF170" s="144">
        <v>46125.0</v>
      </c>
      <c r="AG170" s="167" t="str">
        <f t="shared" si="54"/>
        <v/>
      </c>
      <c r="AH170" s="168" t="str">
        <f t="shared" si="322"/>
        <v/>
      </c>
      <c r="AI170" s="169" t="str">
        <f t="shared" si="323"/>
        <v/>
      </c>
      <c r="AJ170" s="172" t="str">
        <f t="shared" si="324"/>
        <v/>
      </c>
      <c r="AK170" s="171" t="str">
        <f t="array" ref="AK170">IFERROR(IF(AE170="ac"+ISNUMBER(SEARCH("'",AJ170))+AI170="","", IF(ISNUMBER(SEARCH("lw",AJ170)), W170 + SUBSTITUTE(AJ170,"lw+",""), MROUND(SWITCH(AE170,"sq",AI$7,"bn",AJ$7,"dl",AK$7,"")*IF(AJ170&gt;10, AJ170/100, VLOOKUP(AJ170, _rpe,SUBSTITUTE(AI170,"+","")+1,0)), IF( SWITCH(AE170,"sq",AI$7,"bn",AJ$7,"dl", AK$7,"")&lt; IF(_uom="lbs", 175, 80), 1.25, IF(_uom="lbs",5,2.5))))), "")</f>
        <v/>
      </c>
      <c r="AL170" s="148"/>
      <c r="AM170" s="33"/>
      <c r="AN170" s="171"/>
      <c r="AO170" s="124" t="str">
        <f>IFERROR(__xludf.DUMMYFUNCTION("IF(AK170=MAX(FILTER(AK$10:AK$199,LOOKUP(ROW(AE$10:AE$199),FILTER(ROW(AE$10:AE$199),AE$10:AE$199&lt;&gt;AE$9:AE$198))=LOOKUP(ROW(AE170),FILTER(ROW(AE$10:AE$199),AE$10:AE$199&lt;&gt;AE$9:AE$198)))),AL170,)"),"")</f>
        <v/>
      </c>
      <c r="AP170" s="122"/>
      <c r="AQ170" s="33"/>
      <c r="AR170" s="143" t="str">
        <f t="shared" si="16"/>
        <v/>
      </c>
      <c r="AS170" s="38" t="str">
        <f>IFERROR(__xludf.DUMMYFUNCTION("""COMPUTED_VALUE"""),"")</f>
        <v/>
      </c>
      <c r="AT170" s="144">
        <v>46132.0</v>
      </c>
      <c r="AU170" s="167" t="str">
        <f t="shared" si="26"/>
        <v/>
      </c>
      <c r="AV170" s="168" t="str">
        <f t="shared" si="325"/>
        <v/>
      </c>
      <c r="AW170" s="169" t="str">
        <f t="shared" si="326"/>
        <v/>
      </c>
      <c r="AX170" s="172" t="str">
        <f t="shared" si="327"/>
        <v/>
      </c>
      <c r="AY170" s="171" t="str">
        <f t="array" ref="AY170">IFERROR(IF(AS170="ac"+ISNUMBER(SEARCH("'",AX170))+AW170="","", IF(ISNUMBER(SEARCH("lw",AX170)), AK170 + SUBSTITUTE(AX170,"lw+",""), MROUND(SWITCH(AS170,"sq",AW$7,"bn",AX$7,"dl",AY$7,"")*IF(AX170&gt;10, AX170/100, VLOOKUP(AX170, _rpe,SUBSTITUTE(AW170,"+","")+1,0)), IF( SWITCH(AS170,"sq",AW$7,"bn",AX$7,"dl", AY$7,"")&lt; IF(_uom="lbs", 175, 80), 1.25, IF(_uom="lbs",5,2.5))))), "")</f>
        <v/>
      </c>
      <c r="AZ170" s="148"/>
      <c r="BA170" s="33"/>
      <c r="BB170" s="171"/>
      <c r="BC170" s="124" t="str">
        <f>IFERROR(__xludf.DUMMYFUNCTION("IF(AY170=MAX(FILTER(AY$10:AY$199,LOOKUP(ROW(AS$10:AS$199),FILTER(ROW(AS$10:AS$199),AS$10:AS$199&lt;&gt;AS$9:AS$198))=LOOKUP(ROW(AS170),FILTER(ROW(AS$10:AS$199),AS$10:AS$199&lt;&gt;AS$9:AS$198)))),AZ170,)"),"")</f>
        <v/>
      </c>
      <c r="BD170" s="122"/>
      <c r="BE170" s="33"/>
      <c r="BF170" s="143" t="str">
        <f t="shared" si="17"/>
        <v/>
      </c>
      <c r="BG170" s="38" t="str">
        <f>IFERROR(__xludf.DUMMYFUNCTION("""COMPUTED_VALUE"""),"")</f>
        <v/>
      </c>
      <c r="BH170" s="144">
        <v>46139.0</v>
      </c>
      <c r="BI170" s="167" t="str">
        <f t="shared" si="18"/>
        <v/>
      </c>
      <c r="BJ170" s="168" t="str">
        <f t="shared" si="328"/>
        <v/>
      </c>
      <c r="BK170" s="169" t="str">
        <f t="shared" si="329"/>
        <v/>
      </c>
      <c r="BL170" s="172" t="str">
        <f t="shared" si="330"/>
        <v/>
      </c>
      <c r="BM170" s="171" t="str">
        <f t="array" ref="BM170">IFERROR(IF(BG170="ac"+ISNUMBER(SEARCH("'",BL170))+BK170="","", IF(ISNUMBER(SEARCH("lw",BL170)), AY170 + SUBSTITUTE(BL170,"lw+",""), MROUND(SWITCH(BG170,"sq",BK$7,"bn",BL$7,"dl",BM$7,"")*IF(BL170&gt;10, BL170/100, VLOOKUP(BL170, _rpe,SUBSTITUTE(BK170,"+","")+1,0)), IF( SWITCH(BG170,"sq",BK$7,"bn",BL$7,"dl", BM$7,"")&lt; IF(_uom="lbs", 175, 80), 1.25, IF(_uom="lbs",5,2.5))))), "")</f>
        <v/>
      </c>
      <c r="BN170" s="148"/>
      <c r="BO170" s="33"/>
      <c r="BP170" s="171"/>
      <c r="BQ170" s="124" t="str">
        <f>IFERROR(__xludf.DUMMYFUNCTION("IF(BM170=MAX(FILTER(BM$10:BM$199,LOOKUP(ROW(BG$10:BG$199),FILTER(ROW(BG$10:BG$199),BG$10:BG$199&lt;&gt;BG$9:BG$198))=LOOKUP(ROW(BG170),FILTER(ROW(BG$10:BG$199),BG$10:BG$199&lt;&gt;BG$9:BG$198)))),BN170,)"),"")</f>
        <v/>
      </c>
      <c r="BR170" s="122"/>
      <c r="BS170" s="33"/>
      <c r="BT170" s="143" t="str">
        <f t="shared" si="19"/>
        <v/>
      </c>
      <c r="BU170" s="38" t="str">
        <f>IFERROR(__xludf.DUMMYFUNCTION("""COMPUTED_VALUE"""),"")</f>
        <v/>
      </c>
      <c r="BV170" s="144">
        <v>46146.0</v>
      </c>
      <c r="BW170" s="167" t="str">
        <f t="shared" si="20"/>
        <v/>
      </c>
      <c r="BX170" s="168" t="str">
        <f t="shared" si="331"/>
        <v/>
      </c>
      <c r="BY170" s="169" t="str">
        <f t="shared" si="332"/>
        <v/>
      </c>
      <c r="BZ170" s="172" t="str">
        <f t="shared" si="333"/>
        <v/>
      </c>
      <c r="CA170" s="171" t="str">
        <f t="array" ref="CA170">IFERROR(IF(BU170="ac"+ISNUMBER(SEARCH("'",BZ170))+BY170="","", IF(ISNUMBER(SEARCH("lw",BZ170)), BM170 + SUBSTITUTE(BZ170,"lw+",""), MROUND(SWITCH(BU170,"sq",BY$7,"bn",BZ$7,"dl",CA$7,"")*IF(BZ170&gt;10, BZ170/100, VLOOKUP(BZ170, _rpe,SUBSTITUTE(BY170,"+","")+1,0)), IF( SWITCH(BU170,"sq",BY$7,"bn",BZ$7,"dl", CA$7,"")&lt; IF(_uom="lbs", 175, 80), 1.25, IF(_uom="lbs",5,2.5))))), "")</f>
        <v/>
      </c>
      <c r="CB170" s="148"/>
      <c r="CC170" s="33"/>
      <c r="CD170" s="171"/>
      <c r="CE170" s="124" t="str">
        <f>IFERROR(__xludf.DUMMYFUNCTION("IF(CA170=MAX(FILTER(CA$10:CA$199,LOOKUP(ROW(BU$10:BU$199),FILTER(ROW(BU$10:BU$199),BU$10:BU$199&lt;&gt;BU$9:BU$198))=LOOKUP(ROW(BU170),FILTER(ROW(BU$10:BU$199),BU$10:BU$199&lt;&gt;BU$9:BU$198)))),CB170,)"),"")</f>
        <v/>
      </c>
      <c r="CF170" s="122"/>
      <c r="CG170" s="33"/>
      <c r="CH170" s="143" t="str">
        <f t="shared" si="21"/>
        <v/>
      </c>
      <c r="CI170" s="38" t="str">
        <f>IFERROR(__xludf.DUMMYFUNCTION("""COMPUTED_VALUE"""),"")</f>
        <v/>
      </c>
      <c r="CJ170" s="144">
        <v>46153.0</v>
      </c>
      <c r="CK170" s="167" t="str">
        <f t="shared" si="27"/>
        <v/>
      </c>
      <c r="CL170" s="168" t="str">
        <f t="shared" si="334"/>
        <v/>
      </c>
      <c r="CM170" s="169" t="str">
        <f t="shared" si="335"/>
        <v/>
      </c>
      <c r="CN170" s="172" t="str">
        <f t="shared" si="336"/>
        <v/>
      </c>
      <c r="CO170" s="171" t="str">
        <f t="array" ref="CO170">IFERROR(IF(CI170="ac"+ISNUMBER(SEARCH("'",CN170))+CM170="","", IF(ISNUMBER(SEARCH("lw",CN170)), CA170 + SUBSTITUTE(CN170,"lw+",""), MROUND(SWITCH(CI170,"sq",CM$7,"bn",CN$7,"dl",CO$7,"")*IF(CN170&gt;10, CN170/100, VLOOKUP(CN170, _rpe,SUBSTITUTE(CM170,"+","")+1,0)), IF( SWITCH(CI170,"sq",CM$7,"bn",CN$7,"dl", CO$7,"")&lt; IF(_uom="lbs", 175, 80), 1.25, IF(_uom="lbs",5,2.5))))), "")</f>
        <v/>
      </c>
      <c r="CP170" s="148"/>
      <c r="CQ170" s="33"/>
      <c r="CR170" s="171"/>
      <c r="CS170" s="124" t="str">
        <f>IFERROR(__xludf.DUMMYFUNCTION("IF(CO170=MAX(FILTER(CO$10:CO$199,LOOKUP(ROW(CI$10:CI$199),FILTER(ROW(CI$10:CI$199),CI$10:CI$199&lt;&gt;CI$9:CI$198))=LOOKUP(ROW(CI170),FILTER(ROW(CI$10:CI$199),CI$10:CI$199&lt;&gt;CI$9:CI$198)))),CP170,)"),"")</f>
        <v/>
      </c>
      <c r="CT170" s="122"/>
      <c r="CU170" s="33"/>
      <c r="CV170" s="143" t="str">
        <f t="shared" si="22"/>
        <v/>
      </c>
      <c r="CW170" s="38" t="str">
        <f>IFERROR(__xludf.DUMMYFUNCTION("""COMPUTED_VALUE"""),"")</f>
        <v/>
      </c>
      <c r="CX170" s="144">
        <v>46160.0</v>
      </c>
      <c r="CY170" s="167" t="str">
        <f t="shared" si="28"/>
        <v/>
      </c>
      <c r="CZ170" s="168" t="str">
        <f t="shared" si="337"/>
        <v/>
      </c>
      <c r="DA170" s="169" t="str">
        <f t="shared" si="338"/>
        <v/>
      </c>
      <c r="DB170" s="172" t="str">
        <f t="shared" si="339"/>
        <v/>
      </c>
      <c r="DC170" s="171" t="str">
        <f t="array" ref="DC170">IFERROR(IF(CW170="ac"+ISNUMBER(SEARCH("'",DB170))+DA170="","", IF(ISNUMBER(SEARCH("lw",DB170)), CO170 + SUBSTITUTE(DB170,"lw+",""), MROUND(SWITCH(CW170,"sq",DA$7,"bn",DB$7,"dl",DC$7,"")*IF(DB170&gt;10, DB170/100, VLOOKUP(DB170, _rpe,SUBSTITUTE(DA170,"+","")+1,0)), IF( SWITCH(CW170,"sq",DA$7,"bn",DB$7,"dl", DC$7,"")&lt; IF(_uom="lbs", 175, 80), 1.25, IF(_uom="lbs",5,2.5))))), "")</f>
        <v/>
      </c>
      <c r="DD170" s="148"/>
      <c r="DE170" s="33"/>
      <c r="DF170" s="171"/>
      <c r="DG170" s="124" t="str">
        <f>IFERROR(__xludf.DUMMYFUNCTION("IF(DC170=MAX(FILTER(DC$10:DC$199,LOOKUP(ROW(CW$10:CW$199),FILTER(ROW(CW$10:CW$199),CW$10:CW$199&lt;&gt;CW$9:CW$198))=LOOKUP(ROW(CW170),FILTER(ROW(CW$10:CW$199),CW$10:CW$199&lt;&gt;CW$9:CW$198)))),DD170,)"),"")</f>
        <v/>
      </c>
      <c r="DH170" s="122"/>
      <c r="DI170" s="33"/>
      <c r="DJ170" s="143" t="str">
        <f t="shared" si="23"/>
        <v/>
      </c>
      <c r="DK170" s="38" t="str">
        <f>IFERROR(__xludf.DUMMYFUNCTION("""COMPUTED_VALUE"""),"")</f>
        <v/>
      </c>
      <c r="DL170" s="144">
        <v>46167.0</v>
      </c>
      <c r="DM170" s="167" t="str">
        <f t="shared" ref="DM170:DN170" si="422">IF(ISBLANK(CY170),"",CY170)</f>
        <v/>
      </c>
      <c r="DN170" s="168" t="str">
        <f t="shared" si="422"/>
        <v/>
      </c>
      <c r="DO170" s="169" t="str">
        <f t="shared" si="341"/>
        <v/>
      </c>
      <c r="DP170" s="172" t="str">
        <f t="shared" si="342"/>
        <v/>
      </c>
      <c r="DQ170" s="171" t="str">
        <f t="array" ref="DQ170">IFERROR(IF(DK170="ac"+ISNUMBER(SEARCH("'",DP170))+DO170="","", IF(ISNUMBER(SEARCH("lw",DP170)), DC170 + SUBSTITUTE(DP170,"lw+",""), MROUND(SWITCH(DK170,"sq",DO$7,"bn",DP$7,"dl",DQ$7,"")*IF(DP170&gt;10, DP170/100, VLOOKUP(DP170, _rpe,SUBSTITUTE(DO170,"+","")+1,0)), IF( SWITCH(DK170,"sq",DO$7,"bn",DP$7,"dl", DQ$7,"")&lt; IF(_uom="lbs", 175, 80), 1.25, IF(_uom="lbs",5,2.5))))), "")</f>
        <v/>
      </c>
      <c r="DR170" s="148"/>
      <c r="DS170" s="33"/>
      <c r="DT170" s="171"/>
      <c r="DU170" s="124" t="str">
        <f>IFERROR(__xludf.DUMMYFUNCTION("IF(DQ170=MAX(FILTER(DQ$10:DQ$199,LOOKUP(ROW(DK$10:DK$199),FILTER(ROW(DK$10:DK$199),DK$10:DK$199&lt;&gt;DK$9:DK$198))=LOOKUP(ROW(DK170),FILTER(ROW(DK$10:DK$199),DK$10:DK$199&lt;&gt;DK$9:DK$198)))),DR170,)"),"")</f>
        <v/>
      </c>
      <c r="DV170" s="122"/>
      <c r="DW170" s="33"/>
      <c r="DX170" s="143"/>
      <c r="DY170" s="38"/>
      <c r="DZ170" s="144"/>
      <c r="EA170" s="150"/>
      <c r="EB170" s="174"/>
      <c r="EC170" s="175"/>
      <c r="ED170" s="176"/>
      <c r="EE170" s="155"/>
      <c r="EF170" s="148"/>
      <c r="EG170" s="33"/>
      <c r="EH170" s="155"/>
      <c r="EI170" s="148"/>
      <c r="EJ170" s="33"/>
      <c r="EK170" s="33"/>
      <c r="EL170" s="143"/>
      <c r="EM170" s="38"/>
      <c r="EN170" s="144"/>
      <c r="EO170" s="150"/>
      <c r="EP170" s="174"/>
      <c r="EQ170" s="175"/>
      <c r="ER170" s="176"/>
      <c r="ES170" s="155"/>
      <c r="ET170" s="148"/>
      <c r="EU170" s="33"/>
      <c r="EV170" s="155"/>
      <c r="EW170" s="148"/>
      <c r="EX170" s="33"/>
      <c r="EY170" s="33"/>
      <c r="EZ170" s="143"/>
      <c r="FA170" s="38"/>
      <c r="FB170" s="144"/>
      <c r="FC170" s="150"/>
      <c r="FD170" s="174"/>
      <c r="FE170" s="175"/>
      <c r="FF170" s="176"/>
      <c r="FG170" s="155"/>
      <c r="FH170" s="148"/>
      <c r="FI170" s="33"/>
      <c r="FJ170" s="155"/>
      <c r="FK170" s="148"/>
      <c r="FL170" s="33"/>
      <c r="FM170" s="33"/>
      <c r="FN170" s="143"/>
      <c r="FO170" s="38"/>
      <c r="FP170" s="144"/>
      <c r="FQ170" s="150"/>
      <c r="FR170" s="174"/>
      <c r="FS170" s="175"/>
      <c r="FT170" s="176"/>
      <c r="FU170" s="155"/>
      <c r="FV170" s="148"/>
      <c r="FW170" s="33"/>
      <c r="FX170" s="155"/>
      <c r="FY170" s="148"/>
      <c r="FZ170" s="33"/>
      <c r="GA170" s="33"/>
      <c r="GB170" s="143"/>
      <c r="GC170" s="38"/>
      <c r="GD170" s="144"/>
      <c r="GE170" s="150"/>
      <c r="GF170" s="174"/>
      <c r="GG170" s="175"/>
      <c r="GH170" s="176"/>
      <c r="GI170" s="155"/>
      <c r="GJ170" s="148"/>
      <c r="GK170" s="33"/>
      <c r="GL170" s="155"/>
      <c r="GM170" s="148"/>
      <c r="GN170" s="33"/>
      <c r="GO170" s="33"/>
      <c r="GP170" s="143"/>
      <c r="GQ170" s="38"/>
      <c r="GR170" s="144"/>
      <c r="GS170" s="150"/>
      <c r="GT170" s="174"/>
      <c r="GU170" s="175"/>
      <c r="GV170" s="176"/>
      <c r="GW170" s="155"/>
      <c r="GX170" s="148"/>
      <c r="GY170" s="33"/>
      <c r="GZ170" s="155"/>
      <c r="HA170" s="148"/>
      <c r="HB170" s="33"/>
      <c r="HC170" s="33"/>
      <c r="HD170" s="143"/>
      <c r="HE170" s="38"/>
      <c r="HF170" s="144"/>
      <c r="HG170" s="150"/>
      <c r="HH170" s="174"/>
      <c r="HI170" s="175"/>
      <c r="HJ170" s="176"/>
      <c r="HK170" s="155"/>
      <c r="HL170" s="148"/>
      <c r="HM170" s="33"/>
      <c r="HN170" s="155"/>
      <c r="HO170" s="148"/>
      <c r="HP170" s="33"/>
      <c r="HQ170" s="33"/>
      <c r="HR170" s="143"/>
      <c r="HS170" s="38"/>
      <c r="HT170" s="144"/>
      <c r="HU170" s="150"/>
      <c r="HV170" s="174"/>
      <c r="HW170" s="175"/>
      <c r="HX170" s="176"/>
      <c r="HY170" s="155"/>
      <c r="HZ170" s="148"/>
      <c r="IA170" s="33"/>
      <c r="IB170" s="155"/>
      <c r="IC170" s="148"/>
      <c r="ID170" s="33"/>
      <c r="IE170" s="33"/>
      <c r="IF170" s="143"/>
      <c r="IG170" s="38"/>
      <c r="IH170" s="144"/>
      <c r="II170" s="150"/>
      <c r="IJ170" s="174"/>
      <c r="IK170" s="175"/>
      <c r="IL170" s="176"/>
      <c r="IM170" s="155"/>
      <c r="IN170" s="148"/>
      <c r="IO170" s="33"/>
      <c r="IP170" s="155"/>
      <c r="IQ170" s="148"/>
      <c r="IR170" s="33"/>
      <c r="IS170" s="33"/>
      <c r="IT170" s="143"/>
      <c r="IU170" s="38"/>
      <c r="IV170" s="144"/>
      <c r="IW170" s="143"/>
      <c r="IX170" s="38"/>
      <c r="IY170" s="144" t="e">
        <v>#REF!</v>
      </c>
    </row>
    <row r="171">
      <c r="A171" s="33"/>
      <c r="B171" s="181"/>
      <c r="C171" s="38" t="str">
        <f>IFERROR(__xludf.DUMMYFUNCTION("""COMPUTED_VALUE"""),"")</f>
        <v/>
      </c>
      <c r="D171" s="144">
        <v>46111.0</v>
      </c>
      <c r="E171" s="182"/>
      <c r="F171" s="168"/>
      <c r="G171" s="169"/>
      <c r="H171" s="170"/>
      <c r="I171" s="171" t="str">
        <f t="array" ref="I171">IFERROR(IF(C171="ac"+ISNUMBER(SEARCH("'",H171))+G171="","", MROUND(SWITCH(C171,"sq",'Personal Info'!$O$15,"bn",'Personal Info'!$S$15,"dl",'Personal Info'!$W$15,"")*IF(H171&gt;10, H171/100, VLOOKUP(H171, _rpe,SUBSTITUTE(G171,"+","")+1,0)), IF( SWITCH(C171:C210,"sq",'Personal Info'!$O$15,"bn",'Personal Info'!$S$15,"dl", 'Personal Info'!$W$15,"")&lt; IF(_uom="lbs", 175, 80), 1.25, IF(_uom="lbs",5,2.5)))),"")</f>
        <v/>
      </c>
      <c r="J171" s="148"/>
      <c r="K171" s="33"/>
      <c r="L171" s="171"/>
      <c r="M171" s="124" t="str">
        <f>IFERROR(__xludf.DUMMYFUNCTION("IF(I171=MAX(FILTER(I$10:I$199,LOOKUP(ROW(C$10:C$199),FILTER(ROW(C$10:C$199),C$10:C$199&lt;&gt;C$9:C$198))=LOOKUP(ROW(C171),FILTER(ROW(C$10:C$199),C$10:C$199&lt;&gt;C$9:C$198)))),J171,)"),"")</f>
        <v/>
      </c>
      <c r="N171" s="122"/>
      <c r="O171" s="33"/>
      <c r="P171" s="143" t="str">
        <f t="shared" si="12"/>
        <v/>
      </c>
      <c r="Q171" s="38" t="str">
        <f>IFERROR(__xludf.DUMMYFUNCTION("""COMPUTED_VALUE"""),"")</f>
        <v/>
      </c>
      <c r="R171" s="144">
        <v>46118.0</v>
      </c>
      <c r="S171" s="167" t="str">
        <f t="shared" si="13"/>
        <v/>
      </c>
      <c r="T171" s="168" t="str">
        <f t="shared" si="319"/>
        <v/>
      </c>
      <c r="U171" s="169" t="str">
        <f t="shared" si="320"/>
        <v/>
      </c>
      <c r="V171" s="172" t="str">
        <f t="shared" si="321"/>
        <v/>
      </c>
      <c r="W171" s="171" t="str">
        <f t="array" ref="W171">IFERROR(IF(Q171="ac"+ISNUMBER(SEARCH("'",V171))+U171="","", IF(ISNUMBER(SEARCH("lw",V171)), I171 + SUBSTITUTE(V171,"lw+",""), MROUND(SWITCH(Q171,"sq",U$7,"bn",V$7,"dl",W$7,"")*IF(V171&gt;10, V171/100, VLOOKUP(V171, _rpe,SUBSTITUTE(U171,"+","")+1,0)), IF( SWITCH(Q171,"sq",U$7,"bn",V$7,"dl", W$7,"")&lt; IF(_uom="lbs", 175, 80), 1.25, IF(_uom="lbs",5,2.5))))), "")</f>
        <v/>
      </c>
      <c r="X171" s="148"/>
      <c r="Y171" s="33"/>
      <c r="Z171" s="171"/>
      <c r="AA171" s="124" t="str">
        <f>IFERROR(__xludf.DUMMYFUNCTION("IF(W171=MAX(FILTER(W$10:W$199,LOOKUP(ROW(Q$10:Q$199),FILTER(ROW(Q$10:Q$199),Q$10:Q$199&lt;&gt;Q$9:Q$198))=LOOKUP(ROW(Q171),FILTER(ROW(Q$10:Q$199),Q$10:Q$199&lt;&gt;Q$9:Q$198)))),X171,)"),"")</f>
        <v/>
      </c>
      <c r="AB171" s="122"/>
      <c r="AC171" s="33"/>
      <c r="AD171" s="143" t="str">
        <f t="shared" si="14"/>
        <v/>
      </c>
      <c r="AE171" s="38" t="str">
        <f>IFERROR(__xludf.DUMMYFUNCTION("""COMPUTED_VALUE"""),"")</f>
        <v/>
      </c>
      <c r="AF171" s="144">
        <v>46125.0</v>
      </c>
      <c r="AG171" s="167" t="str">
        <f t="shared" si="54"/>
        <v/>
      </c>
      <c r="AH171" s="168" t="str">
        <f t="shared" si="322"/>
        <v/>
      </c>
      <c r="AI171" s="169" t="str">
        <f t="shared" si="323"/>
        <v/>
      </c>
      <c r="AJ171" s="172" t="str">
        <f t="shared" si="324"/>
        <v/>
      </c>
      <c r="AK171" s="171" t="str">
        <f t="array" ref="AK171">IFERROR(IF(AE171="ac"+ISNUMBER(SEARCH("'",AJ171))+AI171="","", IF(ISNUMBER(SEARCH("lw",AJ171)), W171 + SUBSTITUTE(AJ171,"lw+",""), MROUND(SWITCH(AE171,"sq",AI$7,"bn",AJ$7,"dl",AK$7,"")*IF(AJ171&gt;10, AJ171/100, VLOOKUP(AJ171, _rpe,SUBSTITUTE(AI171,"+","")+1,0)), IF( SWITCH(AE171,"sq",AI$7,"bn",AJ$7,"dl", AK$7,"")&lt; IF(_uom="lbs", 175, 80), 1.25, IF(_uom="lbs",5,2.5))))), "")</f>
        <v/>
      </c>
      <c r="AL171" s="148"/>
      <c r="AM171" s="33"/>
      <c r="AN171" s="171"/>
      <c r="AO171" s="124" t="str">
        <f>IFERROR(__xludf.DUMMYFUNCTION("IF(AK171=MAX(FILTER(AK$10:AK$199,LOOKUP(ROW(AE$10:AE$199),FILTER(ROW(AE$10:AE$199),AE$10:AE$199&lt;&gt;AE$9:AE$198))=LOOKUP(ROW(AE171),FILTER(ROW(AE$10:AE$199),AE$10:AE$199&lt;&gt;AE$9:AE$198)))),AL171,)"),"")</f>
        <v/>
      </c>
      <c r="AP171" s="122"/>
      <c r="AQ171" s="33"/>
      <c r="AR171" s="143" t="str">
        <f t="shared" si="16"/>
        <v/>
      </c>
      <c r="AS171" s="38" t="str">
        <f>IFERROR(__xludf.DUMMYFUNCTION("""COMPUTED_VALUE"""),"")</f>
        <v/>
      </c>
      <c r="AT171" s="144">
        <v>46132.0</v>
      </c>
      <c r="AU171" s="167" t="str">
        <f t="shared" si="26"/>
        <v/>
      </c>
      <c r="AV171" s="168" t="str">
        <f t="shared" si="325"/>
        <v/>
      </c>
      <c r="AW171" s="169" t="str">
        <f t="shared" si="326"/>
        <v/>
      </c>
      <c r="AX171" s="172" t="str">
        <f t="shared" si="327"/>
        <v/>
      </c>
      <c r="AY171" s="171" t="str">
        <f t="array" ref="AY171">IFERROR(IF(AS171="ac"+ISNUMBER(SEARCH("'",AX171))+AW171="","", IF(ISNUMBER(SEARCH("lw",AX171)), AK171 + SUBSTITUTE(AX171,"lw+",""), MROUND(SWITCH(AS171,"sq",AW$7,"bn",AX$7,"dl",AY$7,"")*IF(AX171&gt;10, AX171/100, VLOOKUP(AX171, _rpe,SUBSTITUTE(AW171,"+","")+1,0)), IF( SWITCH(AS171,"sq",AW$7,"bn",AX$7,"dl", AY$7,"")&lt; IF(_uom="lbs", 175, 80), 1.25, IF(_uom="lbs",5,2.5))))), "")</f>
        <v/>
      </c>
      <c r="AZ171" s="148"/>
      <c r="BA171" s="33"/>
      <c r="BB171" s="171"/>
      <c r="BC171" s="124" t="str">
        <f>IFERROR(__xludf.DUMMYFUNCTION("IF(AY171=MAX(FILTER(AY$10:AY$199,LOOKUP(ROW(AS$10:AS$199),FILTER(ROW(AS$10:AS$199),AS$10:AS$199&lt;&gt;AS$9:AS$198))=LOOKUP(ROW(AS171),FILTER(ROW(AS$10:AS$199),AS$10:AS$199&lt;&gt;AS$9:AS$198)))),AZ171,)"),"")</f>
        <v/>
      </c>
      <c r="BD171" s="122"/>
      <c r="BE171" s="33"/>
      <c r="BF171" s="143" t="str">
        <f t="shared" si="17"/>
        <v/>
      </c>
      <c r="BG171" s="38" t="str">
        <f>IFERROR(__xludf.DUMMYFUNCTION("""COMPUTED_VALUE"""),"")</f>
        <v/>
      </c>
      <c r="BH171" s="144">
        <v>46139.0</v>
      </c>
      <c r="BI171" s="167" t="str">
        <f t="shared" si="18"/>
        <v/>
      </c>
      <c r="BJ171" s="168" t="str">
        <f t="shared" si="328"/>
        <v/>
      </c>
      <c r="BK171" s="169" t="str">
        <f t="shared" si="329"/>
        <v/>
      </c>
      <c r="BL171" s="172" t="str">
        <f t="shared" si="330"/>
        <v/>
      </c>
      <c r="BM171" s="171" t="str">
        <f t="array" ref="BM171">IFERROR(IF(BG171="ac"+ISNUMBER(SEARCH("'",BL171))+BK171="","", IF(ISNUMBER(SEARCH("lw",BL171)), AY171 + SUBSTITUTE(BL171,"lw+",""), MROUND(SWITCH(BG171,"sq",BK$7,"bn",BL$7,"dl",BM$7,"")*IF(BL171&gt;10, BL171/100, VLOOKUP(BL171, _rpe,SUBSTITUTE(BK171,"+","")+1,0)), IF( SWITCH(BG171,"sq",BK$7,"bn",BL$7,"dl", BM$7,"")&lt; IF(_uom="lbs", 175, 80), 1.25, IF(_uom="lbs",5,2.5))))), "")</f>
        <v/>
      </c>
      <c r="BN171" s="148"/>
      <c r="BO171" s="33"/>
      <c r="BP171" s="171"/>
      <c r="BQ171" s="124" t="str">
        <f>IFERROR(__xludf.DUMMYFUNCTION("IF(BM171=MAX(FILTER(BM$10:BM$199,LOOKUP(ROW(BG$10:BG$199),FILTER(ROW(BG$10:BG$199),BG$10:BG$199&lt;&gt;BG$9:BG$198))=LOOKUP(ROW(BG171),FILTER(ROW(BG$10:BG$199),BG$10:BG$199&lt;&gt;BG$9:BG$198)))),BN171,)"),"")</f>
        <v/>
      </c>
      <c r="BR171" s="122"/>
      <c r="BS171" s="33"/>
      <c r="BT171" s="143" t="str">
        <f t="shared" si="19"/>
        <v/>
      </c>
      <c r="BU171" s="38" t="str">
        <f>IFERROR(__xludf.DUMMYFUNCTION("""COMPUTED_VALUE"""),"")</f>
        <v/>
      </c>
      <c r="BV171" s="144">
        <v>46146.0</v>
      </c>
      <c r="BW171" s="167" t="str">
        <f t="shared" si="20"/>
        <v/>
      </c>
      <c r="BX171" s="168" t="str">
        <f t="shared" si="331"/>
        <v/>
      </c>
      <c r="BY171" s="169" t="str">
        <f t="shared" si="332"/>
        <v/>
      </c>
      <c r="BZ171" s="172" t="str">
        <f t="shared" si="333"/>
        <v/>
      </c>
      <c r="CA171" s="171" t="str">
        <f t="array" ref="CA171">IFERROR(IF(BU171="ac"+ISNUMBER(SEARCH("'",BZ171))+BY171="","", IF(ISNUMBER(SEARCH("lw",BZ171)), BM171 + SUBSTITUTE(BZ171,"lw+",""), MROUND(SWITCH(BU171,"sq",BY$7,"bn",BZ$7,"dl",CA$7,"")*IF(BZ171&gt;10, BZ171/100, VLOOKUP(BZ171, _rpe,SUBSTITUTE(BY171,"+","")+1,0)), IF( SWITCH(BU171,"sq",BY$7,"bn",BZ$7,"dl", CA$7,"")&lt; IF(_uom="lbs", 175, 80), 1.25, IF(_uom="lbs",5,2.5))))), "")</f>
        <v/>
      </c>
      <c r="CB171" s="148"/>
      <c r="CC171" s="33"/>
      <c r="CD171" s="171"/>
      <c r="CE171" s="124" t="str">
        <f>IFERROR(__xludf.DUMMYFUNCTION("IF(CA171=MAX(FILTER(CA$10:CA$199,LOOKUP(ROW(BU$10:BU$199),FILTER(ROW(BU$10:BU$199),BU$10:BU$199&lt;&gt;BU$9:BU$198))=LOOKUP(ROW(BU171),FILTER(ROW(BU$10:BU$199),BU$10:BU$199&lt;&gt;BU$9:BU$198)))),CB171,)"),"")</f>
        <v/>
      </c>
      <c r="CF171" s="122"/>
      <c r="CG171" s="33"/>
      <c r="CH171" s="143" t="str">
        <f t="shared" si="21"/>
        <v/>
      </c>
      <c r="CI171" s="38" t="str">
        <f>IFERROR(__xludf.DUMMYFUNCTION("""COMPUTED_VALUE"""),"")</f>
        <v/>
      </c>
      <c r="CJ171" s="144">
        <v>46153.0</v>
      </c>
      <c r="CK171" s="167" t="str">
        <f t="shared" si="27"/>
        <v/>
      </c>
      <c r="CL171" s="168" t="str">
        <f t="shared" si="334"/>
        <v/>
      </c>
      <c r="CM171" s="169" t="str">
        <f t="shared" si="335"/>
        <v/>
      </c>
      <c r="CN171" s="172" t="str">
        <f t="shared" si="336"/>
        <v/>
      </c>
      <c r="CO171" s="171" t="str">
        <f t="array" ref="CO171">IFERROR(IF(CI171="ac"+ISNUMBER(SEARCH("'",CN171))+CM171="","", IF(ISNUMBER(SEARCH("lw",CN171)), CA171 + SUBSTITUTE(CN171,"lw+",""), MROUND(SWITCH(CI171,"sq",CM$7,"bn",CN$7,"dl",CO$7,"")*IF(CN171&gt;10, CN171/100, VLOOKUP(CN171, _rpe,SUBSTITUTE(CM171,"+","")+1,0)), IF( SWITCH(CI171,"sq",CM$7,"bn",CN$7,"dl", CO$7,"")&lt; IF(_uom="lbs", 175, 80), 1.25, IF(_uom="lbs",5,2.5))))), "")</f>
        <v/>
      </c>
      <c r="CP171" s="148"/>
      <c r="CQ171" s="33"/>
      <c r="CR171" s="171"/>
      <c r="CS171" s="124" t="str">
        <f>IFERROR(__xludf.DUMMYFUNCTION("IF(CO171=MAX(FILTER(CO$10:CO$199,LOOKUP(ROW(CI$10:CI$199),FILTER(ROW(CI$10:CI$199),CI$10:CI$199&lt;&gt;CI$9:CI$198))=LOOKUP(ROW(CI171),FILTER(ROW(CI$10:CI$199),CI$10:CI$199&lt;&gt;CI$9:CI$198)))),CP171,)"),"")</f>
        <v/>
      </c>
      <c r="CT171" s="122"/>
      <c r="CU171" s="33"/>
      <c r="CV171" s="143" t="str">
        <f t="shared" si="22"/>
        <v/>
      </c>
      <c r="CW171" s="38" t="str">
        <f>IFERROR(__xludf.DUMMYFUNCTION("""COMPUTED_VALUE"""),"")</f>
        <v/>
      </c>
      <c r="CX171" s="144">
        <v>46160.0</v>
      </c>
      <c r="CY171" s="167" t="str">
        <f t="shared" si="28"/>
        <v/>
      </c>
      <c r="CZ171" s="168" t="str">
        <f t="shared" si="337"/>
        <v/>
      </c>
      <c r="DA171" s="169" t="str">
        <f t="shared" si="338"/>
        <v/>
      </c>
      <c r="DB171" s="172" t="str">
        <f t="shared" si="339"/>
        <v/>
      </c>
      <c r="DC171" s="171" t="str">
        <f t="array" ref="DC171">IFERROR(IF(CW171="ac"+ISNUMBER(SEARCH("'",DB171))+DA171="","", IF(ISNUMBER(SEARCH("lw",DB171)), CO171 + SUBSTITUTE(DB171,"lw+",""), MROUND(SWITCH(CW171,"sq",DA$7,"bn",DB$7,"dl",DC$7,"")*IF(DB171&gt;10, DB171/100, VLOOKUP(DB171, _rpe,SUBSTITUTE(DA171,"+","")+1,0)), IF( SWITCH(CW171,"sq",DA$7,"bn",DB$7,"dl", DC$7,"")&lt; IF(_uom="lbs", 175, 80), 1.25, IF(_uom="lbs",5,2.5))))), "")</f>
        <v/>
      </c>
      <c r="DD171" s="148"/>
      <c r="DE171" s="33"/>
      <c r="DF171" s="171"/>
      <c r="DG171" s="124" t="str">
        <f>IFERROR(__xludf.DUMMYFUNCTION("IF(DC171=MAX(FILTER(DC$10:DC$199,LOOKUP(ROW(CW$10:CW$199),FILTER(ROW(CW$10:CW$199),CW$10:CW$199&lt;&gt;CW$9:CW$198))=LOOKUP(ROW(CW171),FILTER(ROW(CW$10:CW$199),CW$10:CW$199&lt;&gt;CW$9:CW$198)))),DD171,)"),"")</f>
        <v/>
      </c>
      <c r="DH171" s="122"/>
      <c r="DI171" s="33"/>
      <c r="DJ171" s="143" t="str">
        <f t="shared" si="23"/>
        <v/>
      </c>
      <c r="DK171" s="38" t="str">
        <f>IFERROR(__xludf.DUMMYFUNCTION("""COMPUTED_VALUE"""),"")</f>
        <v/>
      </c>
      <c r="DL171" s="144">
        <v>46167.0</v>
      </c>
      <c r="DM171" s="167" t="str">
        <f t="shared" ref="DM171:DN171" si="423">IF(ISBLANK(CY171),"",CY171)</f>
        <v/>
      </c>
      <c r="DN171" s="168" t="str">
        <f t="shared" si="423"/>
        <v/>
      </c>
      <c r="DO171" s="169" t="str">
        <f t="shared" si="341"/>
        <v/>
      </c>
      <c r="DP171" s="172" t="str">
        <f t="shared" si="342"/>
        <v/>
      </c>
      <c r="DQ171" s="171" t="str">
        <f t="array" ref="DQ171">IFERROR(IF(DK171="ac"+ISNUMBER(SEARCH("'",DP171))+DO171="","", IF(ISNUMBER(SEARCH("lw",DP171)), DC171 + SUBSTITUTE(DP171,"lw+",""), MROUND(SWITCH(DK171,"sq",DO$7,"bn",DP$7,"dl",DQ$7,"")*IF(DP171&gt;10, DP171/100, VLOOKUP(DP171, _rpe,SUBSTITUTE(DO171,"+","")+1,0)), IF( SWITCH(DK171,"sq",DO$7,"bn",DP$7,"dl", DQ$7,"")&lt; IF(_uom="lbs", 175, 80), 1.25, IF(_uom="lbs",5,2.5))))), "")</f>
        <v/>
      </c>
      <c r="DR171" s="148"/>
      <c r="DS171" s="33"/>
      <c r="DT171" s="171"/>
      <c r="DU171" s="124" t="str">
        <f>IFERROR(__xludf.DUMMYFUNCTION("IF(DQ171=MAX(FILTER(DQ$10:DQ$199,LOOKUP(ROW(DK$10:DK$199),FILTER(ROW(DK$10:DK$199),DK$10:DK$199&lt;&gt;DK$9:DK$198))=LOOKUP(ROW(DK171),FILTER(ROW(DK$10:DK$199),DK$10:DK$199&lt;&gt;DK$9:DK$198)))),DR171,)"),"")</f>
        <v/>
      </c>
      <c r="DV171" s="122"/>
      <c r="DW171" s="33"/>
      <c r="DX171" s="143"/>
      <c r="DY171" s="38"/>
      <c r="DZ171" s="144"/>
      <c r="EA171" s="150"/>
      <c r="EB171" s="174"/>
      <c r="EC171" s="175"/>
      <c r="ED171" s="176"/>
      <c r="EE171" s="155"/>
      <c r="EF171" s="148"/>
      <c r="EG171" s="33"/>
      <c r="EH171" s="155"/>
      <c r="EI171" s="148"/>
      <c r="EJ171" s="33"/>
      <c r="EK171" s="33"/>
      <c r="EL171" s="143"/>
      <c r="EM171" s="38"/>
      <c r="EN171" s="144"/>
      <c r="EO171" s="150"/>
      <c r="EP171" s="174"/>
      <c r="EQ171" s="175"/>
      <c r="ER171" s="176"/>
      <c r="ES171" s="155"/>
      <c r="ET171" s="148"/>
      <c r="EU171" s="33"/>
      <c r="EV171" s="155"/>
      <c r="EW171" s="148"/>
      <c r="EX171" s="33"/>
      <c r="EY171" s="33"/>
      <c r="EZ171" s="143"/>
      <c r="FA171" s="38"/>
      <c r="FB171" s="144"/>
      <c r="FC171" s="150"/>
      <c r="FD171" s="174"/>
      <c r="FE171" s="175"/>
      <c r="FF171" s="176"/>
      <c r="FG171" s="155"/>
      <c r="FH171" s="148"/>
      <c r="FI171" s="33"/>
      <c r="FJ171" s="155"/>
      <c r="FK171" s="148"/>
      <c r="FL171" s="33"/>
      <c r="FM171" s="33"/>
      <c r="FN171" s="143"/>
      <c r="FO171" s="38"/>
      <c r="FP171" s="144"/>
      <c r="FQ171" s="150"/>
      <c r="FR171" s="174"/>
      <c r="FS171" s="175"/>
      <c r="FT171" s="176"/>
      <c r="FU171" s="155"/>
      <c r="FV171" s="148"/>
      <c r="FW171" s="33"/>
      <c r="FX171" s="155"/>
      <c r="FY171" s="148"/>
      <c r="FZ171" s="33"/>
      <c r="GA171" s="33"/>
      <c r="GB171" s="143"/>
      <c r="GC171" s="38"/>
      <c r="GD171" s="144"/>
      <c r="GE171" s="150"/>
      <c r="GF171" s="174"/>
      <c r="GG171" s="175"/>
      <c r="GH171" s="176"/>
      <c r="GI171" s="155"/>
      <c r="GJ171" s="148"/>
      <c r="GK171" s="33"/>
      <c r="GL171" s="155"/>
      <c r="GM171" s="148"/>
      <c r="GN171" s="33"/>
      <c r="GO171" s="33"/>
      <c r="GP171" s="143"/>
      <c r="GQ171" s="38"/>
      <c r="GR171" s="144"/>
      <c r="GS171" s="150"/>
      <c r="GT171" s="174"/>
      <c r="GU171" s="175"/>
      <c r="GV171" s="176"/>
      <c r="GW171" s="155"/>
      <c r="GX171" s="148"/>
      <c r="GY171" s="33"/>
      <c r="GZ171" s="155"/>
      <c r="HA171" s="148"/>
      <c r="HB171" s="33"/>
      <c r="HC171" s="33"/>
      <c r="HD171" s="143"/>
      <c r="HE171" s="38"/>
      <c r="HF171" s="144"/>
      <c r="HG171" s="150"/>
      <c r="HH171" s="174"/>
      <c r="HI171" s="175"/>
      <c r="HJ171" s="176"/>
      <c r="HK171" s="155"/>
      <c r="HL171" s="148"/>
      <c r="HM171" s="33"/>
      <c r="HN171" s="155"/>
      <c r="HO171" s="148"/>
      <c r="HP171" s="33"/>
      <c r="HQ171" s="33"/>
      <c r="HR171" s="143"/>
      <c r="HS171" s="38"/>
      <c r="HT171" s="144"/>
      <c r="HU171" s="150"/>
      <c r="HV171" s="174"/>
      <c r="HW171" s="175"/>
      <c r="HX171" s="176"/>
      <c r="HY171" s="155"/>
      <c r="HZ171" s="148"/>
      <c r="IA171" s="33"/>
      <c r="IB171" s="155"/>
      <c r="IC171" s="148"/>
      <c r="ID171" s="33"/>
      <c r="IE171" s="33"/>
      <c r="IF171" s="143"/>
      <c r="IG171" s="38"/>
      <c r="IH171" s="144"/>
      <c r="II171" s="150"/>
      <c r="IJ171" s="174"/>
      <c r="IK171" s="175"/>
      <c r="IL171" s="176"/>
      <c r="IM171" s="155"/>
      <c r="IN171" s="148"/>
      <c r="IO171" s="33"/>
      <c r="IP171" s="155"/>
      <c r="IQ171" s="148"/>
      <c r="IR171" s="33"/>
      <c r="IS171" s="33"/>
      <c r="IT171" s="143"/>
      <c r="IU171" s="38"/>
      <c r="IV171" s="144"/>
      <c r="IW171" s="143"/>
      <c r="IX171" s="38"/>
      <c r="IY171" s="144" t="e">
        <v>#REF!</v>
      </c>
    </row>
    <row r="172">
      <c r="A172" s="33"/>
      <c r="B172" s="181"/>
      <c r="C172" s="38" t="str">
        <f>IFERROR(__xludf.DUMMYFUNCTION("""COMPUTED_VALUE"""),"")</f>
        <v/>
      </c>
      <c r="D172" s="144">
        <v>46111.0</v>
      </c>
      <c r="E172" s="182"/>
      <c r="F172" s="168"/>
      <c r="G172" s="169"/>
      <c r="H172" s="170"/>
      <c r="I172" s="171" t="str">
        <f t="array" ref="I172">IFERROR(IF(C172="ac"+ISNUMBER(SEARCH("'",H172))+G172="","", MROUND(SWITCH(C172,"sq",'Personal Info'!$O$15,"bn",'Personal Info'!$S$15,"dl",'Personal Info'!$W$15,"")*IF(H172&gt;10, H172/100, VLOOKUP(H172, _rpe,SUBSTITUTE(G172,"+","")+1,0)), IF( SWITCH(C172:C210,"sq",'Personal Info'!$O$15,"bn",'Personal Info'!$S$15,"dl", 'Personal Info'!$W$15,"")&lt; IF(_uom="lbs", 175, 80), 1.25, IF(_uom="lbs",5,2.5)))),"")</f>
        <v/>
      </c>
      <c r="J172" s="148"/>
      <c r="K172" s="33"/>
      <c r="L172" s="171"/>
      <c r="M172" s="124" t="str">
        <f>IFERROR(__xludf.DUMMYFUNCTION("IF(I172=MAX(FILTER(I$10:I$199,LOOKUP(ROW(C$10:C$199),FILTER(ROW(C$10:C$199),C$10:C$199&lt;&gt;C$9:C$198))=LOOKUP(ROW(C172),FILTER(ROW(C$10:C$199),C$10:C$199&lt;&gt;C$9:C$198)))),J172,)"),"")</f>
        <v/>
      </c>
      <c r="N172" s="122"/>
      <c r="O172" s="33"/>
      <c r="P172" s="143" t="str">
        <f t="shared" si="12"/>
        <v/>
      </c>
      <c r="Q172" s="38" t="str">
        <f>IFERROR(__xludf.DUMMYFUNCTION("""COMPUTED_VALUE"""),"")</f>
        <v/>
      </c>
      <c r="R172" s="144">
        <v>46118.0</v>
      </c>
      <c r="S172" s="167" t="str">
        <f t="shared" si="13"/>
        <v/>
      </c>
      <c r="T172" s="168" t="str">
        <f t="shared" si="319"/>
        <v/>
      </c>
      <c r="U172" s="169" t="str">
        <f t="shared" si="320"/>
        <v/>
      </c>
      <c r="V172" s="172" t="str">
        <f t="shared" si="321"/>
        <v/>
      </c>
      <c r="W172" s="171" t="str">
        <f t="array" ref="W172">IFERROR(IF(Q172="ac"+ISNUMBER(SEARCH("'",V172))+U172="","", IF(ISNUMBER(SEARCH("lw",V172)), I172 + SUBSTITUTE(V172,"lw+",""), MROUND(SWITCH(Q172,"sq",U$7,"bn",V$7,"dl",W$7,"")*IF(V172&gt;10, V172/100, VLOOKUP(V172, _rpe,SUBSTITUTE(U172,"+","")+1,0)), IF( SWITCH(Q172,"sq",U$7,"bn",V$7,"dl", W$7,"")&lt; IF(_uom="lbs", 175, 80), 1.25, IF(_uom="lbs",5,2.5))))), "")</f>
        <v/>
      </c>
      <c r="X172" s="148"/>
      <c r="Y172" s="33"/>
      <c r="Z172" s="171"/>
      <c r="AA172" s="124" t="str">
        <f>IFERROR(__xludf.DUMMYFUNCTION("IF(W172=MAX(FILTER(W$10:W$199,LOOKUP(ROW(Q$10:Q$199),FILTER(ROW(Q$10:Q$199),Q$10:Q$199&lt;&gt;Q$9:Q$198))=LOOKUP(ROW(Q172),FILTER(ROW(Q$10:Q$199),Q$10:Q$199&lt;&gt;Q$9:Q$198)))),X172,)"),"")</f>
        <v/>
      </c>
      <c r="AB172" s="122"/>
      <c r="AC172" s="33"/>
      <c r="AD172" s="143" t="str">
        <f t="shared" si="14"/>
        <v/>
      </c>
      <c r="AE172" s="38" t="str">
        <f>IFERROR(__xludf.DUMMYFUNCTION("""COMPUTED_VALUE"""),"")</f>
        <v/>
      </c>
      <c r="AF172" s="144">
        <v>46125.0</v>
      </c>
      <c r="AG172" s="167" t="str">
        <f t="shared" si="54"/>
        <v/>
      </c>
      <c r="AH172" s="168" t="str">
        <f t="shared" si="322"/>
        <v/>
      </c>
      <c r="AI172" s="169" t="str">
        <f t="shared" si="323"/>
        <v/>
      </c>
      <c r="AJ172" s="172" t="str">
        <f t="shared" si="324"/>
        <v/>
      </c>
      <c r="AK172" s="171" t="str">
        <f t="array" ref="AK172">IFERROR(IF(AE172="ac"+ISNUMBER(SEARCH("'",AJ172))+AI172="","", IF(ISNUMBER(SEARCH("lw",AJ172)), W172 + SUBSTITUTE(AJ172,"lw+",""), MROUND(SWITCH(AE172,"sq",AI$7,"bn",AJ$7,"dl",AK$7,"")*IF(AJ172&gt;10, AJ172/100, VLOOKUP(AJ172, _rpe,SUBSTITUTE(AI172,"+","")+1,0)), IF( SWITCH(AE172,"sq",AI$7,"bn",AJ$7,"dl", AK$7,"")&lt; IF(_uom="lbs", 175, 80), 1.25, IF(_uom="lbs",5,2.5))))), "")</f>
        <v/>
      </c>
      <c r="AL172" s="148"/>
      <c r="AM172" s="33"/>
      <c r="AN172" s="171"/>
      <c r="AO172" s="124" t="str">
        <f>IFERROR(__xludf.DUMMYFUNCTION("IF(AK172=MAX(FILTER(AK$10:AK$199,LOOKUP(ROW(AE$10:AE$199),FILTER(ROW(AE$10:AE$199),AE$10:AE$199&lt;&gt;AE$9:AE$198))=LOOKUP(ROW(AE172),FILTER(ROW(AE$10:AE$199),AE$10:AE$199&lt;&gt;AE$9:AE$198)))),AL172,)"),"")</f>
        <v/>
      </c>
      <c r="AP172" s="122"/>
      <c r="AQ172" s="33"/>
      <c r="AR172" s="143" t="str">
        <f t="shared" si="16"/>
        <v/>
      </c>
      <c r="AS172" s="38" t="str">
        <f>IFERROR(__xludf.DUMMYFUNCTION("""COMPUTED_VALUE"""),"")</f>
        <v/>
      </c>
      <c r="AT172" s="144">
        <v>46132.0</v>
      </c>
      <c r="AU172" s="167" t="str">
        <f t="shared" si="26"/>
        <v/>
      </c>
      <c r="AV172" s="168" t="str">
        <f t="shared" si="325"/>
        <v/>
      </c>
      <c r="AW172" s="169" t="str">
        <f t="shared" si="326"/>
        <v/>
      </c>
      <c r="AX172" s="172" t="str">
        <f t="shared" si="327"/>
        <v/>
      </c>
      <c r="AY172" s="171" t="str">
        <f t="array" ref="AY172">IFERROR(IF(AS172="ac"+ISNUMBER(SEARCH("'",AX172))+AW172="","", IF(ISNUMBER(SEARCH("lw",AX172)), AK172 + SUBSTITUTE(AX172,"lw+",""), MROUND(SWITCH(AS172,"sq",AW$7,"bn",AX$7,"dl",AY$7,"")*IF(AX172&gt;10, AX172/100, VLOOKUP(AX172, _rpe,SUBSTITUTE(AW172,"+","")+1,0)), IF( SWITCH(AS172,"sq",AW$7,"bn",AX$7,"dl", AY$7,"")&lt; IF(_uom="lbs", 175, 80), 1.25, IF(_uom="lbs",5,2.5))))), "")</f>
        <v/>
      </c>
      <c r="AZ172" s="148"/>
      <c r="BA172" s="33"/>
      <c r="BB172" s="171"/>
      <c r="BC172" s="124" t="str">
        <f>IFERROR(__xludf.DUMMYFUNCTION("IF(AY172=MAX(FILTER(AY$10:AY$199,LOOKUP(ROW(AS$10:AS$199),FILTER(ROW(AS$10:AS$199),AS$10:AS$199&lt;&gt;AS$9:AS$198))=LOOKUP(ROW(AS172),FILTER(ROW(AS$10:AS$199),AS$10:AS$199&lt;&gt;AS$9:AS$198)))),AZ172,)"),"")</f>
        <v/>
      </c>
      <c r="BD172" s="122"/>
      <c r="BE172" s="33"/>
      <c r="BF172" s="143" t="str">
        <f t="shared" si="17"/>
        <v/>
      </c>
      <c r="BG172" s="38" t="str">
        <f>IFERROR(__xludf.DUMMYFUNCTION("""COMPUTED_VALUE"""),"")</f>
        <v/>
      </c>
      <c r="BH172" s="144">
        <v>46139.0</v>
      </c>
      <c r="BI172" s="167" t="str">
        <f t="shared" si="18"/>
        <v/>
      </c>
      <c r="BJ172" s="168" t="str">
        <f t="shared" si="328"/>
        <v/>
      </c>
      <c r="BK172" s="169" t="str">
        <f t="shared" si="329"/>
        <v/>
      </c>
      <c r="BL172" s="172" t="str">
        <f t="shared" si="330"/>
        <v/>
      </c>
      <c r="BM172" s="171" t="str">
        <f t="array" ref="BM172">IFERROR(IF(BG172="ac"+ISNUMBER(SEARCH("'",BL172))+BK172="","", IF(ISNUMBER(SEARCH("lw",BL172)), AY172 + SUBSTITUTE(BL172,"lw+",""), MROUND(SWITCH(BG172,"sq",BK$7,"bn",BL$7,"dl",BM$7,"")*IF(BL172&gt;10, BL172/100, VLOOKUP(BL172, _rpe,SUBSTITUTE(BK172,"+","")+1,0)), IF( SWITCH(BG172,"sq",BK$7,"bn",BL$7,"dl", BM$7,"")&lt; IF(_uom="lbs", 175, 80), 1.25, IF(_uom="lbs",5,2.5))))), "")</f>
        <v/>
      </c>
      <c r="BN172" s="148"/>
      <c r="BO172" s="33"/>
      <c r="BP172" s="171"/>
      <c r="BQ172" s="124" t="str">
        <f>IFERROR(__xludf.DUMMYFUNCTION("IF(BM172=MAX(FILTER(BM$10:BM$199,LOOKUP(ROW(BG$10:BG$199),FILTER(ROW(BG$10:BG$199),BG$10:BG$199&lt;&gt;BG$9:BG$198))=LOOKUP(ROW(BG172),FILTER(ROW(BG$10:BG$199),BG$10:BG$199&lt;&gt;BG$9:BG$198)))),BN172,)"),"")</f>
        <v/>
      </c>
      <c r="BR172" s="122"/>
      <c r="BS172" s="33"/>
      <c r="BT172" s="143" t="str">
        <f t="shared" si="19"/>
        <v/>
      </c>
      <c r="BU172" s="38" t="str">
        <f>IFERROR(__xludf.DUMMYFUNCTION("""COMPUTED_VALUE"""),"")</f>
        <v/>
      </c>
      <c r="BV172" s="144">
        <v>46146.0</v>
      </c>
      <c r="BW172" s="167" t="str">
        <f t="shared" si="20"/>
        <v/>
      </c>
      <c r="BX172" s="168" t="str">
        <f t="shared" si="331"/>
        <v/>
      </c>
      <c r="BY172" s="169" t="str">
        <f t="shared" si="332"/>
        <v/>
      </c>
      <c r="BZ172" s="172" t="str">
        <f t="shared" si="333"/>
        <v/>
      </c>
      <c r="CA172" s="171" t="str">
        <f t="array" ref="CA172">IFERROR(IF(BU172="ac"+ISNUMBER(SEARCH("'",BZ172))+BY172="","", IF(ISNUMBER(SEARCH("lw",BZ172)), BM172 + SUBSTITUTE(BZ172,"lw+",""), MROUND(SWITCH(BU172,"sq",BY$7,"bn",BZ$7,"dl",CA$7,"")*IF(BZ172&gt;10, BZ172/100, VLOOKUP(BZ172, _rpe,SUBSTITUTE(BY172,"+","")+1,0)), IF( SWITCH(BU172,"sq",BY$7,"bn",BZ$7,"dl", CA$7,"")&lt; IF(_uom="lbs", 175, 80), 1.25, IF(_uom="lbs",5,2.5))))), "")</f>
        <v/>
      </c>
      <c r="CB172" s="148"/>
      <c r="CC172" s="33"/>
      <c r="CD172" s="171"/>
      <c r="CE172" s="124" t="str">
        <f>IFERROR(__xludf.DUMMYFUNCTION("IF(CA172=MAX(FILTER(CA$10:CA$199,LOOKUP(ROW(BU$10:BU$199),FILTER(ROW(BU$10:BU$199),BU$10:BU$199&lt;&gt;BU$9:BU$198))=LOOKUP(ROW(BU172),FILTER(ROW(BU$10:BU$199),BU$10:BU$199&lt;&gt;BU$9:BU$198)))),CB172,)"),"")</f>
        <v/>
      </c>
      <c r="CF172" s="122"/>
      <c r="CG172" s="33"/>
      <c r="CH172" s="143" t="str">
        <f t="shared" si="21"/>
        <v/>
      </c>
      <c r="CI172" s="38" t="str">
        <f>IFERROR(__xludf.DUMMYFUNCTION("""COMPUTED_VALUE"""),"")</f>
        <v/>
      </c>
      <c r="CJ172" s="144">
        <v>46153.0</v>
      </c>
      <c r="CK172" s="167" t="str">
        <f t="shared" si="27"/>
        <v/>
      </c>
      <c r="CL172" s="168" t="str">
        <f t="shared" si="334"/>
        <v/>
      </c>
      <c r="CM172" s="169" t="str">
        <f t="shared" si="335"/>
        <v/>
      </c>
      <c r="CN172" s="172" t="str">
        <f t="shared" si="336"/>
        <v/>
      </c>
      <c r="CO172" s="171" t="str">
        <f t="array" ref="CO172">IFERROR(IF(CI172="ac"+ISNUMBER(SEARCH("'",CN172))+CM172="","", IF(ISNUMBER(SEARCH("lw",CN172)), CA172 + SUBSTITUTE(CN172,"lw+",""), MROUND(SWITCH(CI172,"sq",CM$7,"bn",CN$7,"dl",CO$7,"")*IF(CN172&gt;10, CN172/100, VLOOKUP(CN172, _rpe,SUBSTITUTE(CM172,"+","")+1,0)), IF( SWITCH(CI172,"sq",CM$7,"bn",CN$7,"dl", CO$7,"")&lt; IF(_uom="lbs", 175, 80), 1.25, IF(_uom="lbs",5,2.5))))), "")</f>
        <v/>
      </c>
      <c r="CP172" s="148"/>
      <c r="CQ172" s="33"/>
      <c r="CR172" s="171"/>
      <c r="CS172" s="124" t="str">
        <f>IFERROR(__xludf.DUMMYFUNCTION("IF(CO172=MAX(FILTER(CO$10:CO$199,LOOKUP(ROW(CI$10:CI$199),FILTER(ROW(CI$10:CI$199),CI$10:CI$199&lt;&gt;CI$9:CI$198))=LOOKUP(ROW(CI172),FILTER(ROW(CI$10:CI$199),CI$10:CI$199&lt;&gt;CI$9:CI$198)))),CP172,)"),"")</f>
        <v/>
      </c>
      <c r="CT172" s="122"/>
      <c r="CU172" s="33"/>
      <c r="CV172" s="143" t="str">
        <f t="shared" si="22"/>
        <v/>
      </c>
      <c r="CW172" s="38" t="str">
        <f>IFERROR(__xludf.DUMMYFUNCTION("""COMPUTED_VALUE"""),"")</f>
        <v/>
      </c>
      <c r="CX172" s="144">
        <v>46160.0</v>
      </c>
      <c r="CY172" s="167" t="str">
        <f t="shared" si="28"/>
        <v/>
      </c>
      <c r="CZ172" s="168" t="str">
        <f t="shared" si="337"/>
        <v/>
      </c>
      <c r="DA172" s="169" t="str">
        <f t="shared" si="338"/>
        <v/>
      </c>
      <c r="DB172" s="172" t="str">
        <f t="shared" si="339"/>
        <v/>
      </c>
      <c r="DC172" s="171" t="str">
        <f t="array" ref="DC172">IFERROR(IF(CW172="ac"+ISNUMBER(SEARCH("'",DB172))+DA172="","", IF(ISNUMBER(SEARCH("lw",DB172)), CO172 + SUBSTITUTE(DB172,"lw+",""), MROUND(SWITCH(CW172,"sq",DA$7,"bn",DB$7,"dl",DC$7,"")*IF(DB172&gt;10, DB172/100, VLOOKUP(DB172, _rpe,SUBSTITUTE(DA172,"+","")+1,0)), IF( SWITCH(CW172,"sq",DA$7,"bn",DB$7,"dl", DC$7,"")&lt; IF(_uom="lbs", 175, 80), 1.25, IF(_uom="lbs",5,2.5))))), "")</f>
        <v/>
      </c>
      <c r="DD172" s="148"/>
      <c r="DE172" s="33"/>
      <c r="DF172" s="171"/>
      <c r="DG172" s="124" t="str">
        <f>IFERROR(__xludf.DUMMYFUNCTION("IF(DC172=MAX(FILTER(DC$10:DC$199,LOOKUP(ROW(CW$10:CW$199),FILTER(ROW(CW$10:CW$199),CW$10:CW$199&lt;&gt;CW$9:CW$198))=LOOKUP(ROW(CW172),FILTER(ROW(CW$10:CW$199),CW$10:CW$199&lt;&gt;CW$9:CW$198)))),DD172,)"),"")</f>
        <v/>
      </c>
      <c r="DH172" s="122"/>
      <c r="DI172" s="33"/>
      <c r="DJ172" s="143" t="str">
        <f t="shared" si="23"/>
        <v/>
      </c>
      <c r="DK172" s="38" t="str">
        <f>IFERROR(__xludf.DUMMYFUNCTION("""COMPUTED_VALUE"""),"")</f>
        <v/>
      </c>
      <c r="DL172" s="144">
        <v>46167.0</v>
      </c>
      <c r="DM172" s="167" t="str">
        <f t="shared" ref="DM172:DN172" si="424">IF(ISBLANK(CY172),"",CY172)</f>
        <v/>
      </c>
      <c r="DN172" s="168" t="str">
        <f t="shared" si="424"/>
        <v/>
      </c>
      <c r="DO172" s="169" t="str">
        <f t="shared" si="341"/>
        <v/>
      </c>
      <c r="DP172" s="172" t="str">
        <f t="shared" si="342"/>
        <v/>
      </c>
      <c r="DQ172" s="171" t="str">
        <f t="array" ref="DQ172">IFERROR(IF(DK172="ac"+ISNUMBER(SEARCH("'",DP172))+DO172="","", IF(ISNUMBER(SEARCH("lw",DP172)), DC172 + SUBSTITUTE(DP172,"lw+",""), MROUND(SWITCH(DK172,"sq",DO$7,"bn",DP$7,"dl",DQ$7,"")*IF(DP172&gt;10, DP172/100, VLOOKUP(DP172, _rpe,SUBSTITUTE(DO172,"+","")+1,0)), IF( SWITCH(DK172,"sq",DO$7,"bn",DP$7,"dl", DQ$7,"")&lt; IF(_uom="lbs", 175, 80), 1.25, IF(_uom="lbs",5,2.5))))), "")</f>
        <v/>
      </c>
      <c r="DR172" s="148"/>
      <c r="DS172" s="33"/>
      <c r="DT172" s="171"/>
      <c r="DU172" s="124" t="str">
        <f>IFERROR(__xludf.DUMMYFUNCTION("IF(DQ172=MAX(FILTER(DQ$10:DQ$199,LOOKUP(ROW(DK$10:DK$199),FILTER(ROW(DK$10:DK$199),DK$10:DK$199&lt;&gt;DK$9:DK$198))=LOOKUP(ROW(DK172),FILTER(ROW(DK$10:DK$199),DK$10:DK$199&lt;&gt;DK$9:DK$198)))),DR172,)"),"")</f>
        <v/>
      </c>
      <c r="DV172" s="122"/>
      <c r="DW172" s="33"/>
      <c r="DX172" s="143"/>
      <c r="DY172" s="38"/>
      <c r="DZ172" s="144"/>
      <c r="EA172" s="150"/>
      <c r="EB172" s="174"/>
      <c r="EC172" s="175"/>
      <c r="ED172" s="176"/>
      <c r="EE172" s="155"/>
      <c r="EF172" s="148"/>
      <c r="EG172" s="33"/>
      <c r="EH172" s="155"/>
      <c r="EI172" s="148"/>
      <c r="EJ172" s="33"/>
      <c r="EK172" s="33"/>
      <c r="EL172" s="143"/>
      <c r="EM172" s="38"/>
      <c r="EN172" s="144"/>
      <c r="EO172" s="150"/>
      <c r="EP172" s="174"/>
      <c r="EQ172" s="175"/>
      <c r="ER172" s="176"/>
      <c r="ES172" s="155"/>
      <c r="ET172" s="148"/>
      <c r="EU172" s="33"/>
      <c r="EV172" s="155"/>
      <c r="EW172" s="148"/>
      <c r="EX172" s="33"/>
      <c r="EY172" s="33"/>
      <c r="EZ172" s="143"/>
      <c r="FA172" s="38"/>
      <c r="FB172" s="144"/>
      <c r="FC172" s="150"/>
      <c r="FD172" s="174"/>
      <c r="FE172" s="175"/>
      <c r="FF172" s="176"/>
      <c r="FG172" s="155"/>
      <c r="FH172" s="148"/>
      <c r="FI172" s="33"/>
      <c r="FJ172" s="155"/>
      <c r="FK172" s="148"/>
      <c r="FL172" s="33"/>
      <c r="FM172" s="33"/>
      <c r="FN172" s="143"/>
      <c r="FO172" s="38"/>
      <c r="FP172" s="144"/>
      <c r="FQ172" s="150"/>
      <c r="FR172" s="174"/>
      <c r="FS172" s="175"/>
      <c r="FT172" s="176"/>
      <c r="FU172" s="155"/>
      <c r="FV172" s="148"/>
      <c r="FW172" s="33"/>
      <c r="FX172" s="155"/>
      <c r="FY172" s="148"/>
      <c r="FZ172" s="33"/>
      <c r="GA172" s="33"/>
      <c r="GB172" s="143"/>
      <c r="GC172" s="38"/>
      <c r="GD172" s="144"/>
      <c r="GE172" s="150"/>
      <c r="GF172" s="174"/>
      <c r="GG172" s="175"/>
      <c r="GH172" s="176"/>
      <c r="GI172" s="155"/>
      <c r="GJ172" s="148"/>
      <c r="GK172" s="33"/>
      <c r="GL172" s="155"/>
      <c r="GM172" s="148"/>
      <c r="GN172" s="33"/>
      <c r="GO172" s="33"/>
      <c r="GP172" s="143"/>
      <c r="GQ172" s="38"/>
      <c r="GR172" s="144"/>
      <c r="GS172" s="150"/>
      <c r="GT172" s="174"/>
      <c r="GU172" s="175"/>
      <c r="GV172" s="176"/>
      <c r="GW172" s="155"/>
      <c r="GX172" s="148"/>
      <c r="GY172" s="33"/>
      <c r="GZ172" s="155"/>
      <c r="HA172" s="148"/>
      <c r="HB172" s="33"/>
      <c r="HC172" s="33"/>
      <c r="HD172" s="143"/>
      <c r="HE172" s="38"/>
      <c r="HF172" s="144"/>
      <c r="HG172" s="150"/>
      <c r="HH172" s="174"/>
      <c r="HI172" s="175"/>
      <c r="HJ172" s="176"/>
      <c r="HK172" s="155"/>
      <c r="HL172" s="148"/>
      <c r="HM172" s="33"/>
      <c r="HN172" s="155"/>
      <c r="HO172" s="148"/>
      <c r="HP172" s="33"/>
      <c r="HQ172" s="33"/>
      <c r="HR172" s="143"/>
      <c r="HS172" s="38"/>
      <c r="HT172" s="144"/>
      <c r="HU172" s="150"/>
      <c r="HV172" s="174"/>
      <c r="HW172" s="175"/>
      <c r="HX172" s="176"/>
      <c r="HY172" s="155"/>
      <c r="HZ172" s="148"/>
      <c r="IA172" s="33"/>
      <c r="IB172" s="155"/>
      <c r="IC172" s="148"/>
      <c r="ID172" s="33"/>
      <c r="IE172" s="33"/>
      <c r="IF172" s="143"/>
      <c r="IG172" s="38"/>
      <c r="IH172" s="144"/>
      <c r="II172" s="150"/>
      <c r="IJ172" s="174"/>
      <c r="IK172" s="175"/>
      <c r="IL172" s="176"/>
      <c r="IM172" s="155"/>
      <c r="IN172" s="148"/>
      <c r="IO172" s="33"/>
      <c r="IP172" s="155"/>
      <c r="IQ172" s="148"/>
      <c r="IR172" s="33"/>
      <c r="IS172" s="33"/>
      <c r="IT172" s="143"/>
      <c r="IU172" s="38"/>
      <c r="IV172" s="144"/>
      <c r="IW172" s="143"/>
      <c r="IX172" s="38"/>
      <c r="IY172" s="144" t="e">
        <v>#REF!</v>
      </c>
    </row>
    <row r="173">
      <c r="A173" s="33"/>
      <c r="B173" s="181"/>
      <c r="C173" s="38" t="str">
        <f>IFERROR(__xludf.DUMMYFUNCTION("""COMPUTED_VALUE"""),"")</f>
        <v/>
      </c>
      <c r="D173" s="144">
        <v>46111.0</v>
      </c>
      <c r="E173" s="182"/>
      <c r="F173" s="168"/>
      <c r="G173" s="169"/>
      <c r="H173" s="170"/>
      <c r="I173" s="171" t="str">
        <f t="array" ref="I173">IFERROR(IF(C173="ac"+ISNUMBER(SEARCH("'",H173))+G173="","", MROUND(SWITCH(C173,"sq",'Personal Info'!$O$15,"bn",'Personal Info'!$S$15,"dl",'Personal Info'!$W$15,"")*IF(H173&gt;10, H173/100, VLOOKUP(H173, _rpe,SUBSTITUTE(G173,"+","")+1,0)), IF( SWITCH(C173:C210,"sq",'Personal Info'!$O$15,"bn",'Personal Info'!$S$15,"dl", 'Personal Info'!$W$15,"")&lt; IF(_uom="lbs", 175, 80), 1.25, IF(_uom="lbs",5,2.5)))),"")</f>
        <v/>
      </c>
      <c r="J173" s="148"/>
      <c r="K173" s="33"/>
      <c r="L173" s="171"/>
      <c r="M173" s="124" t="str">
        <f>IFERROR(__xludf.DUMMYFUNCTION("IF(I173=MAX(FILTER(I$10:I$199,LOOKUP(ROW(C$10:C$199),FILTER(ROW(C$10:C$199),C$10:C$199&lt;&gt;C$9:C$198))=LOOKUP(ROW(C173),FILTER(ROW(C$10:C$199),C$10:C$199&lt;&gt;C$9:C$198)))),J173,)"),"")</f>
        <v/>
      </c>
      <c r="N173" s="122"/>
      <c r="O173" s="33"/>
      <c r="P173" s="143" t="str">
        <f t="shared" si="12"/>
        <v/>
      </c>
      <c r="Q173" s="38" t="str">
        <f>IFERROR(__xludf.DUMMYFUNCTION("""COMPUTED_VALUE"""),"")</f>
        <v/>
      </c>
      <c r="R173" s="144">
        <v>46118.0</v>
      </c>
      <c r="S173" s="167" t="str">
        <f t="shared" si="13"/>
        <v/>
      </c>
      <c r="T173" s="168" t="str">
        <f t="shared" si="319"/>
        <v/>
      </c>
      <c r="U173" s="169" t="str">
        <f t="shared" si="320"/>
        <v/>
      </c>
      <c r="V173" s="172" t="str">
        <f t="shared" si="321"/>
        <v/>
      </c>
      <c r="W173" s="171" t="str">
        <f t="array" ref="W173">IFERROR(IF(Q173="ac"+ISNUMBER(SEARCH("'",V173))+U173="","", IF(ISNUMBER(SEARCH("lw",V173)), I173 + SUBSTITUTE(V173,"lw+",""), MROUND(SWITCH(Q173,"sq",U$7,"bn",V$7,"dl",W$7,"")*IF(V173&gt;10, V173/100, VLOOKUP(V173, _rpe,SUBSTITUTE(U173,"+","")+1,0)), IF( SWITCH(Q173,"sq",U$7,"bn",V$7,"dl", W$7,"")&lt; IF(_uom="lbs", 175, 80), 1.25, IF(_uom="lbs",5,2.5))))), "")</f>
        <v/>
      </c>
      <c r="X173" s="148"/>
      <c r="Y173" s="33"/>
      <c r="Z173" s="171"/>
      <c r="AA173" s="124" t="str">
        <f>IFERROR(__xludf.DUMMYFUNCTION("IF(W173=MAX(FILTER(W$10:W$199,LOOKUP(ROW(Q$10:Q$199),FILTER(ROW(Q$10:Q$199),Q$10:Q$199&lt;&gt;Q$9:Q$198))=LOOKUP(ROW(Q173),FILTER(ROW(Q$10:Q$199),Q$10:Q$199&lt;&gt;Q$9:Q$198)))),X173,)"),"")</f>
        <v/>
      </c>
      <c r="AB173" s="122"/>
      <c r="AC173" s="33"/>
      <c r="AD173" s="143" t="str">
        <f t="shared" si="14"/>
        <v/>
      </c>
      <c r="AE173" s="38" t="str">
        <f>IFERROR(__xludf.DUMMYFUNCTION("""COMPUTED_VALUE"""),"")</f>
        <v/>
      </c>
      <c r="AF173" s="144">
        <v>46125.0</v>
      </c>
      <c r="AG173" s="167" t="str">
        <f t="shared" si="54"/>
        <v/>
      </c>
      <c r="AH173" s="168" t="str">
        <f t="shared" si="322"/>
        <v/>
      </c>
      <c r="AI173" s="169" t="str">
        <f t="shared" si="323"/>
        <v/>
      </c>
      <c r="AJ173" s="172" t="str">
        <f t="shared" si="324"/>
        <v/>
      </c>
      <c r="AK173" s="171" t="str">
        <f t="array" ref="AK173">IFERROR(IF(AE173="ac"+ISNUMBER(SEARCH("'",AJ173))+AI173="","", IF(ISNUMBER(SEARCH("lw",AJ173)), W173 + SUBSTITUTE(AJ173,"lw+",""), MROUND(SWITCH(AE173,"sq",AI$7,"bn",AJ$7,"dl",AK$7,"")*IF(AJ173&gt;10, AJ173/100, VLOOKUP(AJ173, _rpe,SUBSTITUTE(AI173,"+","")+1,0)), IF( SWITCH(AE173,"sq",AI$7,"bn",AJ$7,"dl", AK$7,"")&lt; IF(_uom="lbs", 175, 80), 1.25, IF(_uom="lbs",5,2.5))))), "")</f>
        <v/>
      </c>
      <c r="AL173" s="148"/>
      <c r="AM173" s="33"/>
      <c r="AN173" s="171"/>
      <c r="AO173" s="124" t="str">
        <f>IFERROR(__xludf.DUMMYFUNCTION("IF(AK173=MAX(FILTER(AK$10:AK$199,LOOKUP(ROW(AE$10:AE$199),FILTER(ROW(AE$10:AE$199),AE$10:AE$199&lt;&gt;AE$9:AE$198))=LOOKUP(ROW(AE173),FILTER(ROW(AE$10:AE$199),AE$10:AE$199&lt;&gt;AE$9:AE$198)))),AL173,)"),"")</f>
        <v/>
      </c>
      <c r="AP173" s="122"/>
      <c r="AQ173" s="33"/>
      <c r="AR173" s="143" t="str">
        <f t="shared" si="16"/>
        <v/>
      </c>
      <c r="AS173" s="38" t="str">
        <f>IFERROR(__xludf.DUMMYFUNCTION("""COMPUTED_VALUE"""),"")</f>
        <v/>
      </c>
      <c r="AT173" s="144">
        <v>46132.0</v>
      </c>
      <c r="AU173" s="167" t="str">
        <f t="shared" si="26"/>
        <v/>
      </c>
      <c r="AV173" s="168" t="str">
        <f t="shared" si="325"/>
        <v/>
      </c>
      <c r="AW173" s="169" t="str">
        <f t="shared" si="326"/>
        <v/>
      </c>
      <c r="AX173" s="172" t="str">
        <f t="shared" si="327"/>
        <v/>
      </c>
      <c r="AY173" s="171" t="str">
        <f t="array" ref="AY173">IFERROR(IF(AS173="ac"+ISNUMBER(SEARCH("'",AX173))+AW173="","", IF(ISNUMBER(SEARCH("lw",AX173)), AK173 + SUBSTITUTE(AX173,"lw+",""), MROUND(SWITCH(AS173,"sq",AW$7,"bn",AX$7,"dl",AY$7,"")*IF(AX173&gt;10, AX173/100, VLOOKUP(AX173, _rpe,SUBSTITUTE(AW173,"+","")+1,0)), IF( SWITCH(AS173,"sq",AW$7,"bn",AX$7,"dl", AY$7,"")&lt; IF(_uom="lbs", 175, 80), 1.25, IF(_uom="lbs",5,2.5))))), "")</f>
        <v/>
      </c>
      <c r="AZ173" s="148"/>
      <c r="BA173" s="33"/>
      <c r="BB173" s="171"/>
      <c r="BC173" s="124" t="str">
        <f>IFERROR(__xludf.DUMMYFUNCTION("IF(AY173=MAX(FILTER(AY$10:AY$199,LOOKUP(ROW(AS$10:AS$199),FILTER(ROW(AS$10:AS$199),AS$10:AS$199&lt;&gt;AS$9:AS$198))=LOOKUP(ROW(AS173),FILTER(ROW(AS$10:AS$199),AS$10:AS$199&lt;&gt;AS$9:AS$198)))),AZ173,)"),"")</f>
        <v/>
      </c>
      <c r="BD173" s="122"/>
      <c r="BE173" s="33"/>
      <c r="BF173" s="143" t="str">
        <f t="shared" si="17"/>
        <v/>
      </c>
      <c r="BG173" s="38" t="str">
        <f>IFERROR(__xludf.DUMMYFUNCTION("""COMPUTED_VALUE"""),"")</f>
        <v/>
      </c>
      <c r="BH173" s="144">
        <v>46139.0</v>
      </c>
      <c r="BI173" s="167" t="str">
        <f t="shared" si="18"/>
        <v/>
      </c>
      <c r="BJ173" s="168" t="str">
        <f t="shared" si="328"/>
        <v/>
      </c>
      <c r="BK173" s="169" t="str">
        <f t="shared" si="329"/>
        <v/>
      </c>
      <c r="BL173" s="172" t="str">
        <f t="shared" si="330"/>
        <v/>
      </c>
      <c r="BM173" s="171" t="str">
        <f t="array" ref="BM173">IFERROR(IF(BG173="ac"+ISNUMBER(SEARCH("'",BL173))+BK173="","", IF(ISNUMBER(SEARCH("lw",BL173)), AY173 + SUBSTITUTE(BL173,"lw+",""), MROUND(SWITCH(BG173,"sq",BK$7,"bn",BL$7,"dl",BM$7,"")*IF(BL173&gt;10, BL173/100, VLOOKUP(BL173, _rpe,SUBSTITUTE(BK173,"+","")+1,0)), IF( SWITCH(BG173,"sq",BK$7,"bn",BL$7,"dl", BM$7,"")&lt; IF(_uom="lbs", 175, 80), 1.25, IF(_uom="lbs",5,2.5))))), "")</f>
        <v/>
      </c>
      <c r="BN173" s="148"/>
      <c r="BO173" s="33"/>
      <c r="BP173" s="171"/>
      <c r="BQ173" s="124" t="str">
        <f>IFERROR(__xludf.DUMMYFUNCTION("IF(BM173=MAX(FILTER(BM$10:BM$199,LOOKUP(ROW(BG$10:BG$199),FILTER(ROW(BG$10:BG$199),BG$10:BG$199&lt;&gt;BG$9:BG$198))=LOOKUP(ROW(BG173),FILTER(ROW(BG$10:BG$199),BG$10:BG$199&lt;&gt;BG$9:BG$198)))),BN173,)"),"")</f>
        <v/>
      </c>
      <c r="BR173" s="122"/>
      <c r="BS173" s="33"/>
      <c r="BT173" s="143" t="str">
        <f t="shared" si="19"/>
        <v/>
      </c>
      <c r="BU173" s="38" t="str">
        <f>IFERROR(__xludf.DUMMYFUNCTION("""COMPUTED_VALUE"""),"")</f>
        <v/>
      </c>
      <c r="BV173" s="144">
        <v>46146.0</v>
      </c>
      <c r="BW173" s="167" t="str">
        <f t="shared" si="20"/>
        <v/>
      </c>
      <c r="BX173" s="168" t="str">
        <f t="shared" si="331"/>
        <v/>
      </c>
      <c r="BY173" s="169" t="str">
        <f t="shared" si="332"/>
        <v/>
      </c>
      <c r="BZ173" s="172" t="str">
        <f t="shared" si="333"/>
        <v/>
      </c>
      <c r="CA173" s="171" t="str">
        <f t="array" ref="CA173">IFERROR(IF(BU173="ac"+ISNUMBER(SEARCH("'",BZ173))+BY173="","", IF(ISNUMBER(SEARCH("lw",BZ173)), BM173 + SUBSTITUTE(BZ173,"lw+",""), MROUND(SWITCH(BU173,"sq",BY$7,"bn",BZ$7,"dl",CA$7,"")*IF(BZ173&gt;10, BZ173/100, VLOOKUP(BZ173, _rpe,SUBSTITUTE(BY173,"+","")+1,0)), IF( SWITCH(BU173,"sq",BY$7,"bn",BZ$7,"dl", CA$7,"")&lt; IF(_uom="lbs", 175, 80), 1.25, IF(_uom="lbs",5,2.5))))), "")</f>
        <v/>
      </c>
      <c r="CB173" s="148"/>
      <c r="CC173" s="33"/>
      <c r="CD173" s="171"/>
      <c r="CE173" s="124" t="str">
        <f>IFERROR(__xludf.DUMMYFUNCTION("IF(CA173=MAX(FILTER(CA$10:CA$199,LOOKUP(ROW(BU$10:BU$199),FILTER(ROW(BU$10:BU$199),BU$10:BU$199&lt;&gt;BU$9:BU$198))=LOOKUP(ROW(BU173),FILTER(ROW(BU$10:BU$199),BU$10:BU$199&lt;&gt;BU$9:BU$198)))),CB173,)"),"")</f>
        <v/>
      </c>
      <c r="CF173" s="122"/>
      <c r="CG173" s="33"/>
      <c r="CH173" s="143" t="str">
        <f t="shared" si="21"/>
        <v/>
      </c>
      <c r="CI173" s="38" t="str">
        <f>IFERROR(__xludf.DUMMYFUNCTION("""COMPUTED_VALUE"""),"")</f>
        <v/>
      </c>
      <c r="CJ173" s="144">
        <v>46153.0</v>
      </c>
      <c r="CK173" s="167" t="str">
        <f t="shared" si="27"/>
        <v/>
      </c>
      <c r="CL173" s="168" t="str">
        <f t="shared" si="334"/>
        <v/>
      </c>
      <c r="CM173" s="169" t="str">
        <f t="shared" si="335"/>
        <v/>
      </c>
      <c r="CN173" s="172" t="str">
        <f t="shared" si="336"/>
        <v/>
      </c>
      <c r="CO173" s="171" t="str">
        <f t="array" ref="CO173">IFERROR(IF(CI173="ac"+ISNUMBER(SEARCH("'",CN173))+CM173="","", IF(ISNUMBER(SEARCH("lw",CN173)), CA173 + SUBSTITUTE(CN173,"lw+",""), MROUND(SWITCH(CI173,"sq",CM$7,"bn",CN$7,"dl",CO$7,"")*IF(CN173&gt;10, CN173/100, VLOOKUP(CN173, _rpe,SUBSTITUTE(CM173,"+","")+1,0)), IF( SWITCH(CI173,"sq",CM$7,"bn",CN$7,"dl", CO$7,"")&lt; IF(_uom="lbs", 175, 80), 1.25, IF(_uom="lbs",5,2.5))))), "")</f>
        <v/>
      </c>
      <c r="CP173" s="148"/>
      <c r="CQ173" s="33"/>
      <c r="CR173" s="171"/>
      <c r="CS173" s="124" t="str">
        <f>IFERROR(__xludf.DUMMYFUNCTION("IF(CO173=MAX(FILTER(CO$10:CO$199,LOOKUP(ROW(CI$10:CI$199),FILTER(ROW(CI$10:CI$199),CI$10:CI$199&lt;&gt;CI$9:CI$198))=LOOKUP(ROW(CI173),FILTER(ROW(CI$10:CI$199),CI$10:CI$199&lt;&gt;CI$9:CI$198)))),CP173,)"),"")</f>
        <v/>
      </c>
      <c r="CT173" s="122"/>
      <c r="CU173" s="33"/>
      <c r="CV173" s="143" t="str">
        <f t="shared" si="22"/>
        <v/>
      </c>
      <c r="CW173" s="38" t="str">
        <f>IFERROR(__xludf.DUMMYFUNCTION("""COMPUTED_VALUE"""),"")</f>
        <v/>
      </c>
      <c r="CX173" s="144">
        <v>46160.0</v>
      </c>
      <c r="CY173" s="167" t="str">
        <f t="shared" si="28"/>
        <v/>
      </c>
      <c r="CZ173" s="168" t="str">
        <f t="shared" si="337"/>
        <v/>
      </c>
      <c r="DA173" s="169" t="str">
        <f t="shared" si="338"/>
        <v/>
      </c>
      <c r="DB173" s="172" t="str">
        <f t="shared" si="339"/>
        <v/>
      </c>
      <c r="DC173" s="171" t="str">
        <f t="array" ref="DC173">IFERROR(IF(CW173="ac"+ISNUMBER(SEARCH("'",DB173))+DA173="","", IF(ISNUMBER(SEARCH("lw",DB173)), CO173 + SUBSTITUTE(DB173,"lw+",""), MROUND(SWITCH(CW173,"sq",DA$7,"bn",DB$7,"dl",DC$7,"")*IF(DB173&gt;10, DB173/100, VLOOKUP(DB173, _rpe,SUBSTITUTE(DA173,"+","")+1,0)), IF( SWITCH(CW173,"sq",DA$7,"bn",DB$7,"dl", DC$7,"")&lt; IF(_uom="lbs", 175, 80), 1.25, IF(_uom="lbs",5,2.5))))), "")</f>
        <v/>
      </c>
      <c r="DD173" s="148"/>
      <c r="DE173" s="33"/>
      <c r="DF173" s="171"/>
      <c r="DG173" s="124" t="str">
        <f>IFERROR(__xludf.DUMMYFUNCTION("IF(DC173=MAX(FILTER(DC$10:DC$199,LOOKUP(ROW(CW$10:CW$199),FILTER(ROW(CW$10:CW$199),CW$10:CW$199&lt;&gt;CW$9:CW$198))=LOOKUP(ROW(CW173),FILTER(ROW(CW$10:CW$199),CW$10:CW$199&lt;&gt;CW$9:CW$198)))),DD173,)"),"")</f>
        <v/>
      </c>
      <c r="DH173" s="122"/>
      <c r="DI173" s="33"/>
      <c r="DJ173" s="143" t="str">
        <f t="shared" si="23"/>
        <v/>
      </c>
      <c r="DK173" s="38" t="str">
        <f>IFERROR(__xludf.DUMMYFUNCTION("""COMPUTED_VALUE"""),"")</f>
        <v/>
      </c>
      <c r="DL173" s="144">
        <v>46167.0</v>
      </c>
      <c r="DM173" s="167" t="str">
        <f t="shared" ref="DM173:DN173" si="425">IF(ISBLANK(CY173),"",CY173)</f>
        <v/>
      </c>
      <c r="DN173" s="168" t="str">
        <f t="shared" si="425"/>
        <v/>
      </c>
      <c r="DO173" s="169" t="str">
        <f t="shared" si="341"/>
        <v/>
      </c>
      <c r="DP173" s="172" t="str">
        <f t="shared" si="342"/>
        <v/>
      </c>
      <c r="DQ173" s="171" t="str">
        <f t="array" ref="DQ173">IFERROR(IF(DK173="ac"+ISNUMBER(SEARCH("'",DP173))+DO173="","", IF(ISNUMBER(SEARCH("lw",DP173)), DC173 + SUBSTITUTE(DP173,"lw+",""), MROUND(SWITCH(DK173,"sq",DO$7,"bn",DP$7,"dl",DQ$7,"")*IF(DP173&gt;10, DP173/100, VLOOKUP(DP173, _rpe,SUBSTITUTE(DO173,"+","")+1,0)), IF( SWITCH(DK173,"sq",DO$7,"bn",DP$7,"dl", DQ$7,"")&lt; IF(_uom="lbs", 175, 80), 1.25, IF(_uom="lbs",5,2.5))))), "")</f>
        <v/>
      </c>
      <c r="DR173" s="148"/>
      <c r="DS173" s="33"/>
      <c r="DT173" s="171"/>
      <c r="DU173" s="124" t="str">
        <f>IFERROR(__xludf.DUMMYFUNCTION("IF(DQ173=MAX(FILTER(DQ$10:DQ$199,LOOKUP(ROW(DK$10:DK$199),FILTER(ROW(DK$10:DK$199),DK$10:DK$199&lt;&gt;DK$9:DK$198))=LOOKUP(ROW(DK173),FILTER(ROW(DK$10:DK$199),DK$10:DK$199&lt;&gt;DK$9:DK$198)))),DR173,)"),"")</f>
        <v/>
      </c>
      <c r="DV173" s="122"/>
      <c r="DW173" s="33"/>
      <c r="DX173" s="143"/>
      <c r="DY173" s="38"/>
      <c r="DZ173" s="144"/>
      <c r="EA173" s="150"/>
      <c r="EB173" s="174"/>
      <c r="EC173" s="175"/>
      <c r="ED173" s="176"/>
      <c r="EE173" s="155"/>
      <c r="EF173" s="148"/>
      <c r="EG173" s="33"/>
      <c r="EH173" s="155"/>
      <c r="EI173" s="148"/>
      <c r="EJ173" s="33"/>
      <c r="EK173" s="33"/>
      <c r="EL173" s="143"/>
      <c r="EM173" s="38"/>
      <c r="EN173" s="144"/>
      <c r="EO173" s="150"/>
      <c r="EP173" s="174"/>
      <c r="EQ173" s="175"/>
      <c r="ER173" s="176"/>
      <c r="ES173" s="155"/>
      <c r="ET173" s="148"/>
      <c r="EU173" s="33"/>
      <c r="EV173" s="155"/>
      <c r="EW173" s="148"/>
      <c r="EX173" s="33"/>
      <c r="EY173" s="33"/>
      <c r="EZ173" s="143"/>
      <c r="FA173" s="38"/>
      <c r="FB173" s="144"/>
      <c r="FC173" s="150"/>
      <c r="FD173" s="174"/>
      <c r="FE173" s="175"/>
      <c r="FF173" s="176"/>
      <c r="FG173" s="155"/>
      <c r="FH173" s="148"/>
      <c r="FI173" s="33"/>
      <c r="FJ173" s="155"/>
      <c r="FK173" s="148"/>
      <c r="FL173" s="33"/>
      <c r="FM173" s="33"/>
      <c r="FN173" s="143"/>
      <c r="FO173" s="38"/>
      <c r="FP173" s="144"/>
      <c r="FQ173" s="150"/>
      <c r="FR173" s="174"/>
      <c r="FS173" s="175"/>
      <c r="FT173" s="176"/>
      <c r="FU173" s="155"/>
      <c r="FV173" s="148"/>
      <c r="FW173" s="33"/>
      <c r="FX173" s="155"/>
      <c r="FY173" s="148"/>
      <c r="FZ173" s="33"/>
      <c r="GA173" s="33"/>
      <c r="GB173" s="143"/>
      <c r="GC173" s="38"/>
      <c r="GD173" s="144"/>
      <c r="GE173" s="150"/>
      <c r="GF173" s="174"/>
      <c r="GG173" s="175"/>
      <c r="GH173" s="176"/>
      <c r="GI173" s="155"/>
      <c r="GJ173" s="148"/>
      <c r="GK173" s="33"/>
      <c r="GL173" s="155"/>
      <c r="GM173" s="148"/>
      <c r="GN173" s="33"/>
      <c r="GO173" s="33"/>
      <c r="GP173" s="143"/>
      <c r="GQ173" s="38"/>
      <c r="GR173" s="144"/>
      <c r="GS173" s="150"/>
      <c r="GT173" s="174"/>
      <c r="GU173" s="175"/>
      <c r="GV173" s="176"/>
      <c r="GW173" s="155"/>
      <c r="GX173" s="148"/>
      <c r="GY173" s="33"/>
      <c r="GZ173" s="155"/>
      <c r="HA173" s="148"/>
      <c r="HB173" s="33"/>
      <c r="HC173" s="33"/>
      <c r="HD173" s="143"/>
      <c r="HE173" s="38"/>
      <c r="HF173" s="144"/>
      <c r="HG173" s="150"/>
      <c r="HH173" s="174"/>
      <c r="HI173" s="175"/>
      <c r="HJ173" s="176"/>
      <c r="HK173" s="155"/>
      <c r="HL173" s="148"/>
      <c r="HM173" s="33"/>
      <c r="HN173" s="155"/>
      <c r="HO173" s="148"/>
      <c r="HP173" s="33"/>
      <c r="HQ173" s="33"/>
      <c r="HR173" s="143"/>
      <c r="HS173" s="38"/>
      <c r="HT173" s="144"/>
      <c r="HU173" s="150"/>
      <c r="HV173" s="174"/>
      <c r="HW173" s="175"/>
      <c r="HX173" s="176"/>
      <c r="HY173" s="155"/>
      <c r="HZ173" s="148"/>
      <c r="IA173" s="33"/>
      <c r="IB173" s="155"/>
      <c r="IC173" s="148"/>
      <c r="ID173" s="33"/>
      <c r="IE173" s="33"/>
      <c r="IF173" s="143"/>
      <c r="IG173" s="38"/>
      <c r="IH173" s="144"/>
      <c r="II173" s="150"/>
      <c r="IJ173" s="174"/>
      <c r="IK173" s="175"/>
      <c r="IL173" s="176"/>
      <c r="IM173" s="155"/>
      <c r="IN173" s="148"/>
      <c r="IO173" s="33"/>
      <c r="IP173" s="155"/>
      <c r="IQ173" s="148"/>
      <c r="IR173" s="33"/>
      <c r="IS173" s="33"/>
      <c r="IT173" s="143"/>
      <c r="IU173" s="38"/>
      <c r="IV173" s="144"/>
      <c r="IW173" s="143"/>
      <c r="IX173" s="38"/>
      <c r="IY173" s="144" t="e">
        <v>#REF!</v>
      </c>
    </row>
    <row r="174">
      <c r="A174" s="33"/>
      <c r="B174" s="181"/>
      <c r="C174" s="38" t="str">
        <f>IFERROR(__xludf.DUMMYFUNCTION("""COMPUTED_VALUE"""),"")</f>
        <v/>
      </c>
      <c r="D174" s="144">
        <v>46111.0</v>
      </c>
      <c r="E174" s="182"/>
      <c r="F174" s="168"/>
      <c r="G174" s="169"/>
      <c r="H174" s="170"/>
      <c r="I174" s="171" t="str">
        <f t="array" ref="I174">IFERROR(IF(C174="ac"+ISNUMBER(SEARCH("'",H174))+G174="","", MROUND(SWITCH(C174,"sq",'Personal Info'!$O$15,"bn",'Personal Info'!$S$15,"dl",'Personal Info'!$W$15,"")*IF(H174&gt;10, H174/100, VLOOKUP(H174, _rpe,SUBSTITUTE(G174,"+","")+1,0)), IF( SWITCH(C174:C210,"sq",'Personal Info'!$O$15,"bn",'Personal Info'!$S$15,"dl", 'Personal Info'!$W$15,"")&lt; IF(_uom="lbs", 175, 80), 1.25, IF(_uom="lbs",5,2.5)))),"")</f>
        <v/>
      </c>
      <c r="J174" s="148"/>
      <c r="K174" s="33"/>
      <c r="L174" s="171"/>
      <c r="M174" s="124" t="str">
        <f>IFERROR(__xludf.DUMMYFUNCTION("IF(I174=MAX(FILTER(I$10:I$199,LOOKUP(ROW(C$10:C$199),FILTER(ROW(C$10:C$199),C$10:C$199&lt;&gt;C$9:C$198))=LOOKUP(ROW(C174),FILTER(ROW(C$10:C$199),C$10:C$199&lt;&gt;C$9:C$198)))),J174,)"),"")</f>
        <v/>
      </c>
      <c r="N174" s="122"/>
      <c r="O174" s="33"/>
      <c r="P174" s="143" t="str">
        <f t="shared" si="12"/>
        <v/>
      </c>
      <c r="Q174" s="38" t="str">
        <f>IFERROR(__xludf.DUMMYFUNCTION("""COMPUTED_VALUE"""),"")</f>
        <v/>
      </c>
      <c r="R174" s="144">
        <v>46118.0</v>
      </c>
      <c r="S174" s="167" t="str">
        <f t="shared" si="13"/>
        <v/>
      </c>
      <c r="T174" s="168" t="str">
        <f t="shared" si="319"/>
        <v/>
      </c>
      <c r="U174" s="169" t="str">
        <f t="shared" si="320"/>
        <v/>
      </c>
      <c r="V174" s="172" t="str">
        <f t="shared" si="321"/>
        <v/>
      </c>
      <c r="W174" s="171" t="str">
        <f t="array" ref="W174">IFERROR(IF(Q174="ac"+ISNUMBER(SEARCH("'",V174))+U174="","", IF(ISNUMBER(SEARCH("lw",V174)), I174 + SUBSTITUTE(V174,"lw+",""), MROUND(SWITCH(Q174,"sq",U$7,"bn",V$7,"dl",W$7,"")*IF(V174&gt;10, V174/100, VLOOKUP(V174, _rpe,SUBSTITUTE(U174,"+","")+1,0)), IF( SWITCH(Q174,"sq",U$7,"bn",V$7,"dl", W$7,"")&lt; IF(_uom="lbs", 175, 80), 1.25, IF(_uom="lbs",5,2.5))))), "")</f>
        <v/>
      </c>
      <c r="X174" s="148"/>
      <c r="Y174" s="33"/>
      <c r="Z174" s="171"/>
      <c r="AA174" s="124" t="str">
        <f>IFERROR(__xludf.DUMMYFUNCTION("IF(W174=MAX(FILTER(W$10:W$199,LOOKUP(ROW(Q$10:Q$199),FILTER(ROW(Q$10:Q$199),Q$10:Q$199&lt;&gt;Q$9:Q$198))=LOOKUP(ROW(Q174),FILTER(ROW(Q$10:Q$199),Q$10:Q$199&lt;&gt;Q$9:Q$198)))),X174,)"),"")</f>
        <v/>
      </c>
      <c r="AB174" s="122"/>
      <c r="AC174" s="33"/>
      <c r="AD174" s="143" t="str">
        <f t="shared" si="14"/>
        <v/>
      </c>
      <c r="AE174" s="38" t="str">
        <f>IFERROR(__xludf.DUMMYFUNCTION("""COMPUTED_VALUE"""),"")</f>
        <v/>
      </c>
      <c r="AF174" s="144">
        <v>46125.0</v>
      </c>
      <c r="AG174" s="167" t="str">
        <f t="shared" si="54"/>
        <v/>
      </c>
      <c r="AH174" s="168" t="str">
        <f t="shared" si="322"/>
        <v/>
      </c>
      <c r="AI174" s="169" t="str">
        <f t="shared" si="323"/>
        <v/>
      </c>
      <c r="AJ174" s="172" t="str">
        <f t="shared" si="324"/>
        <v/>
      </c>
      <c r="AK174" s="171" t="str">
        <f t="array" ref="AK174">IFERROR(IF(AE174="ac"+ISNUMBER(SEARCH("'",AJ174))+AI174="","", IF(ISNUMBER(SEARCH("lw",AJ174)), W174 + SUBSTITUTE(AJ174,"lw+",""), MROUND(SWITCH(AE174,"sq",AI$7,"bn",AJ$7,"dl",AK$7,"")*IF(AJ174&gt;10, AJ174/100, VLOOKUP(AJ174, _rpe,SUBSTITUTE(AI174,"+","")+1,0)), IF( SWITCH(AE174,"sq",AI$7,"bn",AJ$7,"dl", AK$7,"")&lt; IF(_uom="lbs", 175, 80), 1.25, IF(_uom="lbs",5,2.5))))), "")</f>
        <v/>
      </c>
      <c r="AL174" s="148"/>
      <c r="AM174" s="33"/>
      <c r="AN174" s="171"/>
      <c r="AO174" s="124" t="str">
        <f>IFERROR(__xludf.DUMMYFUNCTION("IF(AK174=MAX(FILTER(AK$10:AK$199,LOOKUP(ROW(AE$10:AE$199),FILTER(ROW(AE$10:AE$199),AE$10:AE$199&lt;&gt;AE$9:AE$198))=LOOKUP(ROW(AE174),FILTER(ROW(AE$10:AE$199),AE$10:AE$199&lt;&gt;AE$9:AE$198)))),AL174,)"),"")</f>
        <v/>
      </c>
      <c r="AP174" s="122"/>
      <c r="AQ174" s="33"/>
      <c r="AR174" s="143" t="str">
        <f t="shared" si="16"/>
        <v/>
      </c>
      <c r="AS174" s="38" t="str">
        <f>IFERROR(__xludf.DUMMYFUNCTION("""COMPUTED_VALUE"""),"")</f>
        <v/>
      </c>
      <c r="AT174" s="144">
        <v>46132.0</v>
      </c>
      <c r="AU174" s="167" t="str">
        <f t="shared" si="26"/>
        <v/>
      </c>
      <c r="AV174" s="168" t="str">
        <f t="shared" si="325"/>
        <v/>
      </c>
      <c r="AW174" s="169" t="str">
        <f t="shared" si="326"/>
        <v/>
      </c>
      <c r="AX174" s="172" t="str">
        <f t="shared" si="327"/>
        <v/>
      </c>
      <c r="AY174" s="171" t="str">
        <f t="array" ref="AY174">IFERROR(IF(AS174="ac"+ISNUMBER(SEARCH("'",AX174))+AW174="","", IF(ISNUMBER(SEARCH("lw",AX174)), AK174 + SUBSTITUTE(AX174,"lw+",""), MROUND(SWITCH(AS174,"sq",AW$7,"bn",AX$7,"dl",AY$7,"")*IF(AX174&gt;10, AX174/100, VLOOKUP(AX174, _rpe,SUBSTITUTE(AW174,"+","")+1,0)), IF( SWITCH(AS174,"sq",AW$7,"bn",AX$7,"dl", AY$7,"")&lt; IF(_uom="lbs", 175, 80), 1.25, IF(_uom="lbs",5,2.5))))), "")</f>
        <v/>
      </c>
      <c r="AZ174" s="148"/>
      <c r="BA174" s="33"/>
      <c r="BB174" s="171"/>
      <c r="BC174" s="124" t="str">
        <f>IFERROR(__xludf.DUMMYFUNCTION("IF(AY174=MAX(FILTER(AY$10:AY$199,LOOKUP(ROW(AS$10:AS$199),FILTER(ROW(AS$10:AS$199),AS$10:AS$199&lt;&gt;AS$9:AS$198))=LOOKUP(ROW(AS174),FILTER(ROW(AS$10:AS$199),AS$10:AS$199&lt;&gt;AS$9:AS$198)))),AZ174,)"),"")</f>
        <v/>
      </c>
      <c r="BD174" s="122"/>
      <c r="BE174" s="33"/>
      <c r="BF174" s="143" t="str">
        <f t="shared" si="17"/>
        <v/>
      </c>
      <c r="BG174" s="38" t="str">
        <f>IFERROR(__xludf.DUMMYFUNCTION("""COMPUTED_VALUE"""),"")</f>
        <v/>
      </c>
      <c r="BH174" s="144">
        <v>46139.0</v>
      </c>
      <c r="BI174" s="167" t="str">
        <f t="shared" si="18"/>
        <v/>
      </c>
      <c r="BJ174" s="168" t="str">
        <f t="shared" si="328"/>
        <v/>
      </c>
      <c r="BK174" s="169" t="str">
        <f t="shared" si="329"/>
        <v/>
      </c>
      <c r="BL174" s="172" t="str">
        <f t="shared" si="330"/>
        <v/>
      </c>
      <c r="BM174" s="171" t="str">
        <f t="array" ref="BM174">IFERROR(IF(BG174="ac"+ISNUMBER(SEARCH("'",BL174))+BK174="","", IF(ISNUMBER(SEARCH("lw",BL174)), AY174 + SUBSTITUTE(BL174,"lw+",""), MROUND(SWITCH(BG174,"sq",BK$7,"bn",BL$7,"dl",BM$7,"")*IF(BL174&gt;10, BL174/100, VLOOKUP(BL174, _rpe,SUBSTITUTE(BK174,"+","")+1,0)), IF( SWITCH(BG174,"sq",BK$7,"bn",BL$7,"dl", BM$7,"")&lt; IF(_uom="lbs", 175, 80), 1.25, IF(_uom="lbs",5,2.5))))), "")</f>
        <v/>
      </c>
      <c r="BN174" s="148"/>
      <c r="BO174" s="33"/>
      <c r="BP174" s="171"/>
      <c r="BQ174" s="124" t="str">
        <f>IFERROR(__xludf.DUMMYFUNCTION("IF(BM174=MAX(FILTER(BM$10:BM$199,LOOKUP(ROW(BG$10:BG$199),FILTER(ROW(BG$10:BG$199),BG$10:BG$199&lt;&gt;BG$9:BG$198))=LOOKUP(ROW(BG174),FILTER(ROW(BG$10:BG$199),BG$10:BG$199&lt;&gt;BG$9:BG$198)))),BN174,)"),"")</f>
        <v/>
      </c>
      <c r="BR174" s="122"/>
      <c r="BS174" s="33"/>
      <c r="BT174" s="143" t="str">
        <f t="shared" si="19"/>
        <v/>
      </c>
      <c r="BU174" s="38" t="str">
        <f>IFERROR(__xludf.DUMMYFUNCTION("""COMPUTED_VALUE"""),"")</f>
        <v/>
      </c>
      <c r="BV174" s="144">
        <v>46146.0</v>
      </c>
      <c r="BW174" s="167" t="str">
        <f t="shared" si="20"/>
        <v/>
      </c>
      <c r="BX174" s="168" t="str">
        <f t="shared" si="331"/>
        <v/>
      </c>
      <c r="BY174" s="169" t="str">
        <f t="shared" si="332"/>
        <v/>
      </c>
      <c r="BZ174" s="172" t="str">
        <f t="shared" si="333"/>
        <v/>
      </c>
      <c r="CA174" s="171" t="str">
        <f t="array" ref="CA174">IFERROR(IF(BU174="ac"+ISNUMBER(SEARCH("'",BZ174))+BY174="","", IF(ISNUMBER(SEARCH("lw",BZ174)), BM174 + SUBSTITUTE(BZ174,"lw+",""), MROUND(SWITCH(BU174,"sq",BY$7,"bn",BZ$7,"dl",CA$7,"")*IF(BZ174&gt;10, BZ174/100, VLOOKUP(BZ174, _rpe,SUBSTITUTE(BY174,"+","")+1,0)), IF( SWITCH(BU174,"sq",BY$7,"bn",BZ$7,"dl", CA$7,"")&lt; IF(_uom="lbs", 175, 80), 1.25, IF(_uom="lbs",5,2.5))))), "")</f>
        <v/>
      </c>
      <c r="CB174" s="148"/>
      <c r="CC174" s="33"/>
      <c r="CD174" s="171"/>
      <c r="CE174" s="124" t="str">
        <f>IFERROR(__xludf.DUMMYFUNCTION("IF(CA174=MAX(FILTER(CA$10:CA$199,LOOKUP(ROW(BU$10:BU$199),FILTER(ROW(BU$10:BU$199),BU$10:BU$199&lt;&gt;BU$9:BU$198))=LOOKUP(ROW(BU174),FILTER(ROW(BU$10:BU$199),BU$10:BU$199&lt;&gt;BU$9:BU$198)))),CB174,)"),"")</f>
        <v/>
      </c>
      <c r="CF174" s="122"/>
      <c r="CG174" s="33"/>
      <c r="CH174" s="143" t="str">
        <f t="shared" si="21"/>
        <v/>
      </c>
      <c r="CI174" s="38" t="str">
        <f>IFERROR(__xludf.DUMMYFUNCTION("""COMPUTED_VALUE"""),"")</f>
        <v/>
      </c>
      <c r="CJ174" s="144">
        <v>46153.0</v>
      </c>
      <c r="CK174" s="167" t="str">
        <f t="shared" si="27"/>
        <v/>
      </c>
      <c r="CL174" s="168" t="str">
        <f t="shared" si="334"/>
        <v/>
      </c>
      <c r="CM174" s="169" t="str">
        <f t="shared" si="335"/>
        <v/>
      </c>
      <c r="CN174" s="172" t="str">
        <f t="shared" si="336"/>
        <v/>
      </c>
      <c r="CO174" s="171" t="str">
        <f t="array" ref="CO174">IFERROR(IF(CI174="ac"+ISNUMBER(SEARCH("'",CN174))+CM174="","", IF(ISNUMBER(SEARCH("lw",CN174)), CA174 + SUBSTITUTE(CN174,"lw+",""), MROUND(SWITCH(CI174,"sq",CM$7,"bn",CN$7,"dl",CO$7,"")*IF(CN174&gt;10, CN174/100, VLOOKUP(CN174, _rpe,SUBSTITUTE(CM174,"+","")+1,0)), IF( SWITCH(CI174,"sq",CM$7,"bn",CN$7,"dl", CO$7,"")&lt; IF(_uom="lbs", 175, 80), 1.25, IF(_uom="lbs",5,2.5))))), "")</f>
        <v/>
      </c>
      <c r="CP174" s="148"/>
      <c r="CQ174" s="33"/>
      <c r="CR174" s="171"/>
      <c r="CS174" s="124" t="str">
        <f>IFERROR(__xludf.DUMMYFUNCTION("IF(CO174=MAX(FILTER(CO$10:CO$199,LOOKUP(ROW(CI$10:CI$199),FILTER(ROW(CI$10:CI$199),CI$10:CI$199&lt;&gt;CI$9:CI$198))=LOOKUP(ROW(CI174),FILTER(ROW(CI$10:CI$199),CI$10:CI$199&lt;&gt;CI$9:CI$198)))),CP174,)"),"")</f>
        <v/>
      </c>
      <c r="CT174" s="122"/>
      <c r="CU174" s="33"/>
      <c r="CV174" s="143" t="str">
        <f t="shared" si="22"/>
        <v/>
      </c>
      <c r="CW174" s="38" t="str">
        <f>IFERROR(__xludf.DUMMYFUNCTION("""COMPUTED_VALUE"""),"")</f>
        <v/>
      </c>
      <c r="CX174" s="144">
        <v>46160.0</v>
      </c>
      <c r="CY174" s="167" t="str">
        <f t="shared" si="28"/>
        <v/>
      </c>
      <c r="CZ174" s="168" t="str">
        <f t="shared" si="337"/>
        <v/>
      </c>
      <c r="DA174" s="169" t="str">
        <f t="shared" si="338"/>
        <v/>
      </c>
      <c r="DB174" s="172" t="str">
        <f t="shared" si="339"/>
        <v/>
      </c>
      <c r="DC174" s="171" t="str">
        <f t="array" ref="DC174">IFERROR(IF(CW174="ac"+ISNUMBER(SEARCH("'",DB174))+DA174="","", IF(ISNUMBER(SEARCH("lw",DB174)), CO174 + SUBSTITUTE(DB174,"lw+",""), MROUND(SWITCH(CW174,"sq",DA$7,"bn",DB$7,"dl",DC$7,"")*IF(DB174&gt;10, DB174/100, VLOOKUP(DB174, _rpe,SUBSTITUTE(DA174,"+","")+1,0)), IF( SWITCH(CW174,"sq",DA$7,"bn",DB$7,"dl", DC$7,"")&lt; IF(_uom="lbs", 175, 80), 1.25, IF(_uom="lbs",5,2.5))))), "")</f>
        <v/>
      </c>
      <c r="DD174" s="148"/>
      <c r="DE174" s="33"/>
      <c r="DF174" s="171"/>
      <c r="DG174" s="124" t="str">
        <f>IFERROR(__xludf.DUMMYFUNCTION("IF(DC174=MAX(FILTER(DC$10:DC$199,LOOKUP(ROW(CW$10:CW$199),FILTER(ROW(CW$10:CW$199),CW$10:CW$199&lt;&gt;CW$9:CW$198))=LOOKUP(ROW(CW174),FILTER(ROW(CW$10:CW$199),CW$10:CW$199&lt;&gt;CW$9:CW$198)))),DD174,)"),"")</f>
        <v/>
      </c>
      <c r="DH174" s="122"/>
      <c r="DI174" s="33"/>
      <c r="DJ174" s="143" t="str">
        <f t="shared" si="23"/>
        <v/>
      </c>
      <c r="DK174" s="38" t="str">
        <f>IFERROR(__xludf.DUMMYFUNCTION("""COMPUTED_VALUE"""),"")</f>
        <v/>
      </c>
      <c r="DL174" s="144">
        <v>46167.0</v>
      </c>
      <c r="DM174" s="167" t="str">
        <f t="shared" ref="DM174:DN174" si="426">IF(ISBLANK(CY174),"",CY174)</f>
        <v/>
      </c>
      <c r="DN174" s="168" t="str">
        <f t="shared" si="426"/>
        <v/>
      </c>
      <c r="DO174" s="169" t="str">
        <f t="shared" si="341"/>
        <v/>
      </c>
      <c r="DP174" s="172" t="str">
        <f t="shared" si="342"/>
        <v/>
      </c>
      <c r="DQ174" s="171" t="str">
        <f t="array" ref="DQ174">IFERROR(IF(DK174="ac"+ISNUMBER(SEARCH("'",DP174))+DO174="","", IF(ISNUMBER(SEARCH("lw",DP174)), DC174 + SUBSTITUTE(DP174,"lw+",""), MROUND(SWITCH(DK174,"sq",DO$7,"bn",DP$7,"dl",DQ$7,"")*IF(DP174&gt;10, DP174/100, VLOOKUP(DP174, _rpe,SUBSTITUTE(DO174,"+","")+1,0)), IF( SWITCH(DK174,"sq",DO$7,"bn",DP$7,"dl", DQ$7,"")&lt; IF(_uom="lbs", 175, 80), 1.25, IF(_uom="lbs",5,2.5))))), "")</f>
        <v/>
      </c>
      <c r="DR174" s="148"/>
      <c r="DS174" s="33"/>
      <c r="DT174" s="171"/>
      <c r="DU174" s="124" t="str">
        <f>IFERROR(__xludf.DUMMYFUNCTION("IF(DQ174=MAX(FILTER(DQ$10:DQ$199,LOOKUP(ROW(DK$10:DK$199),FILTER(ROW(DK$10:DK$199),DK$10:DK$199&lt;&gt;DK$9:DK$198))=LOOKUP(ROW(DK174),FILTER(ROW(DK$10:DK$199),DK$10:DK$199&lt;&gt;DK$9:DK$198)))),DR174,)"),"")</f>
        <v/>
      </c>
      <c r="DV174" s="122"/>
      <c r="DW174" s="33"/>
      <c r="DX174" s="143"/>
      <c r="DY174" s="38"/>
      <c r="DZ174" s="144"/>
      <c r="EA174" s="150"/>
      <c r="EB174" s="174"/>
      <c r="EC174" s="175"/>
      <c r="ED174" s="176"/>
      <c r="EE174" s="155"/>
      <c r="EF174" s="148"/>
      <c r="EG174" s="33"/>
      <c r="EH174" s="155"/>
      <c r="EI174" s="148"/>
      <c r="EJ174" s="33"/>
      <c r="EK174" s="33"/>
      <c r="EL174" s="143"/>
      <c r="EM174" s="38"/>
      <c r="EN174" s="144"/>
      <c r="EO174" s="150"/>
      <c r="EP174" s="174"/>
      <c r="EQ174" s="175"/>
      <c r="ER174" s="176"/>
      <c r="ES174" s="155"/>
      <c r="ET174" s="148"/>
      <c r="EU174" s="33"/>
      <c r="EV174" s="155"/>
      <c r="EW174" s="148"/>
      <c r="EX174" s="33"/>
      <c r="EY174" s="33"/>
      <c r="EZ174" s="143"/>
      <c r="FA174" s="38"/>
      <c r="FB174" s="144"/>
      <c r="FC174" s="150"/>
      <c r="FD174" s="174"/>
      <c r="FE174" s="175"/>
      <c r="FF174" s="176"/>
      <c r="FG174" s="155"/>
      <c r="FH174" s="148"/>
      <c r="FI174" s="33"/>
      <c r="FJ174" s="155"/>
      <c r="FK174" s="148"/>
      <c r="FL174" s="33"/>
      <c r="FM174" s="33"/>
      <c r="FN174" s="143"/>
      <c r="FO174" s="38"/>
      <c r="FP174" s="144"/>
      <c r="FQ174" s="150"/>
      <c r="FR174" s="174"/>
      <c r="FS174" s="175"/>
      <c r="FT174" s="176"/>
      <c r="FU174" s="155"/>
      <c r="FV174" s="148"/>
      <c r="FW174" s="33"/>
      <c r="FX174" s="155"/>
      <c r="FY174" s="148"/>
      <c r="FZ174" s="33"/>
      <c r="GA174" s="33"/>
      <c r="GB174" s="143"/>
      <c r="GC174" s="38"/>
      <c r="GD174" s="144"/>
      <c r="GE174" s="150"/>
      <c r="GF174" s="174"/>
      <c r="GG174" s="175"/>
      <c r="GH174" s="176"/>
      <c r="GI174" s="155"/>
      <c r="GJ174" s="148"/>
      <c r="GK174" s="33"/>
      <c r="GL174" s="155"/>
      <c r="GM174" s="148"/>
      <c r="GN174" s="33"/>
      <c r="GO174" s="33"/>
      <c r="GP174" s="143"/>
      <c r="GQ174" s="38"/>
      <c r="GR174" s="144"/>
      <c r="GS174" s="150"/>
      <c r="GT174" s="174"/>
      <c r="GU174" s="175"/>
      <c r="GV174" s="176"/>
      <c r="GW174" s="155"/>
      <c r="GX174" s="148"/>
      <c r="GY174" s="33"/>
      <c r="GZ174" s="155"/>
      <c r="HA174" s="148"/>
      <c r="HB174" s="33"/>
      <c r="HC174" s="33"/>
      <c r="HD174" s="143"/>
      <c r="HE174" s="38"/>
      <c r="HF174" s="144"/>
      <c r="HG174" s="150"/>
      <c r="HH174" s="174"/>
      <c r="HI174" s="175"/>
      <c r="HJ174" s="176"/>
      <c r="HK174" s="155"/>
      <c r="HL174" s="148"/>
      <c r="HM174" s="33"/>
      <c r="HN174" s="155"/>
      <c r="HO174" s="148"/>
      <c r="HP174" s="33"/>
      <c r="HQ174" s="33"/>
      <c r="HR174" s="143"/>
      <c r="HS174" s="38"/>
      <c r="HT174" s="144"/>
      <c r="HU174" s="150"/>
      <c r="HV174" s="174"/>
      <c r="HW174" s="175"/>
      <c r="HX174" s="176"/>
      <c r="HY174" s="155"/>
      <c r="HZ174" s="148"/>
      <c r="IA174" s="33"/>
      <c r="IB174" s="155"/>
      <c r="IC174" s="148"/>
      <c r="ID174" s="33"/>
      <c r="IE174" s="33"/>
      <c r="IF174" s="143"/>
      <c r="IG174" s="38"/>
      <c r="IH174" s="144"/>
      <c r="II174" s="150"/>
      <c r="IJ174" s="174"/>
      <c r="IK174" s="175"/>
      <c r="IL174" s="176"/>
      <c r="IM174" s="155"/>
      <c r="IN174" s="148"/>
      <c r="IO174" s="33"/>
      <c r="IP174" s="155"/>
      <c r="IQ174" s="148"/>
      <c r="IR174" s="33"/>
      <c r="IS174" s="33"/>
      <c r="IT174" s="143"/>
      <c r="IU174" s="38"/>
      <c r="IV174" s="144"/>
      <c r="IW174" s="143"/>
      <c r="IX174" s="38"/>
      <c r="IY174" s="144" t="e">
        <v>#REF!</v>
      </c>
    </row>
    <row r="175">
      <c r="A175" s="33"/>
      <c r="B175" s="181"/>
      <c r="C175" s="38" t="str">
        <f>IFERROR(__xludf.DUMMYFUNCTION("""COMPUTED_VALUE"""),"")</f>
        <v/>
      </c>
      <c r="D175" s="144">
        <v>46111.0</v>
      </c>
      <c r="E175" s="182"/>
      <c r="F175" s="168"/>
      <c r="G175" s="169"/>
      <c r="H175" s="170"/>
      <c r="I175" s="171" t="str">
        <f t="array" ref="I175">IFERROR(IF(C175="ac"+ISNUMBER(SEARCH("'",H175))+G175="","", MROUND(SWITCH(C175,"sq",'Personal Info'!$O$15,"bn",'Personal Info'!$S$15,"dl",'Personal Info'!$W$15,"")*IF(H175&gt;10, H175/100, VLOOKUP(H175, _rpe,SUBSTITUTE(G175,"+","")+1,0)), IF( SWITCH(C175:C210,"sq",'Personal Info'!$O$15,"bn",'Personal Info'!$S$15,"dl", 'Personal Info'!$W$15,"")&lt; IF(_uom="lbs", 175, 80), 1.25, IF(_uom="lbs",5,2.5)))),"")</f>
        <v/>
      </c>
      <c r="J175" s="148"/>
      <c r="K175" s="33"/>
      <c r="L175" s="171"/>
      <c r="M175" s="124" t="str">
        <f>IFERROR(__xludf.DUMMYFUNCTION("IF(I175=MAX(FILTER(I$10:I$199,LOOKUP(ROW(C$10:C$199),FILTER(ROW(C$10:C$199),C$10:C$199&lt;&gt;C$9:C$198))=LOOKUP(ROW(C175),FILTER(ROW(C$10:C$199),C$10:C$199&lt;&gt;C$9:C$198)))),J175,)"),"")</f>
        <v/>
      </c>
      <c r="N175" s="122"/>
      <c r="O175" s="33"/>
      <c r="P175" s="143" t="str">
        <f t="shared" si="12"/>
        <v/>
      </c>
      <c r="Q175" s="38" t="str">
        <f>IFERROR(__xludf.DUMMYFUNCTION("""COMPUTED_VALUE"""),"")</f>
        <v/>
      </c>
      <c r="R175" s="144">
        <v>46118.0</v>
      </c>
      <c r="S175" s="167" t="str">
        <f t="shared" si="13"/>
        <v/>
      </c>
      <c r="T175" s="168" t="str">
        <f t="shared" si="319"/>
        <v/>
      </c>
      <c r="U175" s="169" t="str">
        <f t="shared" si="320"/>
        <v/>
      </c>
      <c r="V175" s="172" t="str">
        <f t="shared" si="321"/>
        <v/>
      </c>
      <c r="W175" s="171" t="str">
        <f t="array" ref="W175">IFERROR(IF(Q175="ac"+ISNUMBER(SEARCH("'",V175))+U175="","", IF(ISNUMBER(SEARCH("lw",V175)), I175 + SUBSTITUTE(V175,"lw+",""), MROUND(SWITCH(Q175,"sq",U$7,"bn",V$7,"dl",W$7,"")*IF(V175&gt;10, V175/100, VLOOKUP(V175, _rpe,SUBSTITUTE(U175,"+","")+1,0)), IF( SWITCH(Q175,"sq",U$7,"bn",V$7,"dl", W$7,"")&lt; IF(_uom="lbs", 175, 80), 1.25, IF(_uom="lbs",5,2.5))))), "")</f>
        <v/>
      </c>
      <c r="X175" s="148"/>
      <c r="Y175" s="33"/>
      <c r="Z175" s="171"/>
      <c r="AA175" s="124" t="str">
        <f>IFERROR(__xludf.DUMMYFUNCTION("IF(W175=MAX(FILTER(W$10:W$199,LOOKUP(ROW(Q$10:Q$199),FILTER(ROW(Q$10:Q$199),Q$10:Q$199&lt;&gt;Q$9:Q$198))=LOOKUP(ROW(Q175),FILTER(ROW(Q$10:Q$199),Q$10:Q$199&lt;&gt;Q$9:Q$198)))),X175,)"),"")</f>
        <v/>
      </c>
      <c r="AB175" s="122"/>
      <c r="AC175" s="33"/>
      <c r="AD175" s="143" t="str">
        <f t="shared" si="14"/>
        <v/>
      </c>
      <c r="AE175" s="38" t="str">
        <f>IFERROR(__xludf.DUMMYFUNCTION("""COMPUTED_VALUE"""),"")</f>
        <v/>
      </c>
      <c r="AF175" s="144">
        <v>46125.0</v>
      </c>
      <c r="AG175" s="167" t="str">
        <f t="shared" si="54"/>
        <v/>
      </c>
      <c r="AH175" s="168" t="str">
        <f t="shared" si="322"/>
        <v/>
      </c>
      <c r="AI175" s="169" t="str">
        <f t="shared" si="323"/>
        <v/>
      </c>
      <c r="AJ175" s="172" t="str">
        <f t="shared" si="324"/>
        <v/>
      </c>
      <c r="AK175" s="171" t="str">
        <f t="array" ref="AK175">IFERROR(IF(AE175="ac"+ISNUMBER(SEARCH("'",AJ175))+AI175="","", IF(ISNUMBER(SEARCH("lw",AJ175)), W175 + SUBSTITUTE(AJ175,"lw+",""), MROUND(SWITCH(AE175,"sq",AI$7,"bn",AJ$7,"dl",AK$7,"")*IF(AJ175&gt;10, AJ175/100, VLOOKUP(AJ175, _rpe,SUBSTITUTE(AI175,"+","")+1,0)), IF( SWITCH(AE175,"sq",AI$7,"bn",AJ$7,"dl", AK$7,"")&lt; IF(_uom="lbs", 175, 80), 1.25, IF(_uom="lbs",5,2.5))))), "")</f>
        <v/>
      </c>
      <c r="AL175" s="148"/>
      <c r="AM175" s="33"/>
      <c r="AN175" s="171"/>
      <c r="AO175" s="124" t="str">
        <f>IFERROR(__xludf.DUMMYFUNCTION("IF(AK175=MAX(FILTER(AK$10:AK$199,LOOKUP(ROW(AE$10:AE$199),FILTER(ROW(AE$10:AE$199),AE$10:AE$199&lt;&gt;AE$9:AE$198))=LOOKUP(ROW(AE175),FILTER(ROW(AE$10:AE$199),AE$10:AE$199&lt;&gt;AE$9:AE$198)))),AL175,)"),"")</f>
        <v/>
      </c>
      <c r="AP175" s="122"/>
      <c r="AQ175" s="33"/>
      <c r="AR175" s="143" t="str">
        <f t="shared" si="16"/>
        <v/>
      </c>
      <c r="AS175" s="38" t="str">
        <f>IFERROR(__xludf.DUMMYFUNCTION("""COMPUTED_VALUE"""),"")</f>
        <v/>
      </c>
      <c r="AT175" s="144">
        <v>46132.0</v>
      </c>
      <c r="AU175" s="167" t="str">
        <f t="shared" si="26"/>
        <v/>
      </c>
      <c r="AV175" s="168" t="str">
        <f t="shared" si="325"/>
        <v/>
      </c>
      <c r="AW175" s="169" t="str">
        <f t="shared" si="326"/>
        <v/>
      </c>
      <c r="AX175" s="172" t="str">
        <f t="shared" si="327"/>
        <v/>
      </c>
      <c r="AY175" s="171" t="str">
        <f t="array" ref="AY175">IFERROR(IF(AS175="ac"+ISNUMBER(SEARCH("'",AX175))+AW175="","", IF(ISNUMBER(SEARCH("lw",AX175)), AK175 + SUBSTITUTE(AX175,"lw+",""), MROUND(SWITCH(AS175,"sq",AW$7,"bn",AX$7,"dl",AY$7,"")*IF(AX175&gt;10, AX175/100, VLOOKUP(AX175, _rpe,SUBSTITUTE(AW175,"+","")+1,0)), IF( SWITCH(AS175,"sq",AW$7,"bn",AX$7,"dl", AY$7,"")&lt; IF(_uom="lbs", 175, 80), 1.25, IF(_uom="lbs",5,2.5))))), "")</f>
        <v/>
      </c>
      <c r="AZ175" s="148"/>
      <c r="BA175" s="33"/>
      <c r="BB175" s="171"/>
      <c r="BC175" s="124" t="str">
        <f>IFERROR(__xludf.DUMMYFUNCTION("IF(AY175=MAX(FILTER(AY$10:AY$199,LOOKUP(ROW(AS$10:AS$199),FILTER(ROW(AS$10:AS$199),AS$10:AS$199&lt;&gt;AS$9:AS$198))=LOOKUP(ROW(AS175),FILTER(ROW(AS$10:AS$199),AS$10:AS$199&lt;&gt;AS$9:AS$198)))),AZ175,)"),"")</f>
        <v/>
      </c>
      <c r="BD175" s="122"/>
      <c r="BE175" s="33"/>
      <c r="BF175" s="143" t="str">
        <f t="shared" si="17"/>
        <v/>
      </c>
      <c r="BG175" s="38" t="str">
        <f>IFERROR(__xludf.DUMMYFUNCTION("""COMPUTED_VALUE"""),"")</f>
        <v/>
      </c>
      <c r="BH175" s="144">
        <v>46139.0</v>
      </c>
      <c r="BI175" s="167" t="str">
        <f t="shared" si="18"/>
        <v/>
      </c>
      <c r="BJ175" s="168" t="str">
        <f t="shared" si="328"/>
        <v/>
      </c>
      <c r="BK175" s="169" t="str">
        <f t="shared" si="329"/>
        <v/>
      </c>
      <c r="BL175" s="172" t="str">
        <f t="shared" si="330"/>
        <v/>
      </c>
      <c r="BM175" s="171" t="str">
        <f t="array" ref="BM175">IFERROR(IF(BG175="ac"+ISNUMBER(SEARCH("'",BL175))+BK175="","", IF(ISNUMBER(SEARCH("lw",BL175)), AY175 + SUBSTITUTE(BL175,"lw+",""), MROUND(SWITCH(BG175,"sq",BK$7,"bn",BL$7,"dl",BM$7,"")*IF(BL175&gt;10, BL175/100, VLOOKUP(BL175, _rpe,SUBSTITUTE(BK175,"+","")+1,0)), IF( SWITCH(BG175,"sq",BK$7,"bn",BL$7,"dl", BM$7,"")&lt; IF(_uom="lbs", 175, 80), 1.25, IF(_uom="lbs",5,2.5))))), "")</f>
        <v/>
      </c>
      <c r="BN175" s="148"/>
      <c r="BO175" s="33"/>
      <c r="BP175" s="171"/>
      <c r="BQ175" s="124" t="str">
        <f>IFERROR(__xludf.DUMMYFUNCTION("IF(BM175=MAX(FILTER(BM$10:BM$199,LOOKUP(ROW(BG$10:BG$199),FILTER(ROW(BG$10:BG$199),BG$10:BG$199&lt;&gt;BG$9:BG$198))=LOOKUP(ROW(BG175),FILTER(ROW(BG$10:BG$199),BG$10:BG$199&lt;&gt;BG$9:BG$198)))),BN175,)"),"")</f>
        <v/>
      </c>
      <c r="BR175" s="122"/>
      <c r="BS175" s="33"/>
      <c r="BT175" s="143" t="str">
        <f t="shared" si="19"/>
        <v/>
      </c>
      <c r="BU175" s="38" t="str">
        <f>IFERROR(__xludf.DUMMYFUNCTION("""COMPUTED_VALUE"""),"")</f>
        <v/>
      </c>
      <c r="BV175" s="144">
        <v>46146.0</v>
      </c>
      <c r="BW175" s="167" t="str">
        <f t="shared" si="20"/>
        <v/>
      </c>
      <c r="BX175" s="168" t="str">
        <f t="shared" si="331"/>
        <v/>
      </c>
      <c r="BY175" s="169" t="str">
        <f t="shared" si="332"/>
        <v/>
      </c>
      <c r="BZ175" s="172" t="str">
        <f t="shared" si="333"/>
        <v/>
      </c>
      <c r="CA175" s="171" t="str">
        <f t="array" ref="CA175">IFERROR(IF(BU175="ac"+ISNUMBER(SEARCH("'",BZ175))+BY175="","", IF(ISNUMBER(SEARCH("lw",BZ175)), BM175 + SUBSTITUTE(BZ175,"lw+",""), MROUND(SWITCH(BU175,"sq",BY$7,"bn",BZ$7,"dl",CA$7,"")*IF(BZ175&gt;10, BZ175/100, VLOOKUP(BZ175, _rpe,SUBSTITUTE(BY175,"+","")+1,0)), IF( SWITCH(BU175,"sq",BY$7,"bn",BZ$7,"dl", CA$7,"")&lt; IF(_uom="lbs", 175, 80), 1.25, IF(_uom="lbs",5,2.5))))), "")</f>
        <v/>
      </c>
      <c r="CB175" s="148"/>
      <c r="CC175" s="33"/>
      <c r="CD175" s="171"/>
      <c r="CE175" s="124" t="str">
        <f>IFERROR(__xludf.DUMMYFUNCTION("IF(CA175=MAX(FILTER(CA$10:CA$199,LOOKUP(ROW(BU$10:BU$199),FILTER(ROW(BU$10:BU$199),BU$10:BU$199&lt;&gt;BU$9:BU$198))=LOOKUP(ROW(BU175),FILTER(ROW(BU$10:BU$199),BU$10:BU$199&lt;&gt;BU$9:BU$198)))),CB175,)"),"")</f>
        <v/>
      </c>
      <c r="CF175" s="122"/>
      <c r="CG175" s="33"/>
      <c r="CH175" s="143" t="str">
        <f t="shared" si="21"/>
        <v/>
      </c>
      <c r="CI175" s="38" t="str">
        <f>IFERROR(__xludf.DUMMYFUNCTION("""COMPUTED_VALUE"""),"")</f>
        <v/>
      </c>
      <c r="CJ175" s="144">
        <v>46153.0</v>
      </c>
      <c r="CK175" s="167" t="str">
        <f t="shared" si="27"/>
        <v/>
      </c>
      <c r="CL175" s="168" t="str">
        <f t="shared" si="334"/>
        <v/>
      </c>
      <c r="CM175" s="169" t="str">
        <f t="shared" si="335"/>
        <v/>
      </c>
      <c r="CN175" s="172" t="str">
        <f t="shared" si="336"/>
        <v/>
      </c>
      <c r="CO175" s="171" t="str">
        <f t="array" ref="CO175">IFERROR(IF(CI175="ac"+ISNUMBER(SEARCH("'",CN175))+CM175="","", IF(ISNUMBER(SEARCH("lw",CN175)), CA175 + SUBSTITUTE(CN175,"lw+",""), MROUND(SWITCH(CI175,"sq",CM$7,"bn",CN$7,"dl",CO$7,"")*IF(CN175&gt;10, CN175/100, VLOOKUP(CN175, _rpe,SUBSTITUTE(CM175,"+","")+1,0)), IF( SWITCH(CI175,"sq",CM$7,"bn",CN$7,"dl", CO$7,"")&lt; IF(_uom="lbs", 175, 80), 1.25, IF(_uom="lbs",5,2.5))))), "")</f>
        <v/>
      </c>
      <c r="CP175" s="148"/>
      <c r="CQ175" s="33"/>
      <c r="CR175" s="171"/>
      <c r="CS175" s="124" t="str">
        <f>IFERROR(__xludf.DUMMYFUNCTION("IF(CO175=MAX(FILTER(CO$10:CO$199,LOOKUP(ROW(CI$10:CI$199),FILTER(ROW(CI$10:CI$199),CI$10:CI$199&lt;&gt;CI$9:CI$198))=LOOKUP(ROW(CI175),FILTER(ROW(CI$10:CI$199),CI$10:CI$199&lt;&gt;CI$9:CI$198)))),CP175,)"),"")</f>
        <v/>
      </c>
      <c r="CT175" s="122"/>
      <c r="CU175" s="33"/>
      <c r="CV175" s="143" t="str">
        <f t="shared" si="22"/>
        <v/>
      </c>
      <c r="CW175" s="38" t="str">
        <f>IFERROR(__xludf.DUMMYFUNCTION("""COMPUTED_VALUE"""),"")</f>
        <v/>
      </c>
      <c r="CX175" s="144">
        <v>46160.0</v>
      </c>
      <c r="CY175" s="167" t="str">
        <f t="shared" si="28"/>
        <v/>
      </c>
      <c r="CZ175" s="168" t="str">
        <f t="shared" si="337"/>
        <v/>
      </c>
      <c r="DA175" s="169" t="str">
        <f t="shared" si="338"/>
        <v/>
      </c>
      <c r="DB175" s="172" t="str">
        <f t="shared" si="339"/>
        <v/>
      </c>
      <c r="DC175" s="171" t="str">
        <f t="array" ref="DC175">IFERROR(IF(CW175="ac"+ISNUMBER(SEARCH("'",DB175))+DA175="","", IF(ISNUMBER(SEARCH("lw",DB175)), CO175 + SUBSTITUTE(DB175,"lw+",""), MROUND(SWITCH(CW175,"sq",DA$7,"bn",DB$7,"dl",DC$7,"")*IF(DB175&gt;10, DB175/100, VLOOKUP(DB175, _rpe,SUBSTITUTE(DA175,"+","")+1,0)), IF( SWITCH(CW175,"sq",DA$7,"bn",DB$7,"dl", DC$7,"")&lt; IF(_uom="lbs", 175, 80), 1.25, IF(_uom="lbs",5,2.5))))), "")</f>
        <v/>
      </c>
      <c r="DD175" s="148"/>
      <c r="DE175" s="33"/>
      <c r="DF175" s="171"/>
      <c r="DG175" s="124" t="str">
        <f>IFERROR(__xludf.DUMMYFUNCTION("IF(DC175=MAX(FILTER(DC$10:DC$199,LOOKUP(ROW(CW$10:CW$199),FILTER(ROW(CW$10:CW$199),CW$10:CW$199&lt;&gt;CW$9:CW$198))=LOOKUP(ROW(CW175),FILTER(ROW(CW$10:CW$199),CW$10:CW$199&lt;&gt;CW$9:CW$198)))),DD175,)"),"")</f>
        <v/>
      </c>
      <c r="DH175" s="122"/>
      <c r="DI175" s="33"/>
      <c r="DJ175" s="143" t="str">
        <f t="shared" si="23"/>
        <v/>
      </c>
      <c r="DK175" s="38" t="str">
        <f>IFERROR(__xludf.DUMMYFUNCTION("""COMPUTED_VALUE"""),"")</f>
        <v/>
      </c>
      <c r="DL175" s="144">
        <v>46167.0</v>
      </c>
      <c r="DM175" s="167" t="str">
        <f t="shared" ref="DM175:DN175" si="427">IF(ISBLANK(CY175),"",CY175)</f>
        <v/>
      </c>
      <c r="DN175" s="168" t="str">
        <f t="shared" si="427"/>
        <v/>
      </c>
      <c r="DO175" s="169" t="str">
        <f t="shared" si="341"/>
        <v/>
      </c>
      <c r="DP175" s="172" t="str">
        <f t="shared" si="342"/>
        <v/>
      </c>
      <c r="DQ175" s="171" t="str">
        <f t="array" ref="DQ175">IFERROR(IF(DK175="ac"+ISNUMBER(SEARCH("'",DP175))+DO175="","", IF(ISNUMBER(SEARCH("lw",DP175)), DC175 + SUBSTITUTE(DP175,"lw+",""), MROUND(SWITCH(DK175,"sq",DO$7,"bn",DP$7,"dl",DQ$7,"")*IF(DP175&gt;10, DP175/100, VLOOKUP(DP175, _rpe,SUBSTITUTE(DO175,"+","")+1,0)), IF( SWITCH(DK175,"sq",DO$7,"bn",DP$7,"dl", DQ$7,"")&lt; IF(_uom="lbs", 175, 80), 1.25, IF(_uom="lbs",5,2.5))))), "")</f>
        <v/>
      </c>
      <c r="DR175" s="148"/>
      <c r="DS175" s="33"/>
      <c r="DT175" s="171"/>
      <c r="DU175" s="124" t="str">
        <f>IFERROR(__xludf.DUMMYFUNCTION("IF(DQ175=MAX(FILTER(DQ$10:DQ$199,LOOKUP(ROW(DK$10:DK$199),FILTER(ROW(DK$10:DK$199),DK$10:DK$199&lt;&gt;DK$9:DK$198))=LOOKUP(ROW(DK175),FILTER(ROW(DK$10:DK$199),DK$10:DK$199&lt;&gt;DK$9:DK$198)))),DR175,)"),"")</f>
        <v/>
      </c>
      <c r="DV175" s="122"/>
      <c r="DW175" s="33"/>
      <c r="DX175" s="143"/>
      <c r="DY175" s="38"/>
      <c r="DZ175" s="144"/>
      <c r="EA175" s="150"/>
      <c r="EB175" s="174"/>
      <c r="EC175" s="175"/>
      <c r="ED175" s="176"/>
      <c r="EE175" s="155"/>
      <c r="EF175" s="148"/>
      <c r="EG175" s="33"/>
      <c r="EH175" s="155"/>
      <c r="EI175" s="148"/>
      <c r="EJ175" s="33"/>
      <c r="EK175" s="33"/>
      <c r="EL175" s="143"/>
      <c r="EM175" s="38"/>
      <c r="EN175" s="144"/>
      <c r="EO175" s="150"/>
      <c r="EP175" s="174"/>
      <c r="EQ175" s="175"/>
      <c r="ER175" s="176"/>
      <c r="ES175" s="155"/>
      <c r="ET175" s="148"/>
      <c r="EU175" s="33"/>
      <c r="EV175" s="155"/>
      <c r="EW175" s="148"/>
      <c r="EX175" s="33"/>
      <c r="EY175" s="33"/>
      <c r="EZ175" s="143"/>
      <c r="FA175" s="38"/>
      <c r="FB175" s="144"/>
      <c r="FC175" s="150"/>
      <c r="FD175" s="174"/>
      <c r="FE175" s="175"/>
      <c r="FF175" s="176"/>
      <c r="FG175" s="155"/>
      <c r="FH175" s="148"/>
      <c r="FI175" s="33"/>
      <c r="FJ175" s="155"/>
      <c r="FK175" s="148"/>
      <c r="FL175" s="33"/>
      <c r="FM175" s="33"/>
      <c r="FN175" s="143"/>
      <c r="FO175" s="38"/>
      <c r="FP175" s="144"/>
      <c r="FQ175" s="150"/>
      <c r="FR175" s="174"/>
      <c r="FS175" s="175"/>
      <c r="FT175" s="176"/>
      <c r="FU175" s="155"/>
      <c r="FV175" s="148"/>
      <c r="FW175" s="33"/>
      <c r="FX175" s="155"/>
      <c r="FY175" s="148"/>
      <c r="FZ175" s="33"/>
      <c r="GA175" s="33"/>
      <c r="GB175" s="143"/>
      <c r="GC175" s="38"/>
      <c r="GD175" s="144"/>
      <c r="GE175" s="150"/>
      <c r="GF175" s="174"/>
      <c r="GG175" s="175"/>
      <c r="GH175" s="176"/>
      <c r="GI175" s="155"/>
      <c r="GJ175" s="148"/>
      <c r="GK175" s="33"/>
      <c r="GL175" s="155"/>
      <c r="GM175" s="148"/>
      <c r="GN175" s="33"/>
      <c r="GO175" s="33"/>
      <c r="GP175" s="143"/>
      <c r="GQ175" s="38"/>
      <c r="GR175" s="144"/>
      <c r="GS175" s="150"/>
      <c r="GT175" s="174"/>
      <c r="GU175" s="175"/>
      <c r="GV175" s="176"/>
      <c r="GW175" s="155"/>
      <c r="GX175" s="148"/>
      <c r="GY175" s="33"/>
      <c r="GZ175" s="155"/>
      <c r="HA175" s="148"/>
      <c r="HB175" s="33"/>
      <c r="HC175" s="33"/>
      <c r="HD175" s="143"/>
      <c r="HE175" s="38"/>
      <c r="HF175" s="144"/>
      <c r="HG175" s="150"/>
      <c r="HH175" s="174"/>
      <c r="HI175" s="175"/>
      <c r="HJ175" s="176"/>
      <c r="HK175" s="155"/>
      <c r="HL175" s="148"/>
      <c r="HM175" s="33"/>
      <c r="HN175" s="155"/>
      <c r="HO175" s="148"/>
      <c r="HP175" s="33"/>
      <c r="HQ175" s="33"/>
      <c r="HR175" s="143"/>
      <c r="HS175" s="38"/>
      <c r="HT175" s="144"/>
      <c r="HU175" s="150"/>
      <c r="HV175" s="174"/>
      <c r="HW175" s="175"/>
      <c r="HX175" s="176"/>
      <c r="HY175" s="155"/>
      <c r="HZ175" s="148"/>
      <c r="IA175" s="33"/>
      <c r="IB175" s="155"/>
      <c r="IC175" s="148"/>
      <c r="ID175" s="33"/>
      <c r="IE175" s="33"/>
      <c r="IF175" s="143"/>
      <c r="IG175" s="38"/>
      <c r="IH175" s="144"/>
      <c r="II175" s="150"/>
      <c r="IJ175" s="174"/>
      <c r="IK175" s="175"/>
      <c r="IL175" s="176"/>
      <c r="IM175" s="155"/>
      <c r="IN175" s="148"/>
      <c r="IO175" s="33"/>
      <c r="IP175" s="155"/>
      <c r="IQ175" s="148"/>
      <c r="IR175" s="33"/>
      <c r="IS175" s="33"/>
      <c r="IT175" s="143"/>
      <c r="IU175" s="38"/>
      <c r="IV175" s="144"/>
      <c r="IW175" s="143"/>
      <c r="IX175" s="38"/>
      <c r="IY175" s="144" t="e">
        <v>#REF!</v>
      </c>
    </row>
    <row r="176">
      <c r="A176" s="33"/>
      <c r="B176" s="181"/>
      <c r="C176" s="38" t="str">
        <f>IFERROR(__xludf.DUMMYFUNCTION("""COMPUTED_VALUE"""),"")</f>
        <v/>
      </c>
      <c r="D176" s="144">
        <v>46111.0</v>
      </c>
      <c r="E176" s="182"/>
      <c r="F176" s="168"/>
      <c r="G176" s="169"/>
      <c r="H176" s="170"/>
      <c r="I176" s="171" t="str">
        <f t="array" ref="I176">IFERROR(IF(C176="ac"+ISNUMBER(SEARCH("'",H176))+G176="","", MROUND(SWITCH(C176,"sq",'Personal Info'!$O$15,"bn",'Personal Info'!$S$15,"dl",'Personal Info'!$W$15,"")*IF(H176&gt;10, H176/100, VLOOKUP(H176, _rpe,SUBSTITUTE(G176,"+","")+1,0)), IF( SWITCH(C176:C210,"sq",'Personal Info'!$O$15,"bn",'Personal Info'!$S$15,"dl", 'Personal Info'!$W$15,"")&lt; IF(_uom="lbs", 175, 80), 1.25, IF(_uom="lbs",5,2.5)))),"")</f>
        <v/>
      </c>
      <c r="J176" s="148"/>
      <c r="K176" s="33"/>
      <c r="L176" s="171"/>
      <c r="M176" s="124" t="str">
        <f>IFERROR(__xludf.DUMMYFUNCTION("IF(I176=MAX(FILTER(I$10:I$199,LOOKUP(ROW(C$10:C$199),FILTER(ROW(C$10:C$199),C$10:C$199&lt;&gt;C$9:C$198))=LOOKUP(ROW(C176),FILTER(ROW(C$10:C$199),C$10:C$199&lt;&gt;C$9:C$198)))),J176,)"),"")</f>
        <v/>
      </c>
      <c r="N176" s="122"/>
      <c r="O176" s="33"/>
      <c r="P176" s="143" t="str">
        <f t="shared" si="12"/>
        <v/>
      </c>
      <c r="Q176" s="38" t="str">
        <f>IFERROR(__xludf.DUMMYFUNCTION("""COMPUTED_VALUE"""),"")</f>
        <v/>
      </c>
      <c r="R176" s="144">
        <v>46118.0</v>
      </c>
      <c r="S176" s="167" t="str">
        <f t="shared" si="13"/>
        <v/>
      </c>
      <c r="T176" s="168" t="str">
        <f t="shared" si="319"/>
        <v/>
      </c>
      <c r="U176" s="169" t="str">
        <f t="shared" si="320"/>
        <v/>
      </c>
      <c r="V176" s="172" t="str">
        <f t="shared" si="321"/>
        <v/>
      </c>
      <c r="W176" s="171" t="str">
        <f t="array" ref="W176">IFERROR(IF(Q176="ac"+ISNUMBER(SEARCH("'",V176))+U176="","", IF(ISNUMBER(SEARCH("lw",V176)), I176 + SUBSTITUTE(V176,"lw+",""), MROUND(SWITCH(Q176,"sq",U$7,"bn",V$7,"dl",W$7,"")*IF(V176&gt;10, V176/100, VLOOKUP(V176, _rpe,SUBSTITUTE(U176,"+","")+1,0)), IF( SWITCH(Q176,"sq",U$7,"bn",V$7,"dl", W$7,"")&lt; IF(_uom="lbs", 175, 80), 1.25, IF(_uom="lbs",5,2.5))))), "")</f>
        <v/>
      </c>
      <c r="X176" s="148"/>
      <c r="Y176" s="33"/>
      <c r="Z176" s="171"/>
      <c r="AA176" s="124" t="str">
        <f>IFERROR(__xludf.DUMMYFUNCTION("IF(W176=MAX(FILTER(W$10:W$199,LOOKUP(ROW(Q$10:Q$199),FILTER(ROW(Q$10:Q$199),Q$10:Q$199&lt;&gt;Q$9:Q$198))=LOOKUP(ROW(Q176),FILTER(ROW(Q$10:Q$199),Q$10:Q$199&lt;&gt;Q$9:Q$198)))),X176,)"),"")</f>
        <v/>
      </c>
      <c r="AB176" s="122"/>
      <c r="AC176" s="33"/>
      <c r="AD176" s="143" t="str">
        <f t="shared" si="14"/>
        <v/>
      </c>
      <c r="AE176" s="38" t="str">
        <f>IFERROR(__xludf.DUMMYFUNCTION("""COMPUTED_VALUE"""),"")</f>
        <v/>
      </c>
      <c r="AF176" s="144">
        <v>46125.0</v>
      </c>
      <c r="AG176" s="167" t="str">
        <f t="shared" si="54"/>
        <v/>
      </c>
      <c r="AH176" s="168" t="str">
        <f t="shared" si="322"/>
        <v/>
      </c>
      <c r="AI176" s="169" t="str">
        <f t="shared" si="323"/>
        <v/>
      </c>
      <c r="AJ176" s="172" t="str">
        <f t="shared" si="324"/>
        <v/>
      </c>
      <c r="AK176" s="171" t="str">
        <f t="array" ref="AK176">IFERROR(IF(AE176="ac"+ISNUMBER(SEARCH("'",AJ176))+AI176="","", IF(ISNUMBER(SEARCH("lw",AJ176)), W176 + SUBSTITUTE(AJ176,"lw+",""), MROUND(SWITCH(AE176,"sq",AI$7,"bn",AJ$7,"dl",AK$7,"")*IF(AJ176&gt;10, AJ176/100, VLOOKUP(AJ176, _rpe,SUBSTITUTE(AI176,"+","")+1,0)), IF( SWITCH(AE176,"sq",AI$7,"bn",AJ$7,"dl", AK$7,"")&lt; IF(_uom="lbs", 175, 80), 1.25, IF(_uom="lbs",5,2.5))))), "")</f>
        <v/>
      </c>
      <c r="AL176" s="148"/>
      <c r="AM176" s="33"/>
      <c r="AN176" s="171"/>
      <c r="AO176" s="124" t="str">
        <f>IFERROR(__xludf.DUMMYFUNCTION("IF(AK176=MAX(FILTER(AK$10:AK$199,LOOKUP(ROW(AE$10:AE$199),FILTER(ROW(AE$10:AE$199),AE$10:AE$199&lt;&gt;AE$9:AE$198))=LOOKUP(ROW(AE176),FILTER(ROW(AE$10:AE$199),AE$10:AE$199&lt;&gt;AE$9:AE$198)))),AL176,)"),"")</f>
        <v/>
      </c>
      <c r="AP176" s="122"/>
      <c r="AQ176" s="33"/>
      <c r="AR176" s="143" t="str">
        <f t="shared" si="16"/>
        <v/>
      </c>
      <c r="AS176" s="38" t="str">
        <f>IFERROR(__xludf.DUMMYFUNCTION("""COMPUTED_VALUE"""),"")</f>
        <v/>
      </c>
      <c r="AT176" s="144">
        <v>46132.0</v>
      </c>
      <c r="AU176" s="167" t="str">
        <f t="shared" si="26"/>
        <v/>
      </c>
      <c r="AV176" s="168" t="str">
        <f t="shared" si="325"/>
        <v/>
      </c>
      <c r="AW176" s="169" t="str">
        <f t="shared" si="326"/>
        <v/>
      </c>
      <c r="AX176" s="172" t="str">
        <f t="shared" si="327"/>
        <v/>
      </c>
      <c r="AY176" s="171" t="str">
        <f t="array" ref="AY176">IFERROR(IF(AS176="ac"+ISNUMBER(SEARCH("'",AX176))+AW176="","", IF(ISNUMBER(SEARCH("lw",AX176)), AK176 + SUBSTITUTE(AX176,"lw+",""), MROUND(SWITCH(AS176,"sq",AW$7,"bn",AX$7,"dl",AY$7,"")*IF(AX176&gt;10, AX176/100, VLOOKUP(AX176, _rpe,SUBSTITUTE(AW176,"+","")+1,0)), IF( SWITCH(AS176,"sq",AW$7,"bn",AX$7,"dl", AY$7,"")&lt; IF(_uom="lbs", 175, 80), 1.25, IF(_uom="lbs",5,2.5))))), "")</f>
        <v/>
      </c>
      <c r="AZ176" s="148"/>
      <c r="BA176" s="33"/>
      <c r="BB176" s="171"/>
      <c r="BC176" s="124" t="str">
        <f>IFERROR(__xludf.DUMMYFUNCTION("IF(AY176=MAX(FILTER(AY$10:AY$199,LOOKUP(ROW(AS$10:AS$199),FILTER(ROW(AS$10:AS$199),AS$10:AS$199&lt;&gt;AS$9:AS$198))=LOOKUP(ROW(AS176),FILTER(ROW(AS$10:AS$199),AS$10:AS$199&lt;&gt;AS$9:AS$198)))),AZ176,)"),"")</f>
        <v/>
      </c>
      <c r="BD176" s="122"/>
      <c r="BE176" s="33"/>
      <c r="BF176" s="143" t="str">
        <f t="shared" si="17"/>
        <v/>
      </c>
      <c r="BG176" s="38" t="str">
        <f>IFERROR(__xludf.DUMMYFUNCTION("""COMPUTED_VALUE"""),"")</f>
        <v/>
      </c>
      <c r="BH176" s="144">
        <v>46139.0</v>
      </c>
      <c r="BI176" s="167" t="str">
        <f t="shared" si="18"/>
        <v/>
      </c>
      <c r="BJ176" s="168" t="str">
        <f t="shared" si="328"/>
        <v/>
      </c>
      <c r="BK176" s="169" t="str">
        <f t="shared" si="329"/>
        <v/>
      </c>
      <c r="BL176" s="172" t="str">
        <f t="shared" si="330"/>
        <v/>
      </c>
      <c r="BM176" s="171" t="str">
        <f t="array" ref="BM176">IFERROR(IF(BG176="ac"+ISNUMBER(SEARCH("'",BL176))+BK176="","", IF(ISNUMBER(SEARCH("lw",BL176)), AY176 + SUBSTITUTE(BL176,"lw+",""), MROUND(SWITCH(BG176,"sq",BK$7,"bn",BL$7,"dl",BM$7,"")*IF(BL176&gt;10, BL176/100, VLOOKUP(BL176, _rpe,SUBSTITUTE(BK176,"+","")+1,0)), IF( SWITCH(BG176,"sq",BK$7,"bn",BL$7,"dl", BM$7,"")&lt; IF(_uom="lbs", 175, 80), 1.25, IF(_uom="lbs",5,2.5))))), "")</f>
        <v/>
      </c>
      <c r="BN176" s="148"/>
      <c r="BO176" s="33"/>
      <c r="BP176" s="171"/>
      <c r="BQ176" s="124" t="str">
        <f>IFERROR(__xludf.DUMMYFUNCTION("IF(BM176=MAX(FILTER(BM$10:BM$199,LOOKUP(ROW(BG$10:BG$199),FILTER(ROW(BG$10:BG$199),BG$10:BG$199&lt;&gt;BG$9:BG$198))=LOOKUP(ROW(BG176),FILTER(ROW(BG$10:BG$199),BG$10:BG$199&lt;&gt;BG$9:BG$198)))),BN176,)"),"")</f>
        <v/>
      </c>
      <c r="BR176" s="122"/>
      <c r="BS176" s="33"/>
      <c r="BT176" s="143" t="str">
        <f t="shared" si="19"/>
        <v/>
      </c>
      <c r="BU176" s="38" t="str">
        <f>IFERROR(__xludf.DUMMYFUNCTION("""COMPUTED_VALUE"""),"")</f>
        <v/>
      </c>
      <c r="BV176" s="144">
        <v>46146.0</v>
      </c>
      <c r="BW176" s="167" t="str">
        <f t="shared" si="20"/>
        <v/>
      </c>
      <c r="BX176" s="168" t="str">
        <f t="shared" si="331"/>
        <v/>
      </c>
      <c r="BY176" s="169" t="str">
        <f t="shared" si="332"/>
        <v/>
      </c>
      <c r="BZ176" s="172" t="str">
        <f t="shared" si="333"/>
        <v/>
      </c>
      <c r="CA176" s="171" t="str">
        <f t="array" ref="CA176">IFERROR(IF(BU176="ac"+ISNUMBER(SEARCH("'",BZ176))+BY176="","", IF(ISNUMBER(SEARCH("lw",BZ176)), BM176 + SUBSTITUTE(BZ176,"lw+",""), MROUND(SWITCH(BU176,"sq",BY$7,"bn",BZ$7,"dl",CA$7,"")*IF(BZ176&gt;10, BZ176/100, VLOOKUP(BZ176, _rpe,SUBSTITUTE(BY176,"+","")+1,0)), IF( SWITCH(BU176,"sq",BY$7,"bn",BZ$7,"dl", CA$7,"")&lt; IF(_uom="lbs", 175, 80), 1.25, IF(_uom="lbs",5,2.5))))), "")</f>
        <v/>
      </c>
      <c r="CB176" s="148"/>
      <c r="CC176" s="33"/>
      <c r="CD176" s="171"/>
      <c r="CE176" s="124" t="str">
        <f>IFERROR(__xludf.DUMMYFUNCTION("IF(CA176=MAX(FILTER(CA$10:CA$199,LOOKUP(ROW(BU$10:BU$199),FILTER(ROW(BU$10:BU$199),BU$10:BU$199&lt;&gt;BU$9:BU$198))=LOOKUP(ROW(BU176),FILTER(ROW(BU$10:BU$199),BU$10:BU$199&lt;&gt;BU$9:BU$198)))),CB176,)"),"")</f>
        <v/>
      </c>
      <c r="CF176" s="122"/>
      <c r="CG176" s="33"/>
      <c r="CH176" s="143" t="str">
        <f t="shared" si="21"/>
        <v/>
      </c>
      <c r="CI176" s="38" t="str">
        <f>IFERROR(__xludf.DUMMYFUNCTION("""COMPUTED_VALUE"""),"")</f>
        <v/>
      </c>
      <c r="CJ176" s="144">
        <v>46153.0</v>
      </c>
      <c r="CK176" s="167" t="str">
        <f t="shared" si="27"/>
        <v/>
      </c>
      <c r="CL176" s="168" t="str">
        <f t="shared" si="334"/>
        <v/>
      </c>
      <c r="CM176" s="169" t="str">
        <f t="shared" si="335"/>
        <v/>
      </c>
      <c r="CN176" s="172" t="str">
        <f t="shared" si="336"/>
        <v/>
      </c>
      <c r="CO176" s="171" t="str">
        <f t="array" ref="CO176">IFERROR(IF(CI176="ac"+ISNUMBER(SEARCH("'",CN176))+CM176="","", IF(ISNUMBER(SEARCH("lw",CN176)), CA176 + SUBSTITUTE(CN176,"lw+",""), MROUND(SWITCH(CI176,"sq",CM$7,"bn",CN$7,"dl",CO$7,"")*IF(CN176&gt;10, CN176/100, VLOOKUP(CN176, _rpe,SUBSTITUTE(CM176,"+","")+1,0)), IF( SWITCH(CI176,"sq",CM$7,"bn",CN$7,"dl", CO$7,"")&lt; IF(_uom="lbs", 175, 80), 1.25, IF(_uom="lbs",5,2.5))))), "")</f>
        <v/>
      </c>
      <c r="CP176" s="148"/>
      <c r="CQ176" s="33"/>
      <c r="CR176" s="171"/>
      <c r="CS176" s="124" t="str">
        <f>IFERROR(__xludf.DUMMYFUNCTION("IF(CO176=MAX(FILTER(CO$10:CO$199,LOOKUP(ROW(CI$10:CI$199),FILTER(ROW(CI$10:CI$199),CI$10:CI$199&lt;&gt;CI$9:CI$198))=LOOKUP(ROW(CI176),FILTER(ROW(CI$10:CI$199),CI$10:CI$199&lt;&gt;CI$9:CI$198)))),CP176,)"),"")</f>
        <v/>
      </c>
      <c r="CT176" s="122"/>
      <c r="CU176" s="33"/>
      <c r="CV176" s="143" t="str">
        <f t="shared" si="22"/>
        <v/>
      </c>
      <c r="CW176" s="38" t="str">
        <f>IFERROR(__xludf.DUMMYFUNCTION("""COMPUTED_VALUE"""),"")</f>
        <v/>
      </c>
      <c r="CX176" s="144">
        <v>46160.0</v>
      </c>
      <c r="CY176" s="167" t="str">
        <f t="shared" si="28"/>
        <v/>
      </c>
      <c r="CZ176" s="168" t="str">
        <f t="shared" si="337"/>
        <v/>
      </c>
      <c r="DA176" s="169" t="str">
        <f t="shared" si="338"/>
        <v/>
      </c>
      <c r="DB176" s="172" t="str">
        <f t="shared" si="339"/>
        <v/>
      </c>
      <c r="DC176" s="171" t="str">
        <f t="array" ref="DC176">IFERROR(IF(CW176="ac"+ISNUMBER(SEARCH("'",DB176))+DA176="","", IF(ISNUMBER(SEARCH("lw",DB176)), CO176 + SUBSTITUTE(DB176,"lw+",""), MROUND(SWITCH(CW176,"sq",DA$7,"bn",DB$7,"dl",DC$7,"")*IF(DB176&gt;10, DB176/100, VLOOKUP(DB176, _rpe,SUBSTITUTE(DA176,"+","")+1,0)), IF( SWITCH(CW176,"sq",DA$7,"bn",DB$7,"dl", DC$7,"")&lt; IF(_uom="lbs", 175, 80), 1.25, IF(_uom="lbs",5,2.5))))), "")</f>
        <v/>
      </c>
      <c r="DD176" s="148"/>
      <c r="DE176" s="33"/>
      <c r="DF176" s="171"/>
      <c r="DG176" s="124" t="str">
        <f>IFERROR(__xludf.DUMMYFUNCTION("IF(DC176=MAX(FILTER(DC$10:DC$199,LOOKUP(ROW(CW$10:CW$199),FILTER(ROW(CW$10:CW$199),CW$10:CW$199&lt;&gt;CW$9:CW$198))=LOOKUP(ROW(CW176),FILTER(ROW(CW$10:CW$199),CW$10:CW$199&lt;&gt;CW$9:CW$198)))),DD176,)"),"")</f>
        <v/>
      </c>
      <c r="DH176" s="122"/>
      <c r="DI176" s="33"/>
      <c r="DJ176" s="143" t="str">
        <f t="shared" si="23"/>
        <v/>
      </c>
      <c r="DK176" s="38" t="str">
        <f>IFERROR(__xludf.DUMMYFUNCTION("""COMPUTED_VALUE"""),"")</f>
        <v/>
      </c>
      <c r="DL176" s="144">
        <v>46167.0</v>
      </c>
      <c r="DM176" s="167" t="str">
        <f t="shared" ref="DM176:DN176" si="428">IF(ISBLANK(CY176),"",CY176)</f>
        <v/>
      </c>
      <c r="DN176" s="168" t="str">
        <f t="shared" si="428"/>
        <v/>
      </c>
      <c r="DO176" s="169" t="str">
        <f t="shared" si="341"/>
        <v/>
      </c>
      <c r="DP176" s="172" t="str">
        <f t="shared" si="342"/>
        <v/>
      </c>
      <c r="DQ176" s="171" t="str">
        <f t="array" ref="DQ176">IFERROR(IF(DK176="ac"+ISNUMBER(SEARCH("'",DP176))+DO176="","", IF(ISNUMBER(SEARCH("lw",DP176)), DC176 + SUBSTITUTE(DP176,"lw+",""), MROUND(SWITCH(DK176,"sq",DO$7,"bn",DP$7,"dl",DQ$7,"")*IF(DP176&gt;10, DP176/100, VLOOKUP(DP176, _rpe,SUBSTITUTE(DO176,"+","")+1,0)), IF( SWITCH(DK176,"sq",DO$7,"bn",DP$7,"dl", DQ$7,"")&lt; IF(_uom="lbs", 175, 80), 1.25, IF(_uom="lbs",5,2.5))))), "")</f>
        <v/>
      </c>
      <c r="DR176" s="148"/>
      <c r="DS176" s="33"/>
      <c r="DT176" s="171"/>
      <c r="DU176" s="124" t="str">
        <f>IFERROR(__xludf.DUMMYFUNCTION("IF(DQ176=MAX(FILTER(DQ$10:DQ$199,LOOKUP(ROW(DK$10:DK$199),FILTER(ROW(DK$10:DK$199),DK$10:DK$199&lt;&gt;DK$9:DK$198))=LOOKUP(ROW(DK176),FILTER(ROW(DK$10:DK$199),DK$10:DK$199&lt;&gt;DK$9:DK$198)))),DR176,)"),"")</f>
        <v/>
      </c>
      <c r="DV176" s="122"/>
      <c r="DW176" s="33"/>
      <c r="DX176" s="143"/>
      <c r="DY176" s="38"/>
      <c r="DZ176" s="144"/>
      <c r="EA176" s="150"/>
      <c r="EB176" s="174"/>
      <c r="EC176" s="175"/>
      <c r="ED176" s="176"/>
      <c r="EE176" s="155"/>
      <c r="EF176" s="148"/>
      <c r="EG176" s="33"/>
      <c r="EH176" s="155"/>
      <c r="EI176" s="148"/>
      <c r="EJ176" s="33"/>
      <c r="EK176" s="33"/>
      <c r="EL176" s="143"/>
      <c r="EM176" s="38"/>
      <c r="EN176" s="144"/>
      <c r="EO176" s="150"/>
      <c r="EP176" s="174"/>
      <c r="EQ176" s="175"/>
      <c r="ER176" s="176"/>
      <c r="ES176" s="155"/>
      <c r="ET176" s="148"/>
      <c r="EU176" s="33"/>
      <c r="EV176" s="155"/>
      <c r="EW176" s="148"/>
      <c r="EX176" s="33"/>
      <c r="EY176" s="33"/>
      <c r="EZ176" s="143"/>
      <c r="FA176" s="38"/>
      <c r="FB176" s="144"/>
      <c r="FC176" s="150"/>
      <c r="FD176" s="174"/>
      <c r="FE176" s="175"/>
      <c r="FF176" s="176"/>
      <c r="FG176" s="155"/>
      <c r="FH176" s="148"/>
      <c r="FI176" s="33"/>
      <c r="FJ176" s="155"/>
      <c r="FK176" s="148"/>
      <c r="FL176" s="33"/>
      <c r="FM176" s="33"/>
      <c r="FN176" s="143"/>
      <c r="FO176" s="38"/>
      <c r="FP176" s="144"/>
      <c r="FQ176" s="150"/>
      <c r="FR176" s="174"/>
      <c r="FS176" s="175"/>
      <c r="FT176" s="176"/>
      <c r="FU176" s="155"/>
      <c r="FV176" s="148"/>
      <c r="FW176" s="33"/>
      <c r="FX176" s="155"/>
      <c r="FY176" s="148"/>
      <c r="FZ176" s="33"/>
      <c r="GA176" s="33"/>
      <c r="GB176" s="143"/>
      <c r="GC176" s="38"/>
      <c r="GD176" s="144"/>
      <c r="GE176" s="150"/>
      <c r="GF176" s="174"/>
      <c r="GG176" s="175"/>
      <c r="GH176" s="176"/>
      <c r="GI176" s="155"/>
      <c r="GJ176" s="148"/>
      <c r="GK176" s="33"/>
      <c r="GL176" s="155"/>
      <c r="GM176" s="148"/>
      <c r="GN176" s="33"/>
      <c r="GO176" s="33"/>
      <c r="GP176" s="143"/>
      <c r="GQ176" s="38"/>
      <c r="GR176" s="144"/>
      <c r="GS176" s="150"/>
      <c r="GT176" s="174"/>
      <c r="GU176" s="175"/>
      <c r="GV176" s="176"/>
      <c r="GW176" s="155"/>
      <c r="GX176" s="148"/>
      <c r="GY176" s="33"/>
      <c r="GZ176" s="155"/>
      <c r="HA176" s="148"/>
      <c r="HB176" s="33"/>
      <c r="HC176" s="33"/>
      <c r="HD176" s="143"/>
      <c r="HE176" s="38"/>
      <c r="HF176" s="144"/>
      <c r="HG176" s="150"/>
      <c r="HH176" s="174"/>
      <c r="HI176" s="175"/>
      <c r="HJ176" s="176"/>
      <c r="HK176" s="155"/>
      <c r="HL176" s="148"/>
      <c r="HM176" s="33"/>
      <c r="HN176" s="155"/>
      <c r="HO176" s="148"/>
      <c r="HP176" s="33"/>
      <c r="HQ176" s="33"/>
      <c r="HR176" s="143"/>
      <c r="HS176" s="38"/>
      <c r="HT176" s="144"/>
      <c r="HU176" s="150"/>
      <c r="HV176" s="174"/>
      <c r="HW176" s="175"/>
      <c r="HX176" s="176"/>
      <c r="HY176" s="155"/>
      <c r="HZ176" s="148"/>
      <c r="IA176" s="33"/>
      <c r="IB176" s="155"/>
      <c r="IC176" s="148"/>
      <c r="ID176" s="33"/>
      <c r="IE176" s="33"/>
      <c r="IF176" s="143"/>
      <c r="IG176" s="38"/>
      <c r="IH176" s="144"/>
      <c r="II176" s="150"/>
      <c r="IJ176" s="174"/>
      <c r="IK176" s="175"/>
      <c r="IL176" s="176"/>
      <c r="IM176" s="155"/>
      <c r="IN176" s="148"/>
      <c r="IO176" s="33"/>
      <c r="IP176" s="155"/>
      <c r="IQ176" s="148"/>
      <c r="IR176" s="33"/>
      <c r="IS176" s="33"/>
      <c r="IT176" s="143"/>
      <c r="IU176" s="38"/>
      <c r="IV176" s="144"/>
      <c r="IW176" s="143"/>
      <c r="IX176" s="38"/>
      <c r="IY176" s="144" t="e">
        <v>#REF!</v>
      </c>
    </row>
    <row r="177">
      <c r="A177" s="33"/>
      <c r="B177" s="181"/>
      <c r="C177" s="38" t="str">
        <f>IFERROR(__xludf.DUMMYFUNCTION("""COMPUTED_VALUE"""),"")</f>
        <v/>
      </c>
      <c r="D177" s="144">
        <v>46111.0</v>
      </c>
      <c r="E177" s="182"/>
      <c r="F177" s="168"/>
      <c r="G177" s="169"/>
      <c r="H177" s="170"/>
      <c r="I177" s="171" t="str">
        <f t="array" ref="I177">IFERROR(IF(C177="ac"+ISNUMBER(SEARCH("'",H177))+G177="","", MROUND(SWITCH(C177,"sq",'Personal Info'!$O$15,"bn",'Personal Info'!$S$15,"dl",'Personal Info'!$W$15,"")*IF(H177&gt;10, H177/100, VLOOKUP(H177, _rpe,SUBSTITUTE(G177,"+","")+1,0)), IF( SWITCH(C177:C210,"sq",'Personal Info'!$O$15,"bn",'Personal Info'!$S$15,"dl", 'Personal Info'!$W$15,"")&lt; IF(_uom="lbs", 175, 80), 1.25, IF(_uom="lbs",5,2.5)))),"")</f>
        <v/>
      </c>
      <c r="J177" s="148"/>
      <c r="K177" s="33"/>
      <c r="L177" s="171"/>
      <c r="M177" s="124" t="str">
        <f>IFERROR(__xludf.DUMMYFUNCTION("IF(I177=MAX(FILTER(I$10:I$199,LOOKUP(ROW(C$10:C$199),FILTER(ROW(C$10:C$199),C$10:C$199&lt;&gt;C$9:C$198))=LOOKUP(ROW(C177),FILTER(ROW(C$10:C$199),C$10:C$199&lt;&gt;C$9:C$198)))),J177,)"),"")</f>
        <v/>
      </c>
      <c r="N177" s="122"/>
      <c r="O177" s="33"/>
      <c r="P177" s="143" t="str">
        <f t="shared" si="12"/>
        <v/>
      </c>
      <c r="Q177" s="38" t="str">
        <f>IFERROR(__xludf.DUMMYFUNCTION("""COMPUTED_VALUE"""),"")</f>
        <v/>
      </c>
      <c r="R177" s="144">
        <v>46118.0</v>
      </c>
      <c r="S177" s="167" t="str">
        <f t="shared" si="13"/>
        <v/>
      </c>
      <c r="T177" s="168" t="str">
        <f t="shared" si="319"/>
        <v/>
      </c>
      <c r="U177" s="169" t="str">
        <f t="shared" si="320"/>
        <v/>
      </c>
      <c r="V177" s="172" t="str">
        <f t="shared" si="321"/>
        <v/>
      </c>
      <c r="W177" s="171" t="str">
        <f t="array" ref="W177">IFERROR(IF(Q177="ac"+ISNUMBER(SEARCH("'",V177))+U177="","", IF(ISNUMBER(SEARCH("lw",V177)), I177 + SUBSTITUTE(V177,"lw+",""), MROUND(SWITCH(Q177,"sq",U$7,"bn",V$7,"dl",W$7,"")*IF(V177&gt;10, V177/100, VLOOKUP(V177, _rpe,SUBSTITUTE(U177,"+","")+1,0)), IF( SWITCH(Q177,"sq",U$7,"bn",V$7,"dl", W$7,"")&lt; IF(_uom="lbs", 175, 80), 1.25, IF(_uom="lbs",5,2.5))))), "")</f>
        <v/>
      </c>
      <c r="X177" s="148"/>
      <c r="Y177" s="33"/>
      <c r="Z177" s="171"/>
      <c r="AA177" s="124" t="str">
        <f>IFERROR(__xludf.DUMMYFUNCTION("IF(W177=MAX(FILTER(W$10:W$199,LOOKUP(ROW(Q$10:Q$199),FILTER(ROW(Q$10:Q$199),Q$10:Q$199&lt;&gt;Q$9:Q$198))=LOOKUP(ROW(Q177),FILTER(ROW(Q$10:Q$199),Q$10:Q$199&lt;&gt;Q$9:Q$198)))),X177,)"),"")</f>
        <v/>
      </c>
      <c r="AB177" s="122"/>
      <c r="AC177" s="33"/>
      <c r="AD177" s="143" t="str">
        <f t="shared" si="14"/>
        <v/>
      </c>
      <c r="AE177" s="38" t="str">
        <f>IFERROR(__xludf.DUMMYFUNCTION("""COMPUTED_VALUE"""),"")</f>
        <v/>
      </c>
      <c r="AF177" s="144">
        <v>46125.0</v>
      </c>
      <c r="AG177" s="167" t="str">
        <f t="shared" si="54"/>
        <v/>
      </c>
      <c r="AH177" s="168" t="str">
        <f t="shared" si="322"/>
        <v/>
      </c>
      <c r="AI177" s="169" t="str">
        <f t="shared" si="323"/>
        <v/>
      </c>
      <c r="AJ177" s="172" t="str">
        <f t="shared" si="324"/>
        <v/>
      </c>
      <c r="AK177" s="171" t="str">
        <f t="array" ref="AK177">IFERROR(IF(AE177="ac"+ISNUMBER(SEARCH("'",AJ177))+AI177="","", IF(ISNUMBER(SEARCH("lw",AJ177)), W177 + SUBSTITUTE(AJ177,"lw+",""), MROUND(SWITCH(AE177,"sq",AI$7,"bn",AJ$7,"dl",AK$7,"")*IF(AJ177&gt;10, AJ177/100, VLOOKUP(AJ177, _rpe,SUBSTITUTE(AI177,"+","")+1,0)), IF( SWITCH(AE177,"sq",AI$7,"bn",AJ$7,"dl", AK$7,"")&lt; IF(_uom="lbs", 175, 80), 1.25, IF(_uom="lbs",5,2.5))))), "")</f>
        <v/>
      </c>
      <c r="AL177" s="148"/>
      <c r="AM177" s="33"/>
      <c r="AN177" s="171"/>
      <c r="AO177" s="124" t="str">
        <f>IFERROR(__xludf.DUMMYFUNCTION("IF(AK177=MAX(FILTER(AK$10:AK$199,LOOKUP(ROW(AE$10:AE$199),FILTER(ROW(AE$10:AE$199),AE$10:AE$199&lt;&gt;AE$9:AE$198))=LOOKUP(ROW(AE177),FILTER(ROW(AE$10:AE$199),AE$10:AE$199&lt;&gt;AE$9:AE$198)))),AL177,)"),"")</f>
        <v/>
      </c>
      <c r="AP177" s="122"/>
      <c r="AQ177" s="33"/>
      <c r="AR177" s="143" t="str">
        <f t="shared" si="16"/>
        <v/>
      </c>
      <c r="AS177" s="38" t="str">
        <f>IFERROR(__xludf.DUMMYFUNCTION("""COMPUTED_VALUE"""),"")</f>
        <v/>
      </c>
      <c r="AT177" s="144">
        <v>46132.0</v>
      </c>
      <c r="AU177" s="167" t="str">
        <f t="shared" si="26"/>
        <v/>
      </c>
      <c r="AV177" s="168" t="str">
        <f t="shared" si="325"/>
        <v/>
      </c>
      <c r="AW177" s="169" t="str">
        <f t="shared" si="326"/>
        <v/>
      </c>
      <c r="AX177" s="172" t="str">
        <f t="shared" si="327"/>
        <v/>
      </c>
      <c r="AY177" s="171" t="str">
        <f t="array" ref="AY177">IFERROR(IF(AS177="ac"+ISNUMBER(SEARCH("'",AX177))+AW177="","", IF(ISNUMBER(SEARCH("lw",AX177)), AK177 + SUBSTITUTE(AX177,"lw+",""), MROUND(SWITCH(AS177,"sq",AW$7,"bn",AX$7,"dl",AY$7,"")*IF(AX177&gt;10, AX177/100, VLOOKUP(AX177, _rpe,SUBSTITUTE(AW177,"+","")+1,0)), IF( SWITCH(AS177,"sq",AW$7,"bn",AX$7,"dl", AY$7,"")&lt; IF(_uom="lbs", 175, 80), 1.25, IF(_uom="lbs",5,2.5))))), "")</f>
        <v/>
      </c>
      <c r="AZ177" s="148"/>
      <c r="BA177" s="33"/>
      <c r="BB177" s="171"/>
      <c r="BC177" s="124" t="str">
        <f>IFERROR(__xludf.DUMMYFUNCTION("IF(AY177=MAX(FILTER(AY$10:AY$199,LOOKUP(ROW(AS$10:AS$199),FILTER(ROW(AS$10:AS$199),AS$10:AS$199&lt;&gt;AS$9:AS$198))=LOOKUP(ROW(AS177),FILTER(ROW(AS$10:AS$199),AS$10:AS$199&lt;&gt;AS$9:AS$198)))),AZ177,)"),"")</f>
        <v/>
      </c>
      <c r="BD177" s="122"/>
      <c r="BE177" s="33"/>
      <c r="BF177" s="143" t="str">
        <f t="shared" si="17"/>
        <v/>
      </c>
      <c r="BG177" s="38" t="str">
        <f>IFERROR(__xludf.DUMMYFUNCTION("""COMPUTED_VALUE"""),"")</f>
        <v/>
      </c>
      <c r="BH177" s="144">
        <v>46139.0</v>
      </c>
      <c r="BI177" s="167" t="str">
        <f t="shared" si="18"/>
        <v/>
      </c>
      <c r="BJ177" s="168" t="str">
        <f t="shared" si="328"/>
        <v/>
      </c>
      <c r="BK177" s="169" t="str">
        <f t="shared" si="329"/>
        <v/>
      </c>
      <c r="BL177" s="172" t="str">
        <f t="shared" si="330"/>
        <v/>
      </c>
      <c r="BM177" s="171" t="str">
        <f t="array" ref="BM177">IFERROR(IF(BG177="ac"+ISNUMBER(SEARCH("'",BL177))+BK177="","", IF(ISNUMBER(SEARCH("lw",BL177)), AY177 + SUBSTITUTE(BL177,"lw+",""), MROUND(SWITCH(BG177,"sq",BK$7,"bn",BL$7,"dl",BM$7,"")*IF(BL177&gt;10, BL177/100, VLOOKUP(BL177, _rpe,SUBSTITUTE(BK177,"+","")+1,0)), IF( SWITCH(BG177,"sq",BK$7,"bn",BL$7,"dl", BM$7,"")&lt; IF(_uom="lbs", 175, 80), 1.25, IF(_uom="lbs",5,2.5))))), "")</f>
        <v/>
      </c>
      <c r="BN177" s="148"/>
      <c r="BO177" s="33"/>
      <c r="BP177" s="171"/>
      <c r="BQ177" s="124" t="str">
        <f>IFERROR(__xludf.DUMMYFUNCTION("IF(BM177=MAX(FILTER(BM$10:BM$199,LOOKUP(ROW(BG$10:BG$199),FILTER(ROW(BG$10:BG$199),BG$10:BG$199&lt;&gt;BG$9:BG$198))=LOOKUP(ROW(BG177),FILTER(ROW(BG$10:BG$199),BG$10:BG$199&lt;&gt;BG$9:BG$198)))),BN177,)"),"")</f>
        <v/>
      </c>
      <c r="BR177" s="122"/>
      <c r="BS177" s="33"/>
      <c r="BT177" s="143" t="str">
        <f t="shared" si="19"/>
        <v/>
      </c>
      <c r="BU177" s="38" t="str">
        <f>IFERROR(__xludf.DUMMYFUNCTION("""COMPUTED_VALUE"""),"")</f>
        <v/>
      </c>
      <c r="BV177" s="144">
        <v>46146.0</v>
      </c>
      <c r="BW177" s="167" t="str">
        <f t="shared" si="20"/>
        <v/>
      </c>
      <c r="BX177" s="168" t="str">
        <f t="shared" si="331"/>
        <v/>
      </c>
      <c r="BY177" s="169" t="str">
        <f t="shared" si="332"/>
        <v/>
      </c>
      <c r="BZ177" s="172" t="str">
        <f t="shared" si="333"/>
        <v/>
      </c>
      <c r="CA177" s="171" t="str">
        <f t="array" ref="CA177">IFERROR(IF(BU177="ac"+ISNUMBER(SEARCH("'",BZ177))+BY177="","", IF(ISNUMBER(SEARCH("lw",BZ177)), BM177 + SUBSTITUTE(BZ177,"lw+",""), MROUND(SWITCH(BU177,"sq",BY$7,"bn",BZ$7,"dl",CA$7,"")*IF(BZ177&gt;10, BZ177/100, VLOOKUP(BZ177, _rpe,SUBSTITUTE(BY177,"+","")+1,0)), IF( SWITCH(BU177,"sq",BY$7,"bn",BZ$7,"dl", CA$7,"")&lt; IF(_uom="lbs", 175, 80), 1.25, IF(_uom="lbs",5,2.5))))), "")</f>
        <v/>
      </c>
      <c r="CB177" s="148"/>
      <c r="CC177" s="33"/>
      <c r="CD177" s="171"/>
      <c r="CE177" s="124" t="str">
        <f>IFERROR(__xludf.DUMMYFUNCTION("IF(CA177=MAX(FILTER(CA$10:CA$199,LOOKUP(ROW(BU$10:BU$199),FILTER(ROW(BU$10:BU$199),BU$10:BU$199&lt;&gt;BU$9:BU$198))=LOOKUP(ROW(BU177),FILTER(ROW(BU$10:BU$199),BU$10:BU$199&lt;&gt;BU$9:BU$198)))),CB177,)"),"")</f>
        <v/>
      </c>
      <c r="CF177" s="122"/>
      <c r="CG177" s="33"/>
      <c r="CH177" s="143" t="str">
        <f t="shared" si="21"/>
        <v/>
      </c>
      <c r="CI177" s="38" t="str">
        <f>IFERROR(__xludf.DUMMYFUNCTION("""COMPUTED_VALUE"""),"")</f>
        <v/>
      </c>
      <c r="CJ177" s="144">
        <v>46153.0</v>
      </c>
      <c r="CK177" s="167" t="str">
        <f t="shared" si="27"/>
        <v/>
      </c>
      <c r="CL177" s="168" t="str">
        <f t="shared" si="334"/>
        <v/>
      </c>
      <c r="CM177" s="169" t="str">
        <f t="shared" si="335"/>
        <v/>
      </c>
      <c r="CN177" s="172" t="str">
        <f t="shared" si="336"/>
        <v/>
      </c>
      <c r="CO177" s="171" t="str">
        <f t="array" ref="CO177">IFERROR(IF(CI177="ac"+ISNUMBER(SEARCH("'",CN177))+CM177="","", IF(ISNUMBER(SEARCH("lw",CN177)), CA177 + SUBSTITUTE(CN177,"lw+",""), MROUND(SWITCH(CI177,"sq",CM$7,"bn",CN$7,"dl",CO$7,"")*IF(CN177&gt;10, CN177/100, VLOOKUP(CN177, _rpe,SUBSTITUTE(CM177,"+","")+1,0)), IF( SWITCH(CI177,"sq",CM$7,"bn",CN$7,"dl", CO$7,"")&lt; IF(_uom="lbs", 175, 80), 1.25, IF(_uom="lbs",5,2.5))))), "")</f>
        <v/>
      </c>
      <c r="CP177" s="148"/>
      <c r="CQ177" s="33"/>
      <c r="CR177" s="171"/>
      <c r="CS177" s="124" t="str">
        <f>IFERROR(__xludf.DUMMYFUNCTION("IF(CO177=MAX(FILTER(CO$10:CO$199,LOOKUP(ROW(CI$10:CI$199),FILTER(ROW(CI$10:CI$199),CI$10:CI$199&lt;&gt;CI$9:CI$198))=LOOKUP(ROW(CI177),FILTER(ROW(CI$10:CI$199),CI$10:CI$199&lt;&gt;CI$9:CI$198)))),CP177,)"),"")</f>
        <v/>
      </c>
      <c r="CT177" s="122"/>
      <c r="CU177" s="33"/>
      <c r="CV177" s="143" t="str">
        <f t="shared" si="22"/>
        <v/>
      </c>
      <c r="CW177" s="38" t="str">
        <f>IFERROR(__xludf.DUMMYFUNCTION("""COMPUTED_VALUE"""),"")</f>
        <v/>
      </c>
      <c r="CX177" s="144">
        <v>46160.0</v>
      </c>
      <c r="CY177" s="167" t="str">
        <f t="shared" si="28"/>
        <v/>
      </c>
      <c r="CZ177" s="168" t="str">
        <f t="shared" si="337"/>
        <v/>
      </c>
      <c r="DA177" s="169" t="str">
        <f t="shared" si="338"/>
        <v/>
      </c>
      <c r="DB177" s="172" t="str">
        <f t="shared" si="339"/>
        <v/>
      </c>
      <c r="DC177" s="171" t="str">
        <f t="array" ref="DC177">IFERROR(IF(CW177="ac"+ISNUMBER(SEARCH("'",DB177))+DA177="","", IF(ISNUMBER(SEARCH("lw",DB177)), CO177 + SUBSTITUTE(DB177,"lw+",""), MROUND(SWITCH(CW177,"sq",DA$7,"bn",DB$7,"dl",DC$7,"")*IF(DB177&gt;10, DB177/100, VLOOKUP(DB177, _rpe,SUBSTITUTE(DA177,"+","")+1,0)), IF( SWITCH(CW177,"sq",DA$7,"bn",DB$7,"dl", DC$7,"")&lt; IF(_uom="lbs", 175, 80), 1.25, IF(_uom="lbs",5,2.5))))), "")</f>
        <v/>
      </c>
      <c r="DD177" s="148"/>
      <c r="DE177" s="33"/>
      <c r="DF177" s="171"/>
      <c r="DG177" s="124" t="str">
        <f>IFERROR(__xludf.DUMMYFUNCTION("IF(DC177=MAX(FILTER(DC$10:DC$199,LOOKUP(ROW(CW$10:CW$199),FILTER(ROW(CW$10:CW$199),CW$10:CW$199&lt;&gt;CW$9:CW$198))=LOOKUP(ROW(CW177),FILTER(ROW(CW$10:CW$199),CW$10:CW$199&lt;&gt;CW$9:CW$198)))),DD177,)"),"")</f>
        <v/>
      </c>
      <c r="DH177" s="122"/>
      <c r="DI177" s="33"/>
      <c r="DJ177" s="143" t="str">
        <f t="shared" si="23"/>
        <v/>
      </c>
      <c r="DK177" s="38" t="str">
        <f>IFERROR(__xludf.DUMMYFUNCTION("""COMPUTED_VALUE"""),"")</f>
        <v/>
      </c>
      <c r="DL177" s="144">
        <v>46167.0</v>
      </c>
      <c r="DM177" s="167" t="str">
        <f t="shared" ref="DM177:DN177" si="429">IF(ISBLANK(CY177),"",CY177)</f>
        <v/>
      </c>
      <c r="DN177" s="168" t="str">
        <f t="shared" si="429"/>
        <v/>
      </c>
      <c r="DO177" s="169" t="str">
        <f t="shared" si="341"/>
        <v/>
      </c>
      <c r="DP177" s="172" t="str">
        <f t="shared" si="342"/>
        <v/>
      </c>
      <c r="DQ177" s="171" t="str">
        <f t="array" ref="DQ177">IFERROR(IF(DK177="ac"+ISNUMBER(SEARCH("'",DP177))+DO177="","", IF(ISNUMBER(SEARCH("lw",DP177)), DC177 + SUBSTITUTE(DP177,"lw+",""), MROUND(SWITCH(DK177,"sq",DO$7,"bn",DP$7,"dl",DQ$7,"")*IF(DP177&gt;10, DP177/100, VLOOKUP(DP177, _rpe,SUBSTITUTE(DO177,"+","")+1,0)), IF( SWITCH(DK177,"sq",DO$7,"bn",DP$7,"dl", DQ$7,"")&lt; IF(_uom="lbs", 175, 80), 1.25, IF(_uom="lbs",5,2.5))))), "")</f>
        <v/>
      </c>
      <c r="DR177" s="148"/>
      <c r="DS177" s="33"/>
      <c r="DT177" s="171"/>
      <c r="DU177" s="124" t="str">
        <f>IFERROR(__xludf.DUMMYFUNCTION("IF(DQ177=MAX(FILTER(DQ$10:DQ$199,LOOKUP(ROW(DK$10:DK$199),FILTER(ROW(DK$10:DK$199),DK$10:DK$199&lt;&gt;DK$9:DK$198))=LOOKUP(ROW(DK177),FILTER(ROW(DK$10:DK$199),DK$10:DK$199&lt;&gt;DK$9:DK$198)))),DR177,)"),"")</f>
        <v/>
      </c>
      <c r="DV177" s="122"/>
      <c r="DW177" s="33"/>
      <c r="DX177" s="143"/>
      <c r="DY177" s="38"/>
      <c r="DZ177" s="144"/>
      <c r="EA177" s="150"/>
      <c r="EB177" s="174"/>
      <c r="EC177" s="175"/>
      <c r="ED177" s="176"/>
      <c r="EE177" s="155"/>
      <c r="EF177" s="148"/>
      <c r="EG177" s="33"/>
      <c r="EH177" s="155"/>
      <c r="EI177" s="148"/>
      <c r="EJ177" s="33"/>
      <c r="EK177" s="33"/>
      <c r="EL177" s="143"/>
      <c r="EM177" s="38"/>
      <c r="EN177" s="144"/>
      <c r="EO177" s="150"/>
      <c r="EP177" s="174"/>
      <c r="EQ177" s="175"/>
      <c r="ER177" s="176"/>
      <c r="ES177" s="155"/>
      <c r="ET177" s="148"/>
      <c r="EU177" s="33"/>
      <c r="EV177" s="155"/>
      <c r="EW177" s="148"/>
      <c r="EX177" s="33"/>
      <c r="EY177" s="33"/>
      <c r="EZ177" s="143"/>
      <c r="FA177" s="38"/>
      <c r="FB177" s="144"/>
      <c r="FC177" s="150"/>
      <c r="FD177" s="174"/>
      <c r="FE177" s="175"/>
      <c r="FF177" s="176"/>
      <c r="FG177" s="155"/>
      <c r="FH177" s="148"/>
      <c r="FI177" s="33"/>
      <c r="FJ177" s="155"/>
      <c r="FK177" s="148"/>
      <c r="FL177" s="33"/>
      <c r="FM177" s="33"/>
      <c r="FN177" s="143"/>
      <c r="FO177" s="38"/>
      <c r="FP177" s="144"/>
      <c r="FQ177" s="150"/>
      <c r="FR177" s="174"/>
      <c r="FS177" s="175"/>
      <c r="FT177" s="176"/>
      <c r="FU177" s="155"/>
      <c r="FV177" s="148"/>
      <c r="FW177" s="33"/>
      <c r="FX177" s="155"/>
      <c r="FY177" s="148"/>
      <c r="FZ177" s="33"/>
      <c r="GA177" s="33"/>
      <c r="GB177" s="143"/>
      <c r="GC177" s="38"/>
      <c r="GD177" s="144"/>
      <c r="GE177" s="150"/>
      <c r="GF177" s="174"/>
      <c r="GG177" s="175"/>
      <c r="GH177" s="176"/>
      <c r="GI177" s="155"/>
      <c r="GJ177" s="148"/>
      <c r="GK177" s="33"/>
      <c r="GL177" s="155"/>
      <c r="GM177" s="148"/>
      <c r="GN177" s="33"/>
      <c r="GO177" s="33"/>
      <c r="GP177" s="143"/>
      <c r="GQ177" s="38"/>
      <c r="GR177" s="144"/>
      <c r="GS177" s="150"/>
      <c r="GT177" s="174"/>
      <c r="GU177" s="175"/>
      <c r="GV177" s="176"/>
      <c r="GW177" s="155"/>
      <c r="GX177" s="148"/>
      <c r="GY177" s="33"/>
      <c r="GZ177" s="155"/>
      <c r="HA177" s="148"/>
      <c r="HB177" s="33"/>
      <c r="HC177" s="33"/>
      <c r="HD177" s="143"/>
      <c r="HE177" s="38"/>
      <c r="HF177" s="144"/>
      <c r="HG177" s="150"/>
      <c r="HH177" s="174"/>
      <c r="HI177" s="175"/>
      <c r="HJ177" s="176"/>
      <c r="HK177" s="155"/>
      <c r="HL177" s="148"/>
      <c r="HM177" s="33"/>
      <c r="HN177" s="155"/>
      <c r="HO177" s="148"/>
      <c r="HP177" s="33"/>
      <c r="HQ177" s="33"/>
      <c r="HR177" s="143"/>
      <c r="HS177" s="38"/>
      <c r="HT177" s="144"/>
      <c r="HU177" s="150"/>
      <c r="HV177" s="174"/>
      <c r="HW177" s="175"/>
      <c r="HX177" s="176"/>
      <c r="HY177" s="155"/>
      <c r="HZ177" s="148"/>
      <c r="IA177" s="33"/>
      <c r="IB177" s="155"/>
      <c r="IC177" s="148"/>
      <c r="ID177" s="33"/>
      <c r="IE177" s="33"/>
      <c r="IF177" s="143"/>
      <c r="IG177" s="38"/>
      <c r="IH177" s="144"/>
      <c r="II177" s="150"/>
      <c r="IJ177" s="174"/>
      <c r="IK177" s="175"/>
      <c r="IL177" s="176"/>
      <c r="IM177" s="155"/>
      <c r="IN177" s="148"/>
      <c r="IO177" s="33"/>
      <c r="IP177" s="155"/>
      <c r="IQ177" s="148"/>
      <c r="IR177" s="33"/>
      <c r="IS177" s="33"/>
      <c r="IT177" s="143"/>
      <c r="IU177" s="38"/>
      <c r="IV177" s="144"/>
      <c r="IW177" s="143"/>
      <c r="IX177" s="38"/>
      <c r="IY177" s="144" t="e">
        <v>#REF!</v>
      </c>
    </row>
    <row r="178">
      <c r="A178" s="33"/>
      <c r="B178" s="181"/>
      <c r="C178" s="38" t="str">
        <f>IFERROR(__xludf.DUMMYFUNCTION("""COMPUTED_VALUE"""),"")</f>
        <v/>
      </c>
      <c r="D178" s="144">
        <v>46111.0</v>
      </c>
      <c r="E178" s="182"/>
      <c r="F178" s="168"/>
      <c r="G178" s="169"/>
      <c r="H178" s="170"/>
      <c r="I178" s="171" t="str">
        <f t="array" ref="I178">IFERROR(IF(C178="ac"+ISNUMBER(SEARCH("'",H178))+G178="","", MROUND(SWITCH(C178,"sq",'Personal Info'!$O$15,"bn",'Personal Info'!$S$15,"dl",'Personal Info'!$W$15,"")*IF(H178&gt;10, H178/100, VLOOKUP(H178, _rpe,SUBSTITUTE(G178,"+","")+1,0)), IF( SWITCH(C178:C210,"sq",'Personal Info'!$O$15,"bn",'Personal Info'!$S$15,"dl", 'Personal Info'!$W$15,"")&lt; IF(_uom="lbs", 175, 80), 1.25, IF(_uom="lbs",5,2.5)))),"")</f>
        <v/>
      </c>
      <c r="J178" s="148"/>
      <c r="K178" s="33"/>
      <c r="L178" s="171"/>
      <c r="M178" s="124" t="str">
        <f>IFERROR(__xludf.DUMMYFUNCTION("IF(I178=MAX(FILTER(I$10:I$199,LOOKUP(ROW(C$10:C$199),FILTER(ROW(C$10:C$199),C$10:C$199&lt;&gt;C$9:C$198))=LOOKUP(ROW(C178),FILTER(ROW(C$10:C$199),C$10:C$199&lt;&gt;C$9:C$198)))),J178,)"),"")</f>
        <v/>
      </c>
      <c r="N178" s="122"/>
      <c r="O178" s="33"/>
      <c r="P178" s="143" t="str">
        <f t="shared" si="12"/>
        <v/>
      </c>
      <c r="Q178" s="38" t="str">
        <f>IFERROR(__xludf.DUMMYFUNCTION("""COMPUTED_VALUE"""),"")</f>
        <v/>
      </c>
      <c r="R178" s="144">
        <v>46118.0</v>
      </c>
      <c r="S178" s="167" t="str">
        <f t="shared" si="13"/>
        <v/>
      </c>
      <c r="T178" s="168" t="str">
        <f t="shared" si="319"/>
        <v/>
      </c>
      <c r="U178" s="169" t="str">
        <f t="shared" si="320"/>
        <v/>
      </c>
      <c r="V178" s="172" t="str">
        <f t="shared" si="321"/>
        <v/>
      </c>
      <c r="W178" s="171" t="str">
        <f t="array" ref="W178">IFERROR(IF(Q178="ac"+ISNUMBER(SEARCH("'",V178))+U178="","", IF(ISNUMBER(SEARCH("lw",V178)), I178 + SUBSTITUTE(V178,"lw+",""), MROUND(SWITCH(Q178,"sq",U$7,"bn",V$7,"dl",W$7,"")*IF(V178&gt;10, V178/100, VLOOKUP(V178, _rpe,SUBSTITUTE(U178,"+","")+1,0)), IF( SWITCH(Q178,"sq",U$7,"bn",V$7,"dl", W$7,"")&lt; IF(_uom="lbs", 175, 80), 1.25, IF(_uom="lbs",5,2.5))))), "")</f>
        <v/>
      </c>
      <c r="X178" s="148"/>
      <c r="Y178" s="33"/>
      <c r="Z178" s="171"/>
      <c r="AA178" s="124" t="str">
        <f>IFERROR(__xludf.DUMMYFUNCTION("IF(W178=MAX(FILTER(W$10:W$199,LOOKUP(ROW(Q$10:Q$199),FILTER(ROW(Q$10:Q$199),Q$10:Q$199&lt;&gt;Q$9:Q$198))=LOOKUP(ROW(Q178),FILTER(ROW(Q$10:Q$199),Q$10:Q$199&lt;&gt;Q$9:Q$198)))),X178,)"),"")</f>
        <v/>
      </c>
      <c r="AB178" s="122"/>
      <c r="AC178" s="33"/>
      <c r="AD178" s="143" t="str">
        <f t="shared" si="14"/>
        <v/>
      </c>
      <c r="AE178" s="38" t="str">
        <f>IFERROR(__xludf.DUMMYFUNCTION("""COMPUTED_VALUE"""),"")</f>
        <v/>
      </c>
      <c r="AF178" s="144">
        <v>46125.0</v>
      </c>
      <c r="AG178" s="167" t="str">
        <f t="shared" si="54"/>
        <v/>
      </c>
      <c r="AH178" s="168" t="str">
        <f t="shared" si="322"/>
        <v/>
      </c>
      <c r="AI178" s="169" t="str">
        <f t="shared" si="323"/>
        <v/>
      </c>
      <c r="AJ178" s="172" t="str">
        <f t="shared" si="324"/>
        <v/>
      </c>
      <c r="AK178" s="171" t="str">
        <f t="array" ref="AK178">IFERROR(IF(AE178="ac"+ISNUMBER(SEARCH("'",AJ178))+AI178="","", IF(ISNUMBER(SEARCH("lw",AJ178)), W178 + SUBSTITUTE(AJ178,"lw+",""), MROUND(SWITCH(AE178,"sq",AI$7,"bn",AJ$7,"dl",AK$7,"")*IF(AJ178&gt;10, AJ178/100, VLOOKUP(AJ178, _rpe,SUBSTITUTE(AI178,"+","")+1,0)), IF( SWITCH(AE178,"sq",AI$7,"bn",AJ$7,"dl", AK$7,"")&lt; IF(_uom="lbs", 175, 80), 1.25, IF(_uom="lbs",5,2.5))))), "")</f>
        <v/>
      </c>
      <c r="AL178" s="148"/>
      <c r="AM178" s="33"/>
      <c r="AN178" s="171"/>
      <c r="AO178" s="124" t="str">
        <f>IFERROR(__xludf.DUMMYFUNCTION("IF(AK178=MAX(FILTER(AK$10:AK$199,LOOKUP(ROW(AE$10:AE$199),FILTER(ROW(AE$10:AE$199),AE$10:AE$199&lt;&gt;AE$9:AE$198))=LOOKUP(ROW(AE178),FILTER(ROW(AE$10:AE$199),AE$10:AE$199&lt;&gt;AE$9:AE$198)))),AL178,)"),"")</f>
        <v/>
      </c>
      <c r="AP178" s="122"/>
      <c r="AQ178" s="33"/>
      <c r="AR178" s="143" t="str">
        <f t="shared" si="16"/>
        <v/>
      </c>
      <c r="AS178" s="38" t="str">
        <f>IFERROR(__xludf.DUMMYFUNCTION("""COMPUTED_VALUE"""),"")</f>
        <v/>
      </c>
      <c r="AT178" s="144">
        <v>46132.0</v>
      </c>
      <c r="AU178" s="167" t="str">
        <f t="shared" si="26"/>
        <v/>
      </c>
      <c r="AV178" s="168" t="str">
        <f t="shared" si="325"/>
        <v/>
      </c>
      <c r="AW178" s="169" t="str">
        <f t="shared" si="326"/>
        <v/>
      </c>
      <c r="AX178" s="172" t="str">
        <f t="shared" si="327"/>
        <v/>
      </c>
      <c r="AY178" s="171" t="str">
        <f t="array" ref="AY178">IFERROR(IF(AS178="ac"+ISNUMBER(SEARCH("'",AX178))+AW178="","", IF(ISNUMBER(SEARCH("lw",AX178)), AK178 + SUBSTITUTE(AX178,"lw+",""), MROUND(SWITCH(AS178,"sq",AW$7,"bn",AX$7,"dl",AY$7,"")*IF(AX178&gt;10, AX178/100, VLOOKUP(AX178, _rpe,SUBSTITUTE(AW178,"+","")+1,0)), IF( SWITCH(AS178,"sq",AW$7,"bn",AX$7,"dl", AY$7,"")&lt; IF(_uom="lbs", 175, 80), 1.25, IF(_uom="lbs",5,2.5))))), "")</f>
        <v/>
      </c>
      <c r="AZ178" s="148"/>
      <c r="BA178" s="33"/>
      <c r="BB178" s="171"/>
      <c r="BC178" s="124" t="str">
        <f>IFERROR(__xludf.DUMMYFUNCTION("IF(AY178=MAX(FILTER(AY$10:AY$199,LOOKUP(ROW(AS$10:AS$199),FILTER(ROW(AS$10:AS$199),AS$10:AS$199&lt;&gt;AS$9:AS$198))=LOOKUP(ROW(AS178),FILTER(ROW(AS$10:AS$199),AS$10:AS$199&lt;&gt;AS$9:AS$198)))),AZ178,)"),"")</f>
        <v/>
      </c>
      <c r="BD178" s="122"/>
      <c r="BE178" s="33"/>
      <c r="BF178" s="143" t="str">
        <f t="shared" si="17"/>
        <v/>
      </c>
      <c r="BG178" s="38" t="str">
        <f>IFERROR(__xludf.DUMMYFUNCTION("""COMPUTED_VALUE"""),"")</f>
        <v/>
      </c>
      <c r="BH178" s="144">
        <v>46139.0</v>
      </c>
      <c r="BI178" s="167" t="str">
        <f t="shared" si="18"/>
        <v/>
      </c>
      <c r="BJ178" s="168" t="str">
        <f t="shared" si="328"/>
        <v/>
      </c>
      <c r="BK178" s="169" t="str">
        <f t="shared" si="329"/>
        <v/>
      </c>
      <c r="BL178" s="172" t="str">
        <f t="shared" si="330"/>
        <v/>
      </c>
      <c r="BM178" s="171" t="str">
        <f t="array" ref="BM178">IFERROR(IF(BG178="ac"+ISNUMBER(SEARCH("'",BL178))+BK178="","", IF(ISNUMBER(SEARCH("lw",BL178)), AY178 + SUBSTITUTE(BL178,"lw+",""), MROUND(SWITCH(BG178,"sq",BK$7,"bn",BL$7,"dl",BM$7,"")*IF(BL178&gt;10, BL178/100, VLOOKUP(BL178, _rpe,SUBSTITUTE(BK178,"+","")+1,0)), IF( SWITCH(BG178,"sq",BK$7,"bn",BL$7,"dl", BM$7,"")&lt; IF(_uom="lbs", 175, 80), 1.25, IF(_uom="lbs",5,2.5))))), "")</f>
        <v/>
      </c>
      <c r="BN178" s="148"/>
      <c r="BO178" s="33"/>
      <c r="BP178" s="171"/>
      <c r="BQ178" s="124" t="str">
        <f>IFERROR(__xludf.DUMMYFUNCTION("IF(BM178=MAX(FILTER(BM$10:BM$199,LOOKUP(ROW(BG$10:BG$199),FILTER(ROW(BG$10:BG$199),BG$10:BG$199&lt;&gt;BG$9:BG$198))=LOOKUP(ROW(BG178),FILTER(ROW(BG$10:BG$199),BG$10:BG$199&lt;&gt;BG$9:BG$198)))),BN178,)"),"")</f>
        <v/>
      </c>
      <c r="BR178" s="122"/>
      <c r="BS178" s="33"/>
      <c r="BT178" s="143" t="str">
        <f t="shared" si="19"/>
        <v/>
      </c>
      <c r="BU178" s="38" t="str">
        <f>IFERROR(__xludf.DUMMYFUNCTION("""COMPUTED_VALUE"""),"")</f>
        <v/>
      </c>
      <c r="BV178" s="144">
        <v>46146.0</v>
      </c>
      <c r="BW178" s="167" t="str">
        <f t="shared" si="20"/>
        <v/>
      </c>
      <c r="BX178" s="168" t="str">
        <f t="shared" si="331"/>
        <v/>
      </c>
      <c r="BY178" s="169" t="str">
        <f t="shared" si="332"/>
        <v/>
      </c>
      <c r="BZ178" s="172" t="str">
        <f t="shared" si="333"/>
        <v/>
      </c>
      <c r="CA178" s="171" t="str">
        <f t="array" ref="CA178">IFERROR(IF(BU178="ac"+ISNUMBER(SEARCH("'",BZ178))+BY178="","", IF(ISNUMBER(SEARCH("lw",BZ178)), BM178 + SUBSTITUTE(BZ178,"lw+",""), MROUND(SWITCH(BU178,"sq",BY$7,"bn",BZ$7,"dl",CA$7,"")*IF(BZ178&gt;10, BZ178/100, VLOOKUP(BZ178, _rpe,SUBSTITUTE(BY178,"+","")+1,0)), IF( SWITCH(BU178,"sq",BY$7,"bn",BZ$7,"dl", CA$7,"")&lt; IF(_uom="lbs", 175, 80), 1.25, IF(_uom="lbs",5,2.5))))), "")</f>
        <v/>
      </c>
      <c r="CB178" s="148"/>
      <c r="CC178" s="33"/>
      <c r="CD178" s="171"/>
      <c r="CE178" s="124" t="str">
        <f>IFERROR(__xludf.DUMMYFUNCTION("IF(CA178=MAX(FILTER(CA$10:CA$199,LOOKUP(ROW(BU$10:BU$199),FILTER(ROW(BU$10:BU$199),BU$10:BU$199&lt;&gt;BU$9:BU$198))=LOOKUP(ROW(BU178),FILTER(ROW(BU$10:BU$199),BU$10:BU$199&lt;&gt;BU$9:BU$198)))),CB178,)"),"")</f>
        <v/>
      </c>
      <c r="CF178" s="122"/>
      <c r="CG178" s="33"/>
      <c r="CH178" s="143" t="str">
        <f t="shared" si="21"/>
        <v/>
      </c>
      <c r="CI178" s="38" t="str">
        <f>IFERROR(__xludf.DUMMYFUNCTION("""COMPUTED_VALUE"""),"")</f>
        <v/>
      </c>
      <c r="CJ178" s="144">
        <v>46153.0</v>
      </c>
      <c r="CK178" s="167" t="str">
        <f t="shared" si="27"/>
        <v/>
      </c>
      <c r="CL178" s="168" t="str">
        <f t="shared" si="334"/>
        <v/>
      </c>
      <c r="CM178" s="169" t="str">
        <f t="shared" si="335"/>
        <v/>
      </c>
      <c r="CN178" s="172" t="str">
        <f t="shared" si="336"/>
        <v/>
      </c>
      <c r="CO178" s="171" t="str">
        <f t="array" ref="CO178">IFERROR(IF(CI178="ac"+ISNUMBER(SEARCH("'",CN178))+CM178="","", IF(ISNUMBER(SEARCH("lw",CN178)), CA178 + SUBSTITUTE(CN178,"lw+",""), MROUND(SWITCH(CI178,"sq",CM$7,"bn",CN$7,"dl",CO$7,"")*IF(CN178&gt;10, CN178/100, VLOOKUP(CN178, _rpe,SUBSTITUTE(CM178,"+","")+1,0)), IF( SWITCH(CI178,"sq",CM$7,"bn",CN$7,"dl", CO$7,"")&lt; IF(_uom="lbs", 175, 80), 1.25, IF(_uom="lbs",5,2.5))))), "")</f>
        <v/>
      </c>
      <c r="CP178" s="148"/>
      <c r="CQ178" s="33"/>
      <c r="CR178" s="171"/>
      <c r="CS178" s="124" t="str">
        <f>IFERROR(__xludf.DUMMYFUNCTION("IF(CO178=MAX(FILTER(CO$10:CO$199,LOOKUP(ROW(CI$10:CI$199),FILTER(ROW(CI$10:CI$199),CI$10:CI$199&lt;&gt;CI$9:CI$198))=LOOKUP(ROW(CI178),FILTER(ROW(CI$10:CI$199),CI$10:CI$199&lt;&gt;CI$9:CI$198)))),CP178,)"),"")</f>
        <v/>
      </c>
      <c r="CT178" s="122"/>
      <c r="CU178" s="33"/>
      <c r="CV178" s="143" t="str">
        <f t="shared" si="22"/>
        <v/>
      </c>
      <c r="CW178" s="38" t="str">
        <f>IFERROR(__xludf.DUMMYFUNCTION("""COMPUTED_VALUE"""),"")</f>
        <v/>
      </c>
      <c r="CX178" s="144">
        <v>46160.0</v>
      </c>
      <c r="CY178" s="167" t="str">
        <f t="shared" si="28"/>
        <v/>
      </c>
      <c r="CZ178" s="168" t="str">
        <f t="shared" si="337"/>
        <v/>
      </c>
      <c r="DA178" s="169" t="str">
        <f t="shared" si="338"/>
        <v/>
      </c>
      <c r="DB178" s="172" t="str">
        <f t="shared" si="339"/>
        <v/>
      </c>
      <c r="DC178" s="171" t="str">
        <f t="array" ref="DC178">IFERROR(IF(CW178="ac"+ISNUMBER(SEARCH("'",DB178))+DA178="","", IF(ISNUMBER(SEARCH("lw",DB178)), CO178 + SUBSTITUTE(DB178,"lw+",""), MROUND(SWITCH(CW178,"sq",DA$7,"bn",DB$7,"dl",DC$7,"")*IF(DB178&gt;10, DB178/100, VLOOKUP(DB178, _rpe,SUBSTITUTE(DA178,"+","")+1,0)), IF( SWITCH(CW178,"sq",DA$7,"bn",DB$7,"dl", DC$7,"")&lt; IF(_uom="lbs", 175, 80), 1.25, IF(_uom="lbs",5,2.5))))), "")</f>
        <v/>
      </c>
      <c r="DD178" s="148"/>
      <c r="DE178" s="33"/>
      <c r="DF178" s="171"/>
      <c r="DG178" s="124" t="str">
        <f>IFERROR(__xludf.DUMMYFUNCTION("IF(DC178=MAX(FILTER(DC$10:DC$199,LOOKUP(ROW(CW$10:CW$199),FILTER(ROW(CW$10:CW$199),CW$10:CW$199&lt;&gt;CW$9:CW$198))=LOOKUP(ROW(CW178),FILTER(ROW(CW$10:CW$199),CW$10:CW$199&lt;&gt;CW$9:CW$198)))),DD178,)"),"")</f>
        <v/>
      </c>
      <c r="DH178" s="122"/>
      <c r="DI178" s="33"/>
      <c r="DJ178" s="143" t="str">
        <f t="shared" si="23"/>
        <v/>
      </c>
      <c r="DK178" s="38" t="str">
        <f>IFERROR(__xludf.DUMMYFUNCTION("""COMPUTED_VALUE"""),"")</f>
        <v/>
      </c>
      <c r="DL178" s="144">
        <v>46167.0</v>
      </c>
      <c r="DM178" s="167" t="str">
        <f t="shared" ref="DM178:DN178" si="430">IF(ISBLANK(CY178),"",CY178)</f>
        <v/>
      </c>
      <c r="DN178" s="168" t="str">
        <f t="shared" si="430"/>
        <v/>
      </c>
      <c r="DO178" s="169" t="str">
        <f t="shared" si="341"/>
        <v/>
      </c>
      <c r="DP178" s="172" t="str">
        <f t="shared" si="342"/>
        <v/>
      </c>
      <c r="DQ178" s="171" t="str">
        <f t="array" ref="DQ178">IFERROR(IF(DK178="ac"+ISNUMBER(SEARCH("'",DP178))+DO178="","", IF(ISNUMBER(SEARCH("lw",DP178)), DC178 + SUBSTITUTE(DP178,"lw+",""), MROUND(SWITCH(DK178,"sq",DO$7,"bn",DP$7,"dl",DQ$7,"")*IF(DP178&gt;10, DP178/100, VLOOKUP(DP178, _rpe,SUBSTITUTE(DO178,"+","")+1,0)), IF( SWITCH(DK178,"sq",DO$7,"bn",DP$7,"dl", DQ$7,"")&lt; IF(_uom="lbs", 175, 80), 1.25, IF(_uom="lbs",5,2.5))))), "")</f>
        <v/>
      </c>
      <c r="DR178" s="148"/>
      <c r="DS178" s="33"/>
      <c r="DT178" s="171"/>
      <c r="DU178" s="124" t="str">
        <f>IFERROR(__xludf.DUMMYFUNCTION("IF(DQ178=MAX(FILTER(DQ$10:DQ$199,LOOKUP(ROW(DK$10:DK$199),FILTER(ROW(DK$10:DK$199),DK$10:DK$199&lt;&gt;DK$9:DK$198))=LOOKUP(ROW(DK178),FILTER(ROW(DK$10:DK$199),DK$10:DK$199&lt;&gt;DK$9:DK$198)))),DR178,)"),"")</f>
        <v/>
      </c>
      <c r="DV178" s="122"/>
      <c r="DW178" s="33"/>
      <c r="DX178" s="143"/>
      <c r="DY178" s="38"/>
      <c r="DZ178" s="144"/>
      <c r="EA178" s="150"/>
      <c r="EB178" s="174"/>
      <c r="EC178" s="175"/>
      <c r="ED178" s="176"/>
      <c r="EE178" s="155"/>
      <c r="EF178" s="148"/>
      <c r="EG178" s="33"/>
      <c r="EH178" s="155"/>
      <c r="EI178" s="148"/>
      <c r="EJ178" s="33"/>
      <c r="EK178" s="33"/>
      <c r="EL178" s="143"/>
      <c r="EM178" s="38"/>
      <c r="EN178" s="144"/>
      <c r="EO178" s="150"/>
      <c r="EP178" s="174"/>
      <c r="EQ178" s="175"/>
      <c r="ER178" s="176"/>
      <c r="ES178" s="155"/>
      <c r="ET178" s="148"/>
      <c r="EU178" s="33"/>
      <c r="EV178" s="155"/>
      <c r="EW178" s="148"/>
      <c r="EX178" s="33"/>
      <c r="EY178" s="33"/>
      <c r="EZ178" s="143"/>
      <c r="FA178" s="38"/>
      <c r="FB178" s="144"/>
      <c r="FC178" s="150"/>
      <c r="FD178" s="174"/>
      <c r="FE178" s="175"/>
      <c r="FF178" s="176"/>
      <c r="FG178" s="155"/>
      <c r="FH178" s="148"/>
      <c r="FI178" s="33"/>
      <c r="FJ178" s="155"/>
      <c r="FK178" s="148"/>
      <c r="FL178" s="33"/>
      <c r="FM178" s="33"/>
      <c r="FN178" s="143"/>
      <c r="FO178" s="38"/>
      <c r="FP178" s="144"/>
      <c r="FQ178" s="150"/>
      <c r="FR178" s="174"/>
      <c r="FS178" s="175"/>
      <c r="FT178" s="176"/>
      <c r="FU178" s="155"/>
      <c r="FV178" s="148"/>
      <c r="FW178" s="33"/>
      <c r="FX178" s="155"/>
      <c r="FY178" s="148"/>
      <c r="FZ178" s="33"/>
      <c r="GA178" s="33"/>
      <c r="GB178" s="143"/>
      <c r="GC178" s="38"/>
      <c r="GD178" s="144"/>
      <c r="GE178" s="150"/>
      <c r="GF178" s="174"/>
      <c r="GG178" s="175"/>
      <c r="GH178" s="176"/>
      <c r="GI178" s="155"/>
      <c r="GJ178" s="148"/>
      <c r="GK178" s="33"/>
      <c r="GL178" s="155"/>
      <c r="GM178" s="148"/>
      <c r="GN178" s="33"/>
      <c r="GO178" s="33"/>
      <c r="GP178" s="143"/>
      <c r="GQ178" s="38"/>
      <c r="GR178" s="144"/>
      <c r="GS178" s="150"/>
      <c r="GT178" s="174"/>
      <c r="GU178" s="175"/>
      <c r="GV178" s="176"/>
      <c r="GW178" s="155"/>
      <c r="GX178" s="148"/>
      <c r="GY178" s="33"/>
      <c r="GZ178" s="155"/>
      <c r="HA178" s="148"/>
      <c r="HB178" s="33"/>
      <c r="HC178" s="33"/>
      <c r="HD178" s="143"/>
      <c r="HE178" s="38"/>
      <c r="HF178" s="144"/>
      <c r="HG178" s="150"/>
      <c r="HH178" s="174"/>
      <c r="HI178" s="175"/>
      <c r="HJ178" s="176"/>
      <c r="HK178" s="155"/>
      <c r="HL178" s="148"/>
      <c r="HM178" s="33"/>
      <c r="HN178" s="155"/>
      <c r="HO178" s="148"/>
      <c r="HP178" s="33"/>
      <c r="HQ178" s="33"/>
      <c r="HR178" s="143"/>
      <c r="HS178" s="38"/>
      <c r="HT178" s="144"/>
      <c r="HU178" s="150"/>
      <c r="HV178" s="174"/>
      <c r="HW178" s="175"/>
      <c r="HX178" s="176"/>
      <c r="HY178" s="155"/>
      <c r="HZ178" s="148"/>
      <c r="IA178" s="33"/>
      <c r="IB178" s="155"/>
      <c r="IC178" s="148"/>
      <c r="ID178" s="33"/>
      <c r="IE178" s="33"/>
      <c r="IF178" s="143"/>
      <c r="IG178" s="38"/>
      <c r="IH178" s="144"/>
      <c r="II178" s="150"/>
      <c r="IJ178" s="174"/>
      <c r="IK178" s="175"/>
      <c r="IL178" s="176"/>
      <c r="IM178" s="155"/>
      <c r="IN178" s="148"/>
      <c r="IO178" s="33"/>
      <c r="IP178" s="155"/>
      <c r="IQ178" s="148"/>
      <c r="IR178" s="33"/>
      <c r="IS178" s="33"/>
      <c r="IT178" s="143"/>
      <c r="IU178" s="38"/>
      <c r="IV178" s="144"/>
      <c r="IW178" s="143"/>
      <c r="IX178" s="38"/>
      <c r="IY178" s="144" t="e">
        <v>#REF!</v>
      </c>
    </row>
    <row r="179">
      <c r="A179" s="33"/>
      <c r="B179" s="181"/>
      <c r="C179" s="38" t="str">
        <f>IFERROR(__xludf.DUMMYFUNCTION("""COMPUTED_VALUE"""),"")</f>
        <v/>
      </c>
      <c r="D179" s="144">
        <v>46111.0</v>
      </c>
      <c r="E179" s="182"/>
      <c r="F179" s="168"/>
      <c r="G179" s="169"/>
      <c r="H179" s="170"/>
      <c r="I179" s="171" t="str">
        <f t="array" ref="I179">IFERROR(IF(C179="ac"+ISNUMBER(SEARCH("'",H179))+G179="","", MROUND(SWITCH(C179,"sq",'Personal Info'!$O$15,"bn",'Personal Info'!$S$15,"dl",'Personal Info'!$W$15,"")*IF(H179&gt;10, H179/100, VLOOKUP(H179, _rpe,SUBSTITUTE(G179,"+","")+1,0)), IF( SWITCH(C179:C210,"sq",'Personal Info'!$O$15,"bn",'Personal Info'!$S$15,"dl", 'Personal Info'!$W$15,"")&lt; IF(_uom="lbs", 175, 80), 1.25, IF(_uom="lbs",5,2.5)))),"")</f>
        <v/>
      </c>
      <c r="J179" s="148"/>
      <c r="K179" s="33"/>
      <c r="L179" s="171"/>
      <c r="M179" s="124" t="str">
        <f>IFERROR(__xludf.DUMMYFUNCTION("IF(I179=MAX(FILTER(I$10:I$199,LOOKUP(ROW(C$10:C$199),FILTER(ROW(C$10:C$199),C$10:C$199&lt;&gt;C$9:C$198))=LOOKUP(ROW(C179),FILTER(ROW(C$10:C$199),C$10:C$199&lt;&gt;C$9:C$198)))),J179,)"),"")</f>
        <v/>
      </c>
      <c r="N179" s="122"/>
      <c r="O179" s="33"/>
      <c r="P179" s="143" t="str">
        <f t="shared" si="12"/>
        <v/>
      </c>
      <c r="Q179" s="38" t="str">
        <f>IFERROR(__xludf.DUMMYFUNCTION("""COMPUTED_VALUE"""),"")</f>
        <v/>
      </c>
      <c r="R179" s="144">
        <v>46118.0</v>
      </c>
      <c r="S179" s="167" t="str">
        <f t="shared" si="13"/>
        <v/>
      </c>
      <c r="T179" s="168" t="str">
        <f t="shared" si="319"/>
        <v/>
      </c>
      <c r="U179" s="169" t="str">
        <f t="shared" si="320"/>
        <v/>
      </c>
      <c r="V179" s="172" t="str">
        <f t="shared" si="321"/>
        <v/>
      </c>
      <c r="W179" s="171" t="str">
        <f t="array" ref="W179">IFERROR(IF(Q179="ac"+ISNUMBER(SEARCH("'",V179))+U179="","", IF(ISNUMBER(SEARCH("lw",V179)), I179 + SUBSTITUTE(V179,"lw+",""), MROUND(SWITCH(Q179,"sq",U$7,"bn",V$7,"dl",W$7,"")*IF(V179&gt;10, V179/100, VLOOKUP(V179, _rpe,SUBSTITUTE(U179,"+","")+1,0)), IF( SWITCH(Q179,"sq",U$7,"bn",V$7,"dl", W$7,"")&lt; IF(_uom="lbs", 175, 80), 1.25, IF(_uom="lbs",5,2.5))))), "")</f>
        <v/>
      </c>
      <c r="X179" s="148"/>
      <c r="Y179" s="33"/>
      <c r="Z179" s="171"/>
      <c r="AA179" s="124" t="str">
        <f>IFERROR(__xludf.DUMMYFUNCTION("IF(W179=MAX(FILTER(W$10:W$199,LOOKUP(ROW(Q$10:Q$199),FILTER(ROW(Q$10:Q$199),Q$10:Q$199&lt;&gt;Q$9:Q$198))=LOOKUP(ROW(Q179),FILTER(ROW(Q$10:Q$199),Q$10:Q$199&lt;&gt;Q$9:Q$198)))),X179,)"),"")</f>
        <v/>
      </c>
      <c r="AB179" s="122"/>
      <c r="AC179" s="33"/>
      <c r="AD179" s="143" t="str">
        <f t="shared" si="14"/>
        <v/>
      </c>
      <c r="AE179" s="38" t="str">
        <f>IFERROR(__xludf.DUMMYFUNCTION("""COMPUTED_VALUE"""),"")</f>
        <v/>
      </c>
      <c r="AF179" s="144">
        <v>46125.0</v>
      </c>
      <c r="AG179" s="167" t="str">
        <f t="shared" si="54"/>
        <v/>
      </c>
      <c r="AH179" s="168" t="str">
        <f t="shared" si="322"/>
        <v/>
      </c>
      <c r="AI179" s="169" t="str">
        <f t="shared" si="323"/>
        <v/>
      </c>
      <c r="AJ179" s="172" t="str">
        <f t="shared" si="324"/>
        <v/>
      </c>
      <c r="AK179" s="171" t="str">
        <f t="array" ref="AK179">IFERROR(IF(AE179="ac"+ISNUMBER(SEARCH("'",AJ179))+AI179="","", IF(ISNUMBER(SEARCH("lw",AJ179)), W179 + SUBSTITUTE(AJ179,"lw+",""), MROUND(SWITCH(AE179,"sq",AI$7,"bn",AJ$7,"dl",AK$7,"")*IF(AJ179&gt;10, AJ179/100, VLOOKUP(AJ179, _rpe,SUBSTITUTE(AI179,"+","")+1,0)), IF( SWITCH(AE179,"sq",AI$7,"bn",AJ$7,"dl", AK$7,"")&lt; IF(_uom="lbs", 175, 80), 1.25, IF(_uom="lbs",5,2.5))))), "")</f>
        <v/>
      </c>
      <c r="AL179" s="148"/>
      <c r="AM179" s="33"/>
      <c r="AN179" s="171"/>
      <c r="AO179" s="124" t="str">
        <f>IFERROR(__xludf.DUMMYFUNCTION("IF(AK179=MAX(FILTER(AK$10:AK$199,LOOKUP(ROW(AE$10:AE$199),FILTER(ROW(AE$10:AE$199),AE$10:AE$199&lt;&gt;AE$9:AE$198))=LOOKUP(ROW(AE179),FILTER(ROW(AE$10:AE$199),AE$10:AE$199&lt;&gt;AE$9:AE$198)))),AL179,)"),"")</f>
        <v/>
      </c>
      <c r="AP179" s="122"/>
      <c r="AQ179" s="33"/>
      <c r="AR179" s="143" t="str">
        <f t="shared" si="16"/>
        <v/>
      </c>
      <c r="AS179" s="38" t="str">
        <f>IFERROR(__xludf.DUMMYFUNCTION("""COMPUTED_VALUE"""),"")</f>
        <v/>
      </c>
      <c r="AT179" s="144">
        <v>46132.0</v>
      </c>
      <c r="AU179" s="167" t="str">
        <f t="shared" si="26"/>
        <v/>
      </c>
      <c r="AV179" s="168" t="str">
        <f t="shared" si="325"/>
        <v/>
      </c>
      <c r="AW179" s="169" t="str">
        <f t="shared" si="326"/>
        <v/>
      </c>
      <c r="AX179" s="172" t="str">
        <f t="shared" si="327"/>
        <v/>
      </c>
      <c r="AY179" s="171" t="str">
        <f t="array" ref="AY179">IFERROR(IF(AS179="ac"+ISNUMBER(SEARCH("'",AX179))+AW179="","", IF(ISNUMBER(SEARCH("lw",AX179)), AK179 + SUBSTITUTE(AX179,"lw+",""), MROUND(SWITCH(AS179,"sq",AW$7,"bn",AX$7,"dl",AY$7,"")*IF(AX179&gt;10, AX179/100, VLOOKUP(AX179, _rpe,SUBSTITUTE(AW179,"+","")+1,0)), IF( SWITCH(AS179,"sq",AW$7,"bn",AX$7,"dl", AY$7,"")&lt; IF(_uom="lbs", 175, 80), 1.25, IF(_uom="lbs",5,2.5))))), "")</f>
        <v/>
      </c>
      <c r="AZ179" s="148"/>
      <c r="BA179" s="33"/>
      <c r="BB179" s="171"/>
      <c r="BC179" s="124" t="str">
        <f>IFERROR(__xludf.DUMMYFUNCTION("IF(AY179=MAX(FILTER(AY$10:AY$199,LOOKUP(ROW(AS$10:AS$199),FILTER(ROW(AS$10:AS$199),AS$10:AS$199&lt;&gt;AS$9:AS$198))=LOOKUP(ROW(AS179),FILTER(ROW(AS$10:AS$199),AS$10:AS$199&lt;&gt;AS$9:AS$198)))),AZ179,)"),"")</f>
        <v/>
      </c>
      <c r="BD179" s="122"/>
      <c r="BE179" s="33"/>
      <c r="BF179" s="143" t="str">
        <f t="shared" si="17"/>
        <v/>
      </c>
      <c r="BG179" s="38" t="str">
        <f>IFERROR(__xludf.DUMMYFUNCTION("""COMPUTED_VALUE"""),"")</f>
        <v/>
      </c>
      <c r="BH179" s="144">
        <v>46139.0</v>
      </c>
      <c r="BI179" s="167" t="str">
        <f t="shared" si="18"/>
        <v/>
      </c>
      <c r="BJ179" s="168" t="str">
        <f t="shared" si="328"/>
        <v/>
      </c>
      <c r="BK179" s="169" t="str">
        <f t="shared" si="329"/>
        <v/>
      </c>
      <c r="BL179" s="172" t="str">
        <f t="shared" si="330"/>
        <v/>
      </c>
      <c r="BM179" s="171" t="str">
        <f t="array" ref="BM179">IFERROR(IF(BG179="ac"+ISNUMBER(SEARCH("'",BL179))+BK179="","", IF(ISNUMBER(SEARCH("lw",BL179)), AY179 + SUBSTITUTE(BL179,"lw+",""), MROUND(SWITCH(BG179,"sq",BK$7,"bn",BL$7,"dl",BM$7,"")*IF(BL179&gt;10, BL179/100, VLOOKUP(BL179, _rpe,SUBSTITUTE(BK179,"+","")+1,0)), IF( SWITCH(BG179,"sq",BK$7,"bn",BL$7,"dl", BM$7,"")&lt; IF(_uom="lbs", 175, 80), 1.25, IF(_uom="lbs",5,2.5))))), "")</f>
        <v/>
      </c>
      <c r="BN179" s="148"/>
      <c r="BO179" s="33"/>
      <c r="BP179" s="171"/>
      <c r="BQ179" s="124" t="str">
        <f>IFERROR(__xludf.DUMMYFUNCTION("IF(BM179=MAX(FILTER(BM$10:BM$199,LOOKUP(ROW(BG$10:BG$199),FILTER(ROW(BG$10:BG$199),BG$10:BG$199&lt;&gt;BG$9:BG$198))=LOOKUP(ROW(BG179),FILTER(ROW(BG$10:BG$199),BG$10:BG$199&lt;&gt;BG$9:BG$198)))),BN179,)"),"")</f>
        <v/>
      </c>
      <c r="BR179" s="122"/>
      <c r="BS179" s="33"/>
      <c r="BT179" s="143" t="str">
        <f t="shared" si="19"/>
        <v/>
      </c>
      <c r="BU179" s="38" t="str">
        <f>IFERROR(__xludf.DUMMYFUNCTION("""COMPUTED_VALUE"""),"")</f>
        <v/>
      </c>
      <c r="BV179" s="144">
        <v>46146.0</v>
      </c>
      <c r="BW179" s="167" t="str">
        <f t="shared" si="20"/>
        <v/>
      </c>
      <c r="BX179" s="168" t="str">
        <f t="shared" si="331"/>
        <v/>
      </c>
      <c r="BY179" s="169" t="str">
        <f t="shared" si="332"/>
        <v/>
      </c>
      <c r="BZ179" s="172" t="str">
        <f t="shared" si="333"/>
        <v/>
      </c>
      <c r="CA179" s="171" t="str">
        <f t="array" ref="CA179">IFERROR(IF(BU179="ac"+ISNUMBER(SEARCH("'",BZ179))+BY179="","", IF(ISNUMBER(SEARCH("lw",BZ179)), BM179 + SUBSTITUTE(BZ179,"lw+",""), MROUND(SWITCH(BU179,"sq",BY$7,"bn",BZ$7,"dl",CA$7,"")*IF(BZ179&gt;10, BZ179/100, VLOOKUP(BZ179, _rpe,SUBSTITUTE(BY179,"+","")+1,0)), IF( SWITCH(BU179,"sq",BY$7,"bn",BZ$7,"dl", CA$7,"")&lt; IF(_uom="lbs", 175, 80), 1.25, IF(_uom="lbs",5,2.5))))), "")</f>
        <v/>
      </c>
      <c r="CB179" s="148"/>
      <c r="CC179" s="33"/>
      <c r="CD179" s="171"/>
      <c r="CE179" s="124" t="str">
        <f>IFERROR(__xludf.DUMMYFUNCTION("IF(CA179=MAX(FILTER(CA$10:CA$199,LOOKUP(ROW(BU$10:BU$199),FILTER(ROW(BU$10:BU$199),BU$10:BU$199&lt;&gt;BU$9:BU$198))=LOOKUP(ROW(BU179),FILTER(ROW(BU$10:BU$199),BU$10:BU$199&lt;&gt;BU$9:BU$198)))),CB179,)"),"")</f>
        <v/>
      </c>
      <c r="CF179" s="122"/>
      <c r="CG179" s="33"/>
      <c r="CH179" s="143" t="str">
        <f t="shared" si="21"/>
        <v/>
      </c>
      <c r="CI179" s="38" t="str">
        <f>IFERROR(__xludf.DUMMYFUNCTION("""COMPUTED_VALUE"""),"")</f>
        <v/>
      </c>
      <c r="CJ179" s="144">
        <v>46153.0</v>
      </c>
      <c r="CK179" s="167" t="str">
        <f t="shared" si="27"/>
        <v/>
      </c>
      <c r="CL179" s="168" t="str">
        <f t="shared" si="334"/>
        <v/>
      </c>
      <c r="CM179" s="169" t="str">
        <f t="shared" si="335"/>
        <v/>
      </c>
      <c r="CN179" s="172" t="str">
        <f t="shared" si="336"/>
        <v/>
      </c>
      <c r="CO179" s="171" t="str">
        <f t="array" ref="CO179">IFERROR(IF(CI179="ac"+ISNUMBER(SEARCH("'",CN179))+CM179="","", IF(ISNUMBER(SEARCH("lw",CN179)), CA179 + SUBSTITUTE(CN179,"lw+",""), MROUND(SWITCH(CI179,"sq",CM$7,"bn",CN$7,"dl",CO$7,"")*IF(CN179&gt;10, CN179/100, VLOOKUP(CN179, _rpe,SUBSTITUTE(CM179,"+","")+1,0)), IF( SWITCH(CI179,"sq",CM$7,"bn",CN$7,"dl", CO$7,"")&lt; IF(_uom="lbs", 175, 80), 1.25, IF(_uom="lbs",5,2.5))))), "")</f>
        <v/>
      </c>
      <c r="CP179" s="148"/>
      <c r="CQ179" s="33"/>
      <c r="CR179" s="171"/>
      <c r="CS179" s="124" t="str">
        <f>IFERROR(__xludf.DUMMYFUNCTION("IF(CO179=MAX(FILTER(CO$10:CO$199,LOOKUP(ROW(CI$10:CI$199),FILTER(ROW(CI$10:CI$199),CI$10:CI$199&lt;&gt;CI$9:CI$198))=LOOKUP(ROW(CI179),FILTER(ROW(CI$10:CI$199),CI$10:CI$199&lt;&gt;CI$9:CI$198)))),CP179,)"),"")</f>
        <v/>
      </c>
      <c r="CT179" s="122"/>
      <c r="CU179" s="33"/>
      <c r="CV179" s="143" t="str">
        <f t="shared" si="22"/>
        <v/>
      </c>
      <c r="CW179" s="38" t="str">
        <f>IFERROR(__xludf.DUMMYFUNCTION("""COMPUTED_VALUE"""),"")</f>
        <v/>
      </c>
      <c r="CX179" s="144">
        <v>46160.0</v>
      </c>
      <c r="CY179" s="167" t="str">
        <f t="shared" si="28"/>
        <v/>
      </c>
      <c r="CZ179" s="168" t="str">
        <f t="shared" si="337"/>
        <v/>
      </c>
      <c r="DA179" s="169" t="str">
        <f t="shared" si="338"/>
        <v/>
      </c>
      <c r="DB179" s="172" t="str">
        <f t="shared" si="339"/>
        <v/>
      </c>
      <c r="DC179" s="171" t="str">
        <f t="array" ref="DC179">IFERROR(IF(CW179="ac"+ISNUMBER(SEARCH("'",DB179))+DA179="","", IF(ISNUMBER(SEARCH("lw",DB179)), CO179 + SUBSTITUTE(DB179,"lw+",""), MROUND(SWITCH(CW179,"sq",DA$7,"bn",DB$7,"dl",DC$7,"")*IF(DB179&gt;10, DB179/100, VLOOKUP(DB179, _rpe,SUBSTITUTE(DA179,"+","")+1,0)), IF( SWITCH(CW179,"sq",DA$7,"bn",DB$7,"dl", DC$7,"")&lt; IF(_uom="lbs", 175, 80), 1.25, IF(_uom="lbs",5,2.5))))), "")</f>
        <v/>
      </c>
      <c r="DD179" s="148"/>
      <c r="DE179" s="33"/>
      <c r="DF179" s="171"/>
      <c r="DG179" s="124" t="str">
        <f>IFERROR(__xludf.DUMMYFUNCTION("IF(DC179=MAX(FILTER(DC$10:DC$199,LOOKUP(ROW(CW$10:CW$199),FILTER(ROW(CW$10:CW$199),CW$10:CW$199&lt;&gt;CW$9:CW$198))=LOOKUP(ROW(CW179),FILTER(ROW(CW$10:CW$199),CW$10:CW$199&lt;&gt;CW$9:CW$198)))),DD179,)"),"")</f>
        <v/>
      </c>
      <c r="DH179" s="122"/>
      <c r="DI179" s="33"/>
      <c r="DJ179" s="143" t="str">
        <f t="shared" si="23"/>
        <v/>
      </c>
      <c r="DK179" s="38" t="str">
        <f>IFERROR(__xludf.DUMMYFUNCTION("""COMPUTED_VALUE"""),"")</f>
        <v/>
      </c>
      <c r="DL179" s="144">
        <v>46167.0</v>
      </c>
      <c r="DM179" s="167" t="str">
        <f t="shared" ref="DM179:DN179" si="431">IF(ISBLANK(CY179),"",CY179)</f>
        <v/>
      </c>
      <c r="DN179" s="168" t="str">
        <f t="shared" si="431"/>
        <v/>
      </c>
      <c r="DO179" s="169" t="str">
        <f t="shared" si="341"/>
        <v/>
      </c>
      <c r="DP179" s="172" t="str">
        <f t="shared" si="342"/>
        <v/>
      </c>
      <c r="DQ179" s="171" t="str">
        <f t="array" ref="DQ179">IFERROR(IF(DK179="ac"+ISNUMBER(SEARCH("'",DP179))+DO179="","", IF(ISNUMBER(SEARCH("lw",DP179)), DC179 + SUBSTITUTE(DP179,"lw+",""), MROUND(SWITCH(DK179,"sq",DO$7,"bn",DP$7,"dl",DQ$7,"")*IF(DP179&gt;10, DP179/100, VLOOKUP(DP179, _rpe,SUBSTITUTE(DO179,"+","")+1,0)), IF( SWITCH(DK179,"sq",DO$7,"bn",DP$7,"dl", DQ$7,"")&lt; IF(_uom="lbs", 175, 80), 1.25, IF(_uom="lbs",5,2.5))))), "")</f>
        <v/>
      </c>
      <c r="DR179" s="148"/>
      <c r="DS179" s="33"/>
      <c r="DT179" s="171"/>
      <c r="DU179" s="124" t="str">
        <f>IFERROR(__xludf.DUMMYFUNCTION("IF(DQ179=MAX(FILTER(DQ$10:DQ$199,LOOKUP(ROW(DK$10:DK$199),FILTER(ROW(DK$10:DK$199),DK$10:DK$199&lt;&gt;DK$9:DK$198))=LOOKUP(ROW(DK179),FILTER(ROW(DK$10:DK$199),DK$10:DK$199&lt;&gt;DK$9:DK$198)))),DR179,)"),"")</f>
        <v/>
      </c>
      <c r="DV179" s="122"/>
      <c r="DW179" s="33"/>
      <c r="DX179" s="143"/>
      <c r="DY179" s="38"/>
      <c r="DZ179" s="144"/>
      <c r="EA179" s="150"/>
      <c r="EB179" s="174"/>
      <c r="EC179" s="175"/>
      <c r="ED179" s="176"/>
      <c r="EE179" s="155"/>
      <c r="EF179" s="148"/>
      <c r="EG179" s="33"/>
      <c r="EH179" s="155"/>
      <c r="EI179" s="148"/>
      <c r="EJ179" s="33"/>
      <c r="EK179" s="33"/>
      <c r="EL179" s="143"/>
      <c r="EM179" s="38"/>
      <c r="EN179" s="144"/>
      <c r="EO179" s="150"/>
      <c r="EP179" s="174"/>
      <c r="EQ179" s="175"/>
      <c r="ER179" s="176"/>
      <c r="ES179" s="155"/>
      <c r="ET179" s="148"/>
      <c r="EU179" s="33"/>
      <c r="EV179" s="155"/>
      <c r="EW179" s="148"/>
      <c r="EX179" s="33"/>
      <c r="EY179" s="33"/>
      <c r="EZ179" s="143"/>
      <c r="FA179" s="38"/>
      <c r="FB179" s="144"/>
      <c r="FC179" s="150"/>
      <c r="FD179" s="174"/>
      <c r="FE179" s="175"/>
      <c r="FF179" s="176"/>
      <c r="FG179" s="155"/>
      <c r="FH179" s="148"/>
      <c r="FI179" s="33"/>
      <c r="FJ179" s="155"/>
      <c r="FK179" s="148"/>
      <c r="FL179" s="33"/>
      <c r="FM179" s="33"/>
      <c r="FN179" s="143"/>
      <c r="FO179" s="38"/>
      <c r="FP179" s="144"/>
      <c r="FQ179" s="150"/>
      <c r="FR179" s="174"/>
      <c r="FS179" s="175"/>
      <c r="FT179" s="176"/>
      <c r="FU179" s="155"/>
      <c r="FV179" s="148"/>
      <c r="FW179" s="33"/>
      <c r="FX179" s="155"/>
      <c r="FY179" s="148"/>
      <c r="FZ179" s="33"/>
      <c r="GA179" s="33"/>
      <c r="GB179" s="143"/>
      <c r="GC179" s="38"/>
      <c r="GD179" s="144"/>
      <c r="GE179" s="150"/>
      <c r="GF179" s="174"/>
      <c r="GG179" s="175"/>
      <c r="GH179" s="176"/>
      <c r="GI179" s="155"/>
      <c r="GJ179" s="148"/>
      <c r="GK179" s="33"/>
      <c r="GL179" s="155"/>
      <c r="GM179" s="148"/>
      <c r="GN179" s="33"/>
      <c r="GO179" s="33"/>
      <c r="GP179" s="143"/>
      <c r="GQ179" s="38"/>
      <c r="GR179" s="144"/>
      <c r="GS179" s="150"/>
      <c r="GT179" s="174"/>
      <c r="GU179" s="175"/>
      <c r="GV179" s="176"/>
      <c r="GW179" s="155"/>
      <c r="GX179" s="148"/>
      <c r="GY179" s="33"/>
      <c r="GZ179" s="155"/>
      <c r="HA179" s="148"/>
      <c r="HB179" s="33"/>
      <c r="HC179" s="33"/>
      <c r="HD179" s="143"/>
      <c r="HE179" s="38"/>
      <c r="HF179" s="144"/>
      <c r="HG179" s="150"/>
      <c r="HH179" s="174"/>
      <c r="HI179" s="175"/>
      <c r="HJ179" s="176"/>
      <c r="HK179" s="155"/>
      <c r="HL179" s="148"/>
      <c r="HM179" s="33"/>
      <c r="HN179" s="155"/>
      <c r="HO179" s="148"/>
      <c r="HP179" s="33"/>
      <c r="HQ179" s="33"/>
      <c r="HR179" s="143"/>
      <c r="HS179" s="38"/>
      <c r="HT179" s="144"/>
      <c r="HU179" s="150"/>
      <c r="HV179" s="174"/>
      <c r="HW179" s="175"/>
      <c r="HX179" s="176"/>
      <c r="HY179" s="155"/>
      <c r="HZ179" s="148"/>
      <c r="IA179" s="33"/>
      <c r="IB179" s="155"/>
      <c r="IC179" s="148"/>
      <c r="ID179" s="33"/>
      <c r="IE179" s="33"/>
      <c r="IF179" s="143"/>
      <c r="IG179" s="38"/>
      <c r="IH179" s="144"/>
      <c r="II179" s="150"/>
      <c r="IJ179" s="174"/>
      <c r="IK179" s="175"/>
      <c r="IL179" s="176"/>
      <c r="IM179" s="155"/>
      <c r="IN179" s="148"/>
      <c r="IO179" s="33"/>
      <c r="IP179" s="155"/>
      <c r="IQ179" s="148"/>
      <c r="IR179" s="33"/>
      <c r="IS179" s="33"/>
      <c r="IT179" s="143"/>
      <c r="IU179" s="38"/>
      <c r="IV179" s="144"/>
      <c r="IW179" s="143"/>
      <c r="IX179" s="38"/>
      <c r="IY179" s="144" t="e">
        <v>#REF!</v>
      </c>
    </row>
    <row r="180">
      <c r="A180" s="33"/>
      <c r="B180" s="181"/>
      <c r="C180" s="38" t="str">
        <f>IFERROR(__xludf.DUMMYFUNCTION("""COMPUTED_VALUE"""),"")</f>
        <v/>
      </c>
      <c r="D180" s="144">
        <v>46111.0</v>
      </c>
      <c r="E180" s="182"/>
      <c r="F180" s="168"/>
      <c r="G180" s="169"/>
      <c r="H180" s="170"/>
      <c r="I180" s="171" t="str">
        <f t="array" ref="I180">IFERROR(IF(C180="ac"+ISNUMBER(SEARCH("'",H180))+G180="","", MROUND(SWITCH(C180,"sq",'Personal Info'!$O$15,"bn",'Personal Info'!$S$15,"dl",'Personal Info'!$W$15,"")*IF(H180&gt;10, H180/100, VLOOKUP(H180, _rpe,SUBSTITUTE(G180,"+","")+1,0)), IF( SWITCH(C180:C210,"sq",'Personal Info'!$O$15,"bn",'Personal Info'!$S$15,"dl", 'Personal Info'!$W$15,"")&lt; IF(_uom="lbs", 175, 80), 1.25, IF(_uom="lbs",5,2.5)))),"")</f>
        <v/>
      </c>
      <c r="J180" s="148"/>
      <c r="K180" s="33"/>
      <c r="L180" s="171"/>
      <c r="M180" s="124" t="str">
        <f>IFERROR(__xludf.DUMMYFUNCTION("IF(I180=MAX(FILTER(I$10:I$199,LOOKUP(ROW(C$10:C$199),FILTER(ROW(C$10:C$199),C$10:C$199&lt;&gt;C$9:C$198))=LOOKUP(ROW(C180),FILTER(ROW(C$10:C$199),C$10:C$199&lt;&gt;C$9:C$198)))),J180,)"),"")</f>
        <v/>
      </c>
      <c r="N180" s="122"/>
      <c r="O180" s="33"/>
      <c r="P180" s="143" t="str">
        <f t="shared" si="12"/>
        <v/>
      </c>
      <c r="Q180" s="38" t="str">
        <f>IFERROR(__xludf.DUMMYFUNCTION("""COMPUTED_VALUE"""),"")</f>
        <v/>
      </c>
      <c r="R180" s="144">
        <v>46118.0</v>
      </c>
      <c r="S180" s="167" t="str">
        <f t="shared" si="13"/>
        <v/>
      </c>
      <c r="T180" s="168" t="str">
        <f t="shared" si="319"/>
        <v/>
      </c>
      <c r="U180" s="169" t="str">
        <f t="shared" si="320"/>
        <v/>
      </c>
      <c r="V180" s="172" t="str">
        <f t="shared" si="321"/>
        <v/>
      </c>
      <c r="W180" s="171" t="str">
        <f t="array" ref="W180">IFERROR(IF(Q180="ac"+ISNUMBER(SEARCH("'",V180))+U180="","", IF(ISNUMBER(SEARCH("lw",V180)), I180 + SUBSTITUTE(V180,"lw+",""), MROUND(SWITCH(Q180,"sq",U$7,"bn",V$7,"dl",W$7,"")*IF(V180&gt;10, V180/100, VLOOKUP(V180, _rpe,SUBSTITUTE(U180,"+","")+1,0)), IF( SWITCH(Q180,"sq",U$7,"bn",V$7,"dl", W$7,"")&lt; IF(_uom="lbs", 175, 80), 1.25, IF(_uom="lbs",5,2.5))))), "")</f>
        <v/>
      </c>
      <c r="X180" s="148"/>
      <c r="Y180" s="33"/>
      <c r="Z180" s="171"/>
      <c r="AA180" s="124" t="str">
        <f>IFERROR(__xludf.DUMMYFUNCTION("IF(W180=MAX(FILTER(W$10:W$199,LOOKUP(ROW(Q$10:Q$199),FILTER(ROW(Q$10:Q$199),Q$10:Q$199&lt;&gt;Q$9:Q$198))=LOOKUP(ROW(Q180),FILTER(ROW(Q$10:Q$199),Q$10:Q$199&lt;&gt;Q$9:Q$198)))),X180,)"),"")</f>
        <v/>
      </c>
      <c r="AB180" s="122"/>
      <c r="AC180" s="33"/>
      <c r="AD180" s="143" t="str">
        <f t="shared" si="14"/>
        <v/>
      </c>
      <c r="AE180" s="38" t="str">
        <f>IFERROR(__xludf.DUMMYFUNCTION("""COMPUTED_VALUE"""),"")</f>
        <v/>
      </c>
      <c r="AF180" s="144">
        <v>46125.0</v>
      </c>
      <c r="AG180" s="167" t="str">
        <f t="shared" si="54"/>
        <v/>
      </c>
      <c r="AH180" s="168" t="str">
        <f t="shared" si="322"/>
        <v/>
      </c>
      <c r="AI180" s="169" t="str">
        <f t="shared" si="323"/>
        <v/>
      </c>
      <c r="AJ180" s="172" t="str">
        <f t="shared" si="324"/>
        <v/>
      </c>
      <c r="AK180" s="171" t="str">
        <f t="array" ref="AK180">IFERROR(IF(AE180="ac"+ISNUMBER(SEARCH("'",AJ180))+AI180="","", IF(ISNUMBER(SEARCH("lw",AJ180)), W180 + SUBSTITUTE(AJ180,"lw+",""), MROUND(SWITCH(AE180,"sq",AI$7,"bn",AJ$7,"dl",AK$7,"")*IF(AJ180&gt;10, AJ180/100, VLOOKUP(AJ180, _rpe,SUBSTITUTE(AI180,"+","")+1,0)), IF( SWITCH(AE180,"sq",AI$7,"bn",AJ$7,"dl", AK$7,"")&lt; IF(_uom="lbs", 175, 80), 1.25, IF(_uom="lbs",5,2.5))))), "")</f>
        <v/>
      </c>
      <c r="AL180" s="148"/>
      <c r="AM180" s="33"/>
      <c r="AN180" s="171"/>
      <c r="AO180" s="124" t="str">
        <f>IFERROR(__xludf.DUMMYFUNCTION("IF(AK180=MAX(FILTER(AK$10:AK$199,LOOKUP(ROW(AE$10:AE$199),FILTER(ROW(AE$10:AE$199),AE$10:AE$199&lt;&gt;AE$9:AE$198))=LOOKUP(ROW(AE180),FILTER(ROW(AE$10:AE$199),AE$10:AE$199&lt;&gt;AE$9:AE$198)))),AL180,)"),"")</f>
        <v/>
      </c>
      <c r="AP180" s="122"/>
      <c r="AQ180" s="33"/>
      <c r="AR180" s="143" t="str">
        <f t="shared" si="16"/>
        <v/>
      </c>
      <c r="AS180" s="38" t="str">
        <f>IFERROR(__xludf.DUMMYFUNCTION("""COMPUTED_VALUE"""),"")</f>
        <v/>
      </c>
      <c r="AT180" s="144">
        <v>46132.0</v>
      </c>
      <c r="AU180" s="167" t="str">
        <f t="shared" si="26"/>
        <v/>
      </c>
      <c r="AV180" s="168" t="str">
        <f t="shared" si="325"/>
        <v/>
      </c>
      <c r="AW180" s="169" t="str">
        <f t="shared" si="326"/>
        <v/>
      </c>
      <c r="AX180" s="172" t="str">
        <f t="shared" si="327"/>
        <v/>
      </c>
      <c r="AY180" s="171" t="str">
        <f t="array" ref="AY180">IFERROR(IF(AS180="ac"+ISNUMBER(SEARCH("'",AX180))+AW180="","", IF(ISNUMBER(SEARCH("lw",AX180)), AK180 + SUBSTITUTE(AX180,"lw+",""), MROUND(SWITCH(AS180,"sq",AW$7,"bn",AX$7,"dl",AY$7,"")*IF(AX180&gt;10, AX180/100, VLOOKUP(AX180, _rpe,SUBSTITUTE(AW180,"+","")+1,0)), IF( SWITCH(AS180,"sq",AW$7,"bn",AX$7,"dl", AY$7,"")&lt; IF(_uom="lbs", 175, 80), 1.25, IF(_uom="lbs",5,2.5))))), "")</f>
        <v/>
      </c>
      <c r="AZ180" s="148"/>
      <c r="BA180" s="33"/>
      <c r="BB180" s="171"/>
      <c r="BC180" s="124" t="str">
        <f>IFERROR(__xludf.DUMMYFUNCTION("IF(AY180=MAX(FILTER(AY$10:AY$199,LOOKUP(ROW(AS$10:AS$199),FILTER(ROW(AS$10:AS$199),AS$10:AS$199&lt;&gt;AS$9:AS$198))=LOOKUP(ROW(AS180),FILTER(ROW(AS$10:AS$199),AS$10:AS$199&lt;&gt;AS$9:AS$198)))),AZ180,)"),"")</f>
        <v/>
      </c>
      <c r="BD180" s="122"/>
      <c r="BE180" s="33"/>
      <c r="BF180" s="143" t="str">
        <f t="shared" si="17"/>
        <v/>
      </c>
      <c r="BG180" s="38" t="str">
        <f>IFERROR(__xludf.DUMMYFUNCTION("""COMPUTED_VALUE"""),"")</f>
        <v/>
      </c>
      <c r="BH180" s="144">
        <v>46139.0</v>
      </c>
      <c r="BI180" s="167" t="str">
        <f t="shared" si="18"/>
        <v/>
      </c>
      <c r="BJ180" s="168" t="str">
        <f t="shared" si="328"/>
        <v/>
      </c>
      <c r="BK180" s="169" t="str">
        <f t="shared" si="329"/>
        <v/>
      </c>
      <c r="BL180" s="172" t="str">
        <f t="shared" si="330"/>
        <v/>
      </c>
      <c r="BM180" s="171" t="str">
        <f t="array" ref="BM180">IFERROR(IF(BG180="ac"+ISNUMBER(SEARCH("'",BL180))+BK180="","", IF(ISNUMBER(SEARCH("lw",BL180)), AY180 + SUBSTITUTE(BL180,"lw+",""), MROUND(SWITCH(BG180,"sq",BK$7,"bn",BL$7,"dl",BM$7,"")*IF(BL180&gt;10, BL180/100, VLOOKUP(BL180, _rpe,SUBSTITUTE(BK180,"+","")+1,0)), IF( SWITCH(BG180,"sq",BK$7,"bn",BL$7,"dl", BM$7,"")&lt; IF(_uom="lbs", 175, 80), 1.25, IF(_uom="lbs",5,2.5))))), "")</f>
        <v/>
      </c>
      <c r="BN180" s="148"/>
      <c r="BO180" s="33"/>
      <c r="BP180" s="171"/>
      <c r="BQ180" s="124" t="str">
        <f>IFERROR(__xludf.DUMMYFUNCTION("IF(BM180=MAX(FILTER(BM$10:BM$199,LOOKUP(ROW(BG$10:BG$199),FILTER(ROW(BG$10:BG$199),BG$10:BG$199&lt;&gt;BG$9:BG$198))=LOOKUP(ROW(BG180),FILTER(ROW(BG$10:BG$199),BG$10:BG$199&lt;&gt;BG$9:BG$198)))),BN180,)"),"")</f>
        <v/>
      </c>
      <c r="BR180" s="122"/>
      <c r="BS180" s="33"/>
      <c r="BT180" s="143" t="str">
        <f t="shared" si="19"/>
        <v/>
      </c>
      <c r="BU180" s="38" t="str">
        <f>IFERROR(__xludf.DUMMYFUNCTION("""COMPUTED_VALUE"""),"")</f>
        <v/>
      </c>
      <c r="BV180" s="144">
        <v>46146.0</v>
      </c>
      <c r="BW180" s="167" t="str">
        <f t="shared" si="20"/>
        <v/>
      </c>
      <c r="BX180" s="168" t="str">
        <f t="shared" si="331"/>
        <v/>
      </c>
      <c r="BY180" s="169" t="str">
        <f t="shared" si="332"/>
        <v/>
      </c>
      <c r="BZ180" s="172" t="str">
        <f t="shared" si="333"/>
        <v/>
      </c>
      <c r="CA180" s="171" t="str">
        <f t="array" ref="CA180">IFERROR(IF(BU180="ac"+ISNUMBER(SEARCH("'",BZ180))+BY180="","", IF(ISNUMBER(SEARCH("lw",BZ180)), BM180 + SUBSTITUTE(BZ180,"lw+",""), MROUND(SWITCH(BU180,"sq",BY$7,"bn",BZ$7,"dl",CA$7,"")*IF(BZ180&gt;10, BZ180/100, VLOOKUP(BZ180, _rpe,SUBSTITUTE(BY180,"+","")+1,0)), IF( SWITCH(BU180,"sq",BY$7,"bn",BZ$7,"dl", CA$7,"")&lt; IF(_uom="lbs", 175, 80), 1.25, IF(_uom="lbs",5,2.5))))), "")</f>
        <v/>
      </c>
      <c r="CB180" s="148"/>
      <c r="CC180" s="33"/>
      <c r="CD180" s="171"/>
      <c r="CE180" s="124" t="str">
        <f>IFERROR(__xludf.DUMMYFUNCTION("IF(CA180=MAX(FILTER(CA$10:CA$199,LOOKUP(ROW(BU$10:BU$199),FILTER(ROW(BU$10:BU$199),BU$10:BU$199&lt;&gt;BU$9:BU$198))=LOOKUP(ROW(BU180),FILTER(ROW(BU$10:BU$199),BU$10:BU$199&lt;&gt;BU$9:BU$198)))),CB180,)"),"")</f>
        <v/>
      </c>
      <c r="CF180" s="122"/>
      <c r="CG180" s="33"/>
      <c r="CH180" s="143" t="str">
        <f t="shared" si="21"/>
        <v/>
      </c>
      <c r="CI180" s="38" t="str">
        <f>IFERROR(__xludf.DUMMYFUNCTION("""COMPUTED_VALUE"""),"")</f>
        <v/>
      </c>
      <c r="CJ180" s="144">
        <v>46153.0</v>
      </c>
      <c r="CK180" s="167" t="str">
        <f t="shared" si="27"/>
        <v/>
      </c>
      <c r="CL180" s="168" t="str">
        <f t="shared" si="334"/>
        <v/>
      </c>
      <c r="CM180" s="169" t="str">
        <f t="shared" si="335"/>
        <v/>
      </c>
      <c r="CN180" s="172" t="str">
        <f t="shared" si="336"/>
        <v/>
      </c>
      <c r="CO180" s="171" t="str">
        <f t="array" ref="CO180">IFERROR(IF(CI180="ac"+ISNUMBER(SEARCH("'",CN180))+CM180="","", IF(ISNUMBER(SEARCH("lw",CN180)), CA180 + SUBSTITUTE(CN180,"lw+",""), MROUND(SWITCH(CI180,"sq",CM$7,"bn",CN$7,"dl",CO$7,"")*IF(CN180&gt;10, CN180/100, VLOOKUP(CN180, _rpe,SUBSTITUTE(CM180,"+","")+1,0)), IF( SWITCH(CI180,"sq",CM$7,"bn",CN$7,"dl", CO$7,"")&lt; IF(_uom="lbs", 175, 80), 1.25, IF(_uom="lbs",5,2.5))))), "")</f>
        <v/>
      </c>
      <c r="CP180" s="148"/>
      <c r="CQ180" s="33"/>
      <c r="CR180" s="171"/>
      <c r="CS180" s="124" t="str">
        <f>IFERROR(__xludf.DUMMYFUNCTION("IF(CO180=MAX(FILTER(CO$10:CO$199,LOOKUP(ROW(CI$10:CI$199),FILTER(ROW(CI$10:CI$199),CI$10:CI$199&lt;&gt;CI$9:CI$198))=LOOKUP(ROW(CI180),FILTER(ROW(CI$10:CI$199),CI$10:CI$199&lt;&gt;CI$9:CI$198)))),CP180,)"),"")</f>
        <v/>
      </c>
      <c r="CT180" s="122"/>
      <c r="CU180" s="33"/>
      <c r="CV180" s="143" t="str">
        <f t="shared" si="22"/>
        <v/>
      </c>
      <c r="CW180" s="38" t="str">
        <f>IFERROR(__xludf.DUMMYFUNCTION("""COMPUTED_VALUE"""),"")</f>
        <v/>
      </c>
      <c r="CX180" s="144">
        <v>46160.0</v>
      </c>
      <c r="CY180" s="167" t="str">
        <f t="shared" si="28"/>
        <v/>
      </c>
      <c r="CZ180" s="168" t="str">
        <f t="shared" si="337"/>
        <v/>
      </c>
      <c r="DA180" s="169" t="str">
        <f t="shared" si="338"/>
        <v/>
      </c>
      <c r="DB180" s="172" t="str">
        <f t="shared" si="339"/>
        <v/>
      </c>
      <c r="DC180" s="171" t="str">
        <f t="array" ref="DC180">IFERROR(IF(CW180="ac"+ISNUMBER(SEARCH("'",DB180))+DA180="","", IF(ISNUMBER(SEARCH("lw",DB180)), CO180 + SUBSTITUTE(DB180,"lw+",""), MROUND(SWITCH(CW180,"sq",DA$7,"bn",DB$7,"dl",DC$7,"")*IF(DB180&gt;10, DB180/100, VLOOKUP(DB180, _rpe,SUBSTITUTE(DA180,"+","")+1,0)), IF( SWITCH(CW180,"sq",DA$7,"bn",DB$7,"dl", DC$7,"")&lt; IF(_uom="lbs", 175, 80), 1.25, IF(_uom="lbs",5,2.5))))), "")</f>
        <v/>
      </c>
      <c r="DD180" s="148"/>
      <c r="DE180" s="33"/>
      <c r="DF180" s="171"/>
      <c r="DG180" s="124" t="str">
        <f>IFERROR(__xludf.DUMMYFUNCTION("IF(DC180=MAX(FILTER(DC$10:DC$199,LOOKUP(ROW(CW$10:CW$199),FILTER(ROW(CW$10:CW$199),CW$10:CW$199&lt;&gt;CW$9:CW$198))=LOOKUP(ROW(CW180),FILTER(ROW(CW$10:CW$199),CW$10:CW$199&lt;&gt;CW$9:CW$198)))),DD180,)"),"")</f>
        <v/>
      </c>
      <c r="DH180" s="122"/>
      <c r="DI180" s="33"/>
      <c r="DJ180" s="143" t="str">
        <f t="shared" si="23"/>
        <v/>
      </c>
      <c r="DK180" s="38" t="str">
        <f>IFERROR(__xludf.DUMMYFUNCTION("""COMPUTED_VALUE"""),"")</f>
        <v/>
      </c>
      <c r="DL180" s="144">
        <v>46167.0</v>
      </c>
      <c r="DM180" s="167" t="str">
        <f t="shared" ref="DM180:DN180" si="432">IF(ISBLANK(CY180),"",CY180)</f>
        <v/>
      </c>
      <c r="DN180" s="168" t="str">
        <f t="shared" si="432"/>
        <v/>
      </c>
      <c r="DO180" s="169" t="str">
        <f t="shared" si="341"/>
        <v/>
      </c>
      <c r="DP180" s="172" t="str">
        <f t="shared" si="342"/>
        <v/>
      </c>
      <c r="DQ180" s="171" t="str">
        <f t="array" ref="DQ180">IFERROR(IF(DK180="ac"+ISNUMBER(SEARCH("'",DP180))+DO180="","", IF(ISNUMBER(SEARCH("lw",DP180)), DC180 + SUBSTITUTE(DP180,"lw+",""), MROUND(SWITCH(DK180,"sq",DO$7,"bn",DP$7,"dl",DQ$7,"")*IF(DP180&gt;10, DP180/100, VLOOKUP(DP180, _rpe,SUBSTITUTE(DO180,"+","")+1,0)), IF( SWITCH(DK180,"sq",DO$7,"bn",DP$7,"dl", DQ$7,"")&lt; IF(_uom="lbs", 175, 80), 1.25, IF(_uom="lbs",5,2.5))))), "")</f>
        <v/>
      </c>
      <c r="DR180" s="148"/>
      <c r="DS180" s="33"/>
      <c r="DT180" s="171"/>
      <c r="DU180" s="124" t="str">
        <f>IFERROR(__xludf.DUMMYFUNCTION("IF(DQ180=MAX(FILTER(DQ$10:DQ$199,LOOKUP(ROW(DK$10:DK$199),FILTER(ROW(DK$10:DK$199),DK$10:DK$199&lt;&gt;DK$9:DK$198))=LOOKUP(ROW(DK180),FILTER(ROW(DK$10:DK$199),DK$10:DK$199&lt;&gt;DK$9:DK$198)))),DR180,)"),"")</f>
        <v/>
      </c>
      <c r="DV180" s="122"/>
      <c r="DW180" s="33"/>
      <c r="DX180" s="143"/>
      <c r="DY180" s="38"/>
      <c r="DZ180" s="144"/>
      <c r="EA180" s="150"/>
      <c r="EB180" s="174"/>
      <c r="EC180" s="175"/>
      <c r="ED180" s="176"/>
      <c r="EE180" s="155"/>
      <c r="EF180" s="148"/>
      <c r="EG180" s="33"/>
      <c r="EH180" s="155"/>
      <c r="EI180" s="148"/>
      <c r="EJ180" s="33"/>
      <c r="EK180" s="33"/>
      <c r="EL180" s="143"/>
      <c r="EM180" s="38"/>
      <c r="EN180" s="144"/>
      <c r="EO180" s="150"/>
      <c r="EP180" s="174"/>
      <c r="EQ180" s="175"/>
      <c r="ER180" s="176"/>
      <c r="ES180" s="155"/>
      <c r="ET180" s="148"/>
      <c r="EU180" s="33"/>
      <c r="EV180" s="155"/>
      <c r="EW180" s="148"/>
      <c r="EX180" s="33"/>
      <c r="EY180" s="33"/>
      <c r="EZ180" s="143"/>
      <c r="FA180" s="38"/>
      <c r="FB180" s="144"/>
      <c r="FC180" s="150"/>
      <c r="FD180" s="174"/>
      <c r="FE180" s="175"/>
      <c r="FF180" s="176"/>
      <c r="FG180" s="155"/>
      <c r="FH180" s="148"/>
      <c r="FI180" s="33"/>
      <c r="FJ180" s="155"/>
      <c r="FK180" s="148"/>
      <c r="FL180" s="33"/>
      <c r="FM180" s="33"/>
      <c r="FN180" s="143"/>
      <c r="FO180" s="38"/>
      <c r="FP180" s="144"/>
      <c r="FQ180" s="150"/>
      <c r="FR180" s="174"/>
      <c r="FS180" s="175"/>
      <c r="FT180" s="176"/>
      <c r="FU180" s="155"/>
      <c r="FV180" s="148"/>
      <c r="FW180" s="33"/>
      <c r="FX180" s="155"/>
      <c r="FY180" s="148"/>
      <c r="FZ180" s="33"/>
      <c r="GA180" s="33"/>
      <c r="GB180" s="143"/>
      <c r="GC180" s="38"/>
      <c r="GD180" s="144"/>
      <c r="GE180" s="150"/>
      <c r="GF180" s="174"/>
      <c r="GG180" s="175"/>
      <c r="GH180" s="176"/>
      <c r="GI180" s="155"/>
      <c r="GJ180" s="148"/>
      <c r="GK180" s="33"/>
      <c r="GL180" s="155"/>
      <c r="GM180" s="148"/>
      <c r="GN180" s="33"/>
      <c r="GO180" s="33"/>
      <c r="GP180" s="143"/>
      <c r="GQ180" s="38"/>
      <c r="GR180" s="144"/>
      <c r="GS180" s="150"/>
      <c r="GT180" s="174"/>
      <c r="GU180" s="175"/>
      <c r="GV180" s="176"/>
      <c r="GW180" s="155"/>
      <c r="GX180" s="148"/>
      <c r="GY180" s="33"/>
      <c r="GZ180" s="155"/>
      <c r="HA180" s="148"/>
      <c r="HB180" s="33"/>
      <c r="HC180" s="33"/>
      <c r="HD180" s="143"/>
      <c r="HE180" s="38"/>
      <c r="HF180" s="144"/>
      <c r="HG180" s="150"/>
      <c r="HH180" s="174"/>
      <c r="HI180" s="175"/>
      <c r="HJ180" s="176"/>
      <c r="HK180" s="155"/>
      <c r="HL180" s="148"/>
      <c r="HM180" s="33"/>
      <c r="HN180" s="155"/>
      <c r="HO180" s="148"/>
      <c r="HP180" s="33"/>
      <c r="HQ180" s="33"/>
      <c r="HR180" s="143"/>
      <c r="HS180" s="38"/>
      <c r="HT180" s="144"/>
      <c r="HU180" s="150"/>
      <c r="HV180" s="174"/>
      <c r="HW180" s="175"/>
      <c r="HX180" s="176"/>
      <c r="HY180" s="155"/>
      <c r="HZ180" s="148"/>
      <c r="IA180" s="33"/>
      <c r="IB180" s="155"/>
      <c r="IC180" s="148"/>
      <c r="ID180" s="33"/>
      <c r="IE180" s="33"/>
      <c r="IF180" s="143"/>
      <c r="IG180" s="38"/>
      <c r="IH180" s="144"/>
      <c r="II180" s="150"/>
      <c r="IJ180" s="174"/>
      <c r="IK180" s="175"/>
      <c r="IL180" s="176"/>
      <c r="IM180" s="155"/>
      <c r="IN180" s="148"/>
      <c r="IO180" s="33"/>
      <c r="IP180" s="155"/>
      <c r="IQ180" s="148"/>
      <c r="IR180" s="33"/>
      <c r="IS180" s="33"/>
      <c r="IT180" s="143"/>
      <c r="IU180" s="38"/>
      <c r="IV180" s="144"/>
      <c r="IW180" s="143"/>
      <c r="IX180" s="38"/>
      <c r="IY180" s="144" t="e">
        <v>#REF!</v>
      </c>
    </row>
    <row r="181">
      <c r="A181" s="33"/>
      <c r="B181" s="181"/>
      <c r="C181" s="38" t="str">
        <f>IFERROR(__xludf.DUMMYFUNCTION("""COMPUTED_VALUE"""),"")</f>
        <v/>
      </c>
      <c r="D181" s="144">
        <v>46111.0</v>
      </c>
      <c r="E181" s="182"/>
      <c r="F181" s="168"/>
      <c r="G181" s="169"/>
      <c r="H181" s="170"/>
      <c r="I181" s="171" t="str">
        <f t="array" ref="I181">IFERROR(IF(C181="ac"+ISNUMBER(SEARCH("'",H181))+G181="","", MROUND(SWITCH(C181,"sq",'Personal Info'!$O$15,"bn",'Personal Info'!$S$15,"dl",'Personal Info'!$W$15,"")*IF(H181&gt;10, H181/100, VLOOKUP(H181, _rpe,SUBSTITUTE(G181,"+","")+1,0)), IF( SWITCH(C181:C210,"sq",'Personal Info'!$O$15,"bn",'Personal Info'!$S$15,"dl", 'Personal Info'!$W$15,"")&lt; IF(_uom="lbs", 175, 80), 1.25, IF(_uom="lbs",5,2.5)))),"")</f>
        <v/>
      </c>
      <c r="J181" s="148"/>
      <c r="K181" s="33"/>
      <c r="L181" s="171"/>
      <c r="M181" s="124" t="str">
        <f>IFERROR(__xludf.DUMMYFUNCTION("IF(I181=MAX(FILTER(I$10:I$199,LOOKUP(ROW(C$10:C$199),FILTER(ROW(C$10:C$199),C$10:C$199&lt;&gt;C$9:C$198))=LOOKUP(ROW(C181),FILTER(ROW(C$10:C$199),C$10:C$199&lt;&gt;C$9:C$198)))),J181,)"),"")</f>
        <v/>
      </c>
      <c r="N181" s="122"/>
      <c r="O181" s="33"/>
      <c r="P181" s="143" t="str">
        <f t="shared" si="12"/>
        <v/>
      </c>
      <c r="Q181" s="38" t="str">
        <f>IFERROR(__xludf.DUMMYFUNCTION("""COMPUTED_VALUE"""),"")</f>
        <v/>
      </c>
      <c r="R181" s="144">
        <v>46118.0</v>
      </c>
      <c r="S181" s="167" t="str">
        <f t="shared" si="13"/>
        <v/>
      </c>
      <c r="T181" s="168" t="str">
        <f t="shared" si="319"/>
        <v/>
      </c>
      <c r="U181" s="169" t="str">
        <f t="shared" si="320"/>
        <v/>
      </c>
      <c r="V181" s="172" t="str">
        <f t="shared" si="321"/>
        <v/>
      </c>
      <c r="W181" s="171" t="str">
        <f t="array" ref="W181">IFERROR(IF(Q181="ac"+ISNUMBER(SEARCH("'",V181))+U181="","", IF(ISNUMBER(SEARCH("lw",V181)), I181 + SUBSTITUTE(V181,"lw+",""), MROUND(SWITCH(Q181,"sq",U$7,"bn",V$7,"dl",W$7,"")*IF(V181&gt;10, V181/100, VLOOKUP(V181, _rpe,SUBSTITUTE(U181,"+","")+1,0)), IF( SWITCH(Q181,"sq",U$7,"bn",V$7,"dl", W$7,"")&lt; IF(_uom="lbs", 175, 80), 1.25, IF(_uom="lbs",5,2.5))))), "")</f>
        <v/>
      </c>
      <c r="X181" s="148"/>
      <c r="Y181" s="33"/>
      <c r="Z181" s="171"/>
      <c r="AA181" s="124" t="str">
        <f>IFERROR(__xludf.DUMMYFUNCTION("IF(W181=MAX(FILTER(W$10:W$199,LOOKUP(ROW(Q$10:Q$199),FILTER(ROW(Q$10:Q$199),Q$10:Q$199&lt;&gt;Q$9:Q$198))=LOOKUP(ROW(Q181),FILTER(ROW(Q$10:Q$199),Q$10:Q$199&lt;&gt;Q$9:Q$198)))),X181,)"),"")</f>
        <v/>
      </c>
      <c r="AB181" s="122"/>
      <c r="AC181" s="33"/>
      <c r="AD181" s="143" t="str">
        <f t="shared" si="14"/>
        <v/>
      </c>
      <c r="AE181" s="38" t="str">
        <f>IFERROR(__xludf.DUMMYFUNCTION("""COMPUTED_VALUE"""),"")</f>
        <v/>
      </c>
      <c r="AF181" s="144">
        <v>46125.0</v>
      </c>
      <c r="AG181" s="167" t="str">
        <f t="shared" si="54"/>
        <v/>
      </c>
      <c r="AH181" s="168" t="str">
        <f t="shared" si="322"/>
        <v/>
      </c>
      <c r="AI181" s="169" t="str">
        <f t="shared" si="323"/>
        <v/>
      </c>
      <c r="AJ181" s="172" t="str">
        <f t="shared" si="324"/>
        <v/>
      </c>
      <c r="AK181" s="171" t="str">
        <f t="array" ref="AK181">IFERROR(IF(AE181="ac"+ISNUMBER(SEARCH("'",AJ181))+AI181="","", IF(ISNUMBER(SEARCH("lw",AJ181)), W181 + SUBSTITUTE(AJ181,"lw+",""), MROUND(SWITCH(AE181,"sq",AI$7,"bn",AJ$7,"dl",AK$7,"")*IF(AJ181&gt;10, AJ181/100, VLOOKUP(AJ181, _rpe,SUBSTITUTE(AI181,"+","")+1,0)), IF( SWITCH(AE181,"sq",AI$7,"bn",AJ$7,"dl", AK$7,"")&lt; IF(_uom="lbs", 175, 80), 1.25, IF(_uom="lbs",5,2.5))))), "")</f>
        <v/>
      </c>
      <c r="AL181" s="148"/>
      <c r="AM181" s="33"/>
      <c r="AN181" s="171"/>
      <c r="AO181" s="124" t="str">
        <f>IFERROR(__xludf.DUMMYFUNCTION("IF(AK181=MAX(FILTER(AK$10:AK$199,LOOKUP(ROW(AE$10:AE$199),FILTER(ROW(AE$10:AE$199),AE$10:AE$199&lt;&gt;AE$9:AE$198))=LOOKUP(ROW(AE181),FILTER(ROW(AE$10:AE$199),AE$10:AE$199&lt;&gt;AE$9:AE$198)))),AL181,)"),"")</f>
        <v/>
      </c>
      <c r="AP181" s="122"/>
      <c r="AQ181" s="33"/>
      <c r="AR181" s="143" t="str">
        <f t="shared" si="16"/>
        <v/>
      </c>
      <c r="AS181" s="38" t="str">
        <f>IFERROR(__xludf.DUMMYFUNCTION("""COMPUTED_VALUE"""),"")</f>
        <v/>
      </c>
      <c r="AT181" s="144">
        <v>46132.0</v>
      </c>
      <c r="AU181" s="167" t="str">
        <f t="shared" si="26"/>
        <v/>
      </c>
      <c r="AV181" s="168" t="str">
        <f t="shared" si="325"/>
        <v/>
      </c>
      <c r="AW181" s="169" t="str">
        <f t="shared" si="326"/>
        <v/>
      </c>
      <c r="AX181" s="172" t="str">
        <f t="shared" si="327"/>
        <v/>
      </c>
      <c r="AY181" s="171" t="str">
        <f t="array" ref="AY181">IFERROR(IF(AS181="ac"+ISNUMBER(SEARCH("'",AX181))+AW181="","", IF(ISNUMBER(SEARCH("lw",AX181)), AK181 + SUBSTITUTE(AX181,"lw+",""), MROUND(SWITCH(AS181,"sq",AW$7,"bn",AX$7,"dl",AY$7,"")*IF(AX181&gt;10, AX181/100, VLOOKUP(AX181, _rpe,SUBSTITUTE(AW181,"+","")+1,0)), IF( SWITCH(AS181,"sq",AW$7,"bn",AX$7,"dl", AY$7,"")&lt; IF(_uom="lbs", 175, 80), 1.25, IF(_uom="lbs",5,2.5))))), "")</f>
        <v/>
      </c>
      <c r="AZ181" s="148"/>
      <c r="BA181" s="33"/>
      <c r="BB181" s="171"/>
      <c r="BC181" s="124" t="str">
        <f>IFERROR(__xludf.DUMMYFUNCTION("IF(AY181=MAX(FILTER(AY$10:AY$199,LOOKUP(ROW(AS$10:AS$199),FILTER(ROW(AS$10:AS$199),AS$10:AS$199&lt;&gt;AS$9:AS$198))=LOOKUP(ROW(AS181),FILTER(ROW(AS$10:AS$199),AS$10:AS$199&lt;&gt;AS$9:AS$198)))),AZ181,)"),"")</f>
        <v/>
      </c>
      <c r="BD181" s="122"/>
      <c r="BE181" s="33"/>
      <c r="BF181" s="143" t="str">
        <f t="shared" si="17"/>
        <v/>
      </c>
      <c r="BG181" s="38" t="str">
        <f>IFERROR(__xludf.DUMMYFUNCTION("""COMPUTED_VALUE"""),"")</f>
        <v/>
      </c>
      <c r="BH181" s="144">
        <v>46139.0</v>
      </c>
      <c r="BI181" s="167" t="str">
        <f t="shared" si="18"/>
        <v/>
      </c>
      <c r="BJ181" s="168" t="str">
        <f t="shared" si="328"/>
        <v/>
      </c>
      <c r="BK181" s="169" t="str">
        <f t="shared" si="329"/>
        <v/>
      </c>
      <c r="BL181" s="172" t="str">
        <f t="shared" si="330"/>
        <v/>
      </c>
      <c r="BM181" s="171" t="str">
        <f t="array" ref="BM181">IFERROR(IF(BG181="ac"+ISNUMBER(SEARCH("'",BL181))+BK181="","", IF(ISNUMBER(SEARCH("lw",BL181)), AY181 + SUBSTITUTE(BL181,"lw+",""), MROUND(SWITCH(BG181,"sq",BK$7,"bn",BL$7,"dl",BM$7,"")*IF(BL181&gt;10, BL181/100, VLOOKUP(BL181, _rpe,SUBSTITUTE(BK181,"+","")+1,0)), IF( SWITCH(BG181,"sq",BK$7,"bn",BL$7,"dl", BM$7,"")&lt; IF(_uom="lbs", 175, 80), 1.25, IF(_uom="lbs",5,2.5))))), "")</f>
        <v/>
      </c>
      <c r="BN181" s="148"/>
      <c r="BO181" s="33"/>
      <c r="BP181" s="171"/>
      <c r="BQ181" s="124" t="str">
        <f>IFERROR(__xludf.DUMMYFUNCTION("IF(BM181=MAX(FILTER(BM$10:BM$199,LOOKUP(ROW(BG$10:BG$199),FILTER(ROW(BG$10:BG$199),BG$10:BG$199&lt;&gt;BG$9:BG$198))=LOOKUP(ROW(BG181),FILTER(ROW(BG$10:BG$199),BG$10:BG$199&lt;&gt;BG$9:BG$198)))),BN181,)"),"")</f>
        <v/>
      </c>
      <c r="BR181" s="122"/>
      <c r="BS181" s="33"/>
      <c r="BT181" s="143" t="str">
        <f t="shared" si="19"/>
        <v/>
      </c>
      <c r="BU181" s="38" t="str">
        <f>IFERROR(__xludf.DUMMYFUNCTION("""COMPUTED_VALUE"""),"")</f>
        <v/>
      </c>
      <c r="BV181" s="144">
        <v>46146.0</v>
      </c>
      <c r="BW181" s="167" t="str">
        <f t="shared" si="20"/>
        <v/>
      </c>
      <c r="BX181" s="168" t="str">
        <f t="shared" si="331"/>
        <v/>
      </c>
      <c r="BY181" s="169" t="str">
        <f t="shared" si="332"/>
        <v/>
      </c>
      <c r="BZ181" s="172" t="str">
        <f t="shared" si="333"/>
        <v/>
      </c>
      <c r="CA181" s="171" t="str">
        <f t="array" ref="CA181">IFERROR(IF(BU181="ac"+ISNUMBER(SEARCH("'",BZ181))+BY181="","", IF(ISNUMBER(SEARCH("lw",BZ181)), BM181 + SUBSTITUTE(BZ181,"lw+",""), MROUND(SWITCH(BU181,"sq",BY$7,"bn",BZ$7,"dl",CA$7,"")*IF(BZ181&gt;10, BZ181/100, VLOOKUP(BZ181, _rpe,SUBSTITUTE(BY181,"+","")+1,0)), IF( SWITCH(BU181,"sq",BY$7,"bn",BZ$7,"dl", CA$7,"")&lt; IF(_uom="lbs", 175, 80), 1.25, IF(_uom="lbs",5,2.5))))), "")</f>
        <v/>
      </c>
      <c r="CB181" s="148"/>
      <c r="CC181" s="33"/>
      <c r="CD181" s="171"/>
      <c r="CE181" s="124" t="str">
        <f>IFERROR(__xludf.DUMMYFUNCTION("IF(CA181=MAX(FILTER(CA$10:CA$199,LOOKUP(ROW(BU$10:BU$199),FILTER(ROW(BU$10:BU$199),BU$10:BU$199&lt;&gt;BU$9:BU$198))=LOOKUP(ROW(BU181),FILTER(ROW(BU$10:BU$199),BU$10:BU$199&lt;&gt;BU$9:BU$198)))),CB181,)"),"")</f>
        <v/>
      </c>
      <c r="CF181" s="122"/>
      <c r="CG181" s="33"/>
      <c r="CH181" s="143" t="str">
        <f t="shared" si="21"/>
        <v/>
      </c>
      <c r="CI181" s="38" t="str">
        <f>IFERROR(__xludf.DUMMYFUNCTION("""COMPUTED_VALUE"""),"")</f>
        <v/>
      </c>
      <c r="CJ181" s="144">
        <v>46153.0</v>
      </c>
      <c r="CK181" s="167" t="str">
        <f t="shared" si="27"/>
        <v/>
      </c>
      <c r="CL181" s="168" t="str">
        <f t="shared" si="334"/>
        <v/>
      </c>
      <c r="CM181" s="169" t="str">
        <f t="shared" si="335"/>
        <v/>
      </c>
      <c r="CN181" s="172" t="str">
        <f t="shared" si="336"/>
        <v/>
      </c>
      <c r="CO181" s="171" t="str">
        <f t="array" ref="CO181">IFERROR(IF(CI181="ac"+ISNUMBER(SEARCH("'",CN181))+CM181="","", IF(ISNUMBER(SEARCH("lw",CN181)), CA181 + SUBSTITUTE(CN181,"lw+",""), MROUND(SWITCH(CI181,"sq",CM$7,"bn",CN$7,"dl",CO$7,"")*IF(CN181&gt;10, CN181/100, VLOOKUP(CN181, _rpe,SUBSTITUTE(CM181,"+","")+1,0)), IF( SWITCH(CI181,"sq",CM$7,"bn",CN$7,"dl", CO$7,"")&lt; IF(_uom="lbs", 175, 80), 1.25, IF(_uom="lbs",5,2.5))))), "")</f>
        <v/>
      </c>
      <c r="CP181" s="148"/>
      <c r="CQ181" s="33"/>
      <c r="CR181" s="171"/>
      <c r="CS181" s="124" t="str">
        <f>IFERROR(__xludf.DUMMYFUNCTION("IF(CO181=MAX(FILTER(CO$10:CO$199,LOOKUP(ROW(CI$10:CI$199),FILTER(ROW(CI$10:CI$199),CI$10:CI$199&lt;&gt;CI$9:CI$198))=LOOKUP(ROW(CI181),FILTER(ROW(CI$10:CI$199),CI$10:CI$199&lt;&gt;CI$9:CI$198)))),CP181,)"),"")</f>
        <v/>
      </c>
      <c r="CT181" s="122"/>
      <c r="CU181" s="33"/>
      <c r="CV181" s="143" t="str">
        <f t="shared" si="22"/>
        <v/>
      </c>
      <c r="CW181" s="38" t="str">
        <f>IFERROR(__xludf.DUMMYFUNCTION("""COMPUTED_VALUE"""),"")</f>
        <v/>
      </c>
      <c r="CX181" s="144">
        <v>46160.0</v>
      </c>
      <c r="CY181" s="167" t="str">
        <f t="shared" si="28"/>
        <v/>
      </c>
      <c r="CZ181" s="168" t="str">
        <f t="shared" si="337"/>
        <v/>
      </c>
      <c r="DA181" s="169" t="str">
        <f t="shared" si="338"/>
        <v/>
      </c>
      <c r="DB181" s="172" t="str">
        <f t="shared" si="339"/>
        <v/>
      </c>
      <c r="DC181" s="171" t="str">
        <f t="array" ref="DC181">IFERROR(IF(CW181="ac"+ISNUMBER(SEARCH("'",DB181))+DA181="","", IF(ISNUMBER(SEARCH("lw",DB181)), CO181 + SUBSTITUTE(DB181,"lw+",""), MROUND(SWITCH(CW181,"sq",DA$7,"bn",DB$7,"dl",DC$7,"")*IF(DB181&gt;10, DB181/100, VLOOKUP(DB181, _rpe,SUBSTITUTE(DA181,"+","")+1,0)), IF( SWITCH(CW181,"sq",DA$7,"bn",DB$7,"dl", DC$7,"")&lt; IF(_uom="lbs", 175, 80), 1.25, IF(_uom="lbs",5,2.5))))), "")</f>
        <v/>
      </c>
      <c r="DD181" s="148"/>
      <c r="DE181" s="33"/>
      <c r="DF181" s="171"/>
      <c r="DG181" s="124" t="str">
        <f>IFERROR(__xludf.DUMMYFUNCTION("IF(DC181=MAX(FILTER(DC$10:DC$199,LOOKUP(ROW(CW$10:CW$199),FILTER(ROW(CW$10:CW$199),CW$10:CW$199&lt;&gt;CW$9:CW$198))=LOOKUP(ROW(CW181),FILTER(ROW(CW$10:CW$199),CW$10:CW$199&lt;&gt;CW$9:CW$198)))),DD181,)"),"")</f>
        <v/>
      </c>
      <c r="DH181" s="122"/>
      <c r="DI181" s="33"/>
      <c r="DJ181" s="143" t="str">
        <f t="shared" si="23"/>
        <v/>
      </c>
      <c r="DK181" s="38" t="str">
        <f>IFERROR(__xludf.DUMMYFUNCTION("""COMPUTED_VALUE"""),"")</f>
        <v/>
      </c>
      <c r="DL181" s="144">
        <v>46167.0</v>
      </c>
      <c r="DM181" s="167" t="str">
        <f t="shared" ref="DM181:DN181" si="433">IF(ISBLANK(CY181),"",CY181)</f>
        <v/>
      </c>
      <c r="DN181" s="168" t="str">
        <f t="shared" si="433"/>
        <v/>
      </c>
      <c r="DO181" s="169" t="str">
        <f t="shared" si="341"/>
        <v/>
      </c>
      <c r="DP181" s="172" t="str">
        <f t="shared" si="342"/>
        <v/>
      </c>
      <c r="DQ181" s="171" t="str">
        <f t="array" ref="DQ181">IFERROR(IF(DK181="ac"+ISNUMBER(SEARCH("'",DP181))+DO181="","", IF(ISNUMBER(SEARCH("lw",DP181)), DC181 + SUBSTITUTE(DP181,"lw+",""), MROUND(SWITCH(DK181,"sq",DO$7,"bn",DP$7,"dl",DQ$7,"")*IF(DP181&gt;10, DP181/100, VLOOKUP(DP181, _rpe,SUBSTITUTE(DO181,"+","")+1,0)), IF( SWITCH(DK181,"sq",DO$7,"bn",DP$7,"dl", DQ$7,"")&lt; IF(_uom="lbs", 175, 80), 1.25, IF(_uom="lbs",5,2.5))))), "")</f>
        <v/>
      </c>
      <c r="DR181" s="148"/>
      <c r="DS181" s="33"/>
      <c r="DT181" s="171"/>
      <c r="DU181" s="124" t="str">
        <f>IFERROR(__xludf.DUMMYFUNCTION("IF(DQ181=MAX(FILTER(DQ$10:DQ$199,LOOKUP(ROW(DK$10:DK$199),FILTER(ROW(DK$10:DK$199),DK$10:DK$199&lt;&gt;DK$9:DK$198))=LOOKUP(ROW(DK181),FILTER(ROW(DK$10:DK$199),DK$10:DK$199&lt;&gt;DK$9:DK$198)))),DR181,)"),"")</f>
        <v/>
      </c>
      <c r="DV181" s="122"/>
      <c r="DW181" s="33"/>
      <c r="DX181" s="143"/>
      <c r="DY181" s="38"/>
      <c r="DZ181" s="144"/>
      <c r="EA181" s="150"/>
      <c r="EB181" s="174"/>
      <c r="EC181" s="175"/>
      <c r="ED181" s="176"/>
      <c r="EE181" s="155"/>
      <c r="EF181" s="148"/>
      <c r="EG181" s="33"/>
      <c r="EH181" s="155"/>
      <c r="EI181" s="148"/>
      <c r="EJ181" s="33"/>
      <c r="EK181" s="33"/>
      <c r="EL181" s="143"/>
      <c r="EM181" s="38"/>
      <c r="EN181" s="144"/>
      <c r="EO181" s="150"/>
      <c r="EP181" s="174"/>
      <c r="EQ181" s="175"/>
      <c r="ER181" s="176"/>
      <c r="ES181" s="155"/>
      <c r="ET181" s="148"/>
      <c r="EU181" s="33"/>
      <c r="EV181" s="155"/>
      <c r="EW181" s="148"/>
      <c r="EX181" s="33"/>
      <c r="EY181" s="33"/>
      <c r="EZ181" s="143"/>
      <c r="FA181" s="38"/>
      <c r="FB181" s="144"/>
      <c r="FC181" s="150"/>
      <c r="FD181" s="174"/>
      <c r="FE181" s="175"/>
      <c r="FF181" s="176"/>
      <c r="FG181" s="155"/>
      <c r="FH181" s="148"/>
      <c r="FI181" s="33"/>
      <c r="FJ181" s="155"/>
      <c r="FK181" s="148"/>
      <c r="FL181" s="33"/>
      <c r="FM181" s="33"/>
      <c r="FN181" s="143"/>
      <c r="FO181" s="38"/>
      <c r="FP181" s="144"/>
      <c r="FQ181" s="150"/>
      <c r="FR181" s="174"/>
      <c r="FS181" s="175"/>
      <c r="FT181" s="176"/>
      <c r="FU181" s="155"/>
      <c r="FV181" s="148"/>
      <c r="FW181" s="33"/>
      <c r="FX181" s="155"/>
      <c r="FY181" s="148"/>
      <c r="FZ181" s="33"/>
      <c r="GA181" s="33"/>
      <c r="GB181" s="143"/>
      <c r="GC181" s="38"/>
      <c r="GD181" s="144"/>
      <c r="GE181" s="150"/>
      <c r="GF181" s="174"/>
      <c r="GG181" s="175"/>
      <c r="GH181" s="176"/>
      <c r="GI181" s="155"/>
      <c r="GJ181" s="148"/>
      <c r="GK181" s="33"/>
      <c r="GL181" s="155"/>
      <c r="GM181" s="148"/>
      <c r="GN181" s="33"/>
      <c r="GO181" s="33"/>
      <c r="GP181" s="143"/>
      <c r="GQ181" s="38"/>
      <c r="GR181" s="144"/>
      <c r="GS181" s="150"/>
      <c r="GT181" s="174"/>
      <c r="GU181" s="175"/>
      <c r="GV181" s="176"/>
      <c r="GW181" s="155"/>
      <c r="GX181" s="148"/>
      <c r="GY181" s="33"/>
      <c r="GZ181" s="155"/>
      <c r="HA181" s="148"/>
      <c r="HB181" s="33"/>
      <c r="HC181" s="33"/>
      <c r="HD181" s="143"/>
      <c r="HE181" s="38"/>
      <c r="HF181" s="144"/>
      <c r="HG181" s="150"/>
      <c r="HH181" s="174"/>
      <c r="HI181" s="175"/>
      <c r="HJ181" s="176"/>
      <c r="HK181" s="155"/>
      <c r="HL181" s="148"/>
      <c r="HM181" s="33"/>
      <c r="HN181" s="155"/>
      <c r="HO181" s="148"/>
      <c r="HP181" s="33"/>
      <c r="HQ181" s="33"/>
      <c r="HR181" s="143"/>
      <c r="HS181" s="38"/>
      <c r="HT181" s="144"/>
      <c r="HU181" s="150"/>
      <c r="HV181" s="174"/>
      <c r="HW181" s="175"/>
      <c r="HX181" s="176"/>
      <c r="HY181" s="155"/>
      <c r="HZ181" s="148"/>
      <c r="IA181" s="33"/>
      <c r="IB181" s="155"/>
      <c r="IC181" s="148"/>
      <c r="ID181" s="33"/>
      <c r="IE181" s="33"/>
      <c r="IF181" s="143"/>
      <c r="IG181" s="38"/>
      <c r="IH181" s="144"/>
      <c r="II181" s="150"/>
      <c r="IJ181" s="174"/>
      <c r="IK181" s="175"/>
      <c r="IL181" s="176"/>
      <c r="IM181" s="155"/>
      <c r="IN181" s="148"/>
      <c r="IO181" s="33"/>
      <c r="IP181" s="155"/>
      <c r="IQ181" s="148"/>
      <c r="IR181" s="33"/>
      <c r="IS181" s="33"/>
      <c r="IT181" s="143"/>
      <c r="IU181" s="38"/>
      <c r="IV181" s="144"/>
      <c r="IW181" s="143"/>
      <c r="IX181" s="38"/>
      <c r="IY181" s="144" t="e">
        <v>#REF!</v>
      </c>
    </row>
    <row r="182">
      <c r="A182" s="33"/>
      <c r="B182" s="181"/>
      <c r="C182" s="38" t="str">
        <f>IFERROR(__xludf.DUMMYFUNCTION("""COMPUTED_VALUE"""),"")</f>
        <v/>
      </c>
      <c r="D182" s="144">
        <v>46111.0</v>
      </c>
      <c r="E182" s="182"/>
      <c r="F182" s="168"/>
      <c r="G182" s="169"/>
      <c r="H182" s="170"/>
      <c r="I182" s="171" t="str">
        <f t="array" ref="I182">IFERROR(IF(C182="ac"+ISNUMBER(SEARCH("'",H182))+G182="","", MROUND(SWITCH(C182,"sq",'Personal Info'!$O$15,"bn",'Personal Info'!$S$15,"dl",'Personal Info'!$W$15,"")*IF(H182&gt;10, H182/100, VLOOKUP(H182, _rpe,SUBSTITUTE(G182,"+","")+1,0)), IF( SWITCH(C182:C210,"sq",'Personal Info'!$O$15,"bn",'Personal Info'!$S$15,"dl", 'Personal Info'!$W$15,"")&lt; IF(_uom="lbs", 175, 80), 1.25, IF(_uom="lbs",5,2.5)))),"")</f>
        <v/>
      </c>
      <c r="J182" s="148"/>
      <c r="K182" s="33"/>
      <c r="L182" s="171"/>
      <c r="M182" s="124" t="str">
        <f>IFERROR(__xludf.DUMMYFUNCTION("IF(I182=MAX(FILTER(I$10:I$199,LOOKUP(ROW(C$10:C$199),FILTER(ROW(C$10:C$199),C$10:C$199&lt;&gt;C$9:C$198))=LOOKUP(ROW(C182),FILTER(ROW(C$10:C$199),C$10:C$199&lt;&gt;C$9:C$198)))),J182,)"),"")</f>
        <v/>
      </c>
      <c r="N182" s="122"/>
      <c r="O182" s="33"/>
      <c r="P182" s="143" t="str">
        <f t="shared" si="12"/>
        <v/>
      </c>
      <c r="Q182" s="38" t="str">
        <f>IFERROR(__xludf.DUMMYFUNCTION("""COMPUTED_VALUE"""),"")</f>
        <v/>
      </c>
      <c r="R182" s="144">
        <v>46118.0</v>
      </c>
      <c r="S182" s="167" t="str">
        <f t="shared" si="13"/>
        <v/>
      </c>
      <c r="T182" s="168" t="str">
        <f t="shared" si="319"/>
        <v/>
      </c>
      <c r="U182" s="169" t="str">
        <f t="shared" si="320"/>
        <v/>
      </c>
      <c r="V182" s="172" t="str">
        <f t="shared" si="321"/>
        <v/>
      </c>
      <c r="W182" s="171" t="str">
        <f t="array" ref="W182">IFERROR(IF(Q182="ac"+ISNUMBER(SEARCH("'",V182))+U182="","", IF(ISNUMBER(SEARCH("lw",V182)), I182 + SUBSTITUTE(V182,"lw+",""), MROUND(SWITCH(Q182,"sq",U$7,"bn",V$7,"dl",W$7,"")*IF(V182&gt;10, V182/100, VLOOKUP(V182, _rpe,SUBSTITUTE(U182,"+","")+1,0)), IF( SWITCH(Q182,"sq",U$7,"bn",V$7,"dl", W$7,"")&lt; IF(_uom="lbs", 175, 80), 1.25, IF(_uom="lbs",5,2.5))))), "")</f>
        <v/>
      </c>
      <c r="X182" s="148"/>
      <c r="Y182" s="33"/>
      <c r="Z182" s="171"/>
      <c r="AA182" s="124" t="str">
        <f>IFERROR(__xludf.DUMMYFUNCTION("IF(W182=MAX(FILTER(W$10:W$199,LOOKUP(ROW(Q$10:Q$199),FILTER(ROW(Q$10:Q$199),Q$10:Q$199&lt;&gt;Q$9:Q$198))=LOOKUP(ROW(Q182),FILTER(ROW(Q$10:Q$199),Q$10:Q$199&lt;&gt;Q$9:Q$198)))),X182,)"),"")</f>
        <v/>
      </c>
      <c r="AB182" s="122"/>
      <c r="AC182" s="33"/>
      <c r="AD182" s="143" t="str">
        <f t="shared" si="14"/>
        <v/>
      </c>
      <c r="AE182" s="38" t="str">
        <f>IFERROR(__xludf.DUMMYFUNCTION("""COMPUTED_VALUE"""),"")</f>
        <v/>
      </c>
      <c r="AF182" s="144">
        <v>46125.0</v>
      </c>
      <c r="AG182" s="167" t="str">
        <f t="shared" si="54"/>
        <v/>
      </c>
      <c r="AH182" s="168" t="str">
        <f t="shared" si="322"/>
        <v/>
      </c>
      <c r="AI182" s="169" t="str">
        <f t="shared" si="323"/>
        <v/>
      </c>
      <c r="AJ182" s="172" t="str">
        <f t="shared" si="324"/>
        <v/>
      </c>
      <c r="AK182" s="171" t="str">
        <f t="array" ref="AK182">IFERROR(IF(AE182="ac"+ISNUMBER(SEARCH("'",AJ182))+AI182="","", IF(ISNUMBER(SEARCH("lw",AJ182)), W182 + SUBSTITUTE(AJ182,"lw+",""), MROUND(SWITCH(AE182,"sq",AI$7,"bn",AJ$7,"dl",AK$7,"")*IF(AJ182&gt;10, AJ182/100, VLOOKUP(AJ182, _rpe,SUBSTITUTE(AI182,"+","")+1,0)), IF( SWITCH(AE182,"sq",AI$7,"bn",AJ$7,"dl", AK$7,"")&lt; IF(_uom="lbs", 175, 80), 1.25, IF(_uom="lbs",5,2.5))))), "")</f>
        <v/>
      </c>
      <c r="AL182" s="148"/>
      <c r="AM182" s="33"/>
      <c r="AN182" s="171"/>
      <c r="AO182" s="124" t="str">
        <f>IFERROR(__xludf.DUMMYFUNCTION("IF(AK182=MAX(FILTER(AK$10:AK$199,LOOKUP(ROW(AE$10:AE$199),FILTER(ROW(AE$10:AE$199),AE$10:AE$199&lt;&gt;AE$9:AE$198))=LOOKUP(ROW(AE182),FILTER(ROW(AE$10:AE$199),AE$10:AE$199&lt;&gt;AE$9:AE$198)))),AL182,)"),"")</f>
        <v/>
      </c>
      <c r="AP182" s="122"/>
      <c r="AQ182" s="33"/>
      <c r="AR182" s="143" t="str">
        <f t="shared" si="16"/>
        <v/>
      </c>
      <c r="AS182" s="38" t="str">
        <f>IFERROR(__xludf.DUMMYFUNCTION("""COMPUTED_VALUE"""),"")</f>
        <v/>
      </c>
      <c r="AT182" s="144">
        <v>46132.0</v>
      </c>
      <c r="AU182" s="167" t="str">
        <f t="shared" si="26"/>
        <v/>
      </c>
      <c r="AV182" s="168" t="str">
        <f t="shared" si="325"/>
        <v/>
      </c>
      <c r="AW182" s="169" t="str">
        <f t="shared" si="326"/>
        <v/>
      </c>
      <c r="AX182" s="172" t="str">
        <f t="shared" si="327"/>
        <v/>
      </c>
      <c r="AY182" s="171" t="str">
        <f t="array" ref="AY182">IFERROR(IF(AS182="ac"+ISNUMBER(SEARCH("'",AX182))+AW182="","", IF(ISNUMBER(SEARCH("lw",AX182)), AK182 + SUBSTITUTE(AX182,"lw+",""), MROUND(SWITCH(AS182,"sq",AW$7,"bn",AX$7,"dl",AY$7,"")*IF(AX182&gt;10, AX182/100, VLOOKUP(AX182, _rpe,SUBSTITUTE(AW182,"+","")+1,0)), IF( SWITCH(AS182,"sq",AW$7,"bn",AX$7,"dl", AY$7,"")&lt; IF(_uom="lbs", 175, 80), 1.25, IF(_uom="lbs",5,2.5))))), "")</f>
        <v/>
      </c>
      <c r="AZ182" s="148"/>
      <c r="BA182" s="33"/>
      <c r="BB182" s="171"/>
      <c r="BC182" s="124" t="str">
        <f>IFERROR(__xludf.DUMMYFUNCTION("IF(AY182=MAX(FILTER(AY$10:AY$199,LOOKUP(ROW(AS$10:AS$199),FILTER(ROW(AS$10:AS$199),AS$10:AS$199&lt;&gt;AS$9:AS$198))=LOOKUP(ROW(AS182),FILTER(ROW(AS$10:AS$199),AS$10:AS$199&lt;&gt;AS$9:AS$198)))),AZ182,)"),"")</f>
        <v/>
      </c>
      <c r="BD182" s="122"/>
      <c r="BE182" s="33"/>
      <c r="BF182" s="143" t="str">
        <f t="shared" si="17"/>
        <v/>
      </c>
      <c r="BG182" s="38" t="str">
        <f>IFERROR(__xludf.DUMMYFUNCTION("""COMPUTED_VALUE"""),"")</f>
        <v/>
      </c>
      <c r="BH182" s="144">
        <v>46139.0</v>
      </c>
      <c r="BI182" s="167" t="str">
        <f t="shared" si="18"/>
        <v/>
      </c>
      <c r="BJ182" s="168" t="str">
        <f t="shared" si="328"/>
        <v/>
      </c>
      <c r="BK182" s="169" t="str">
        <f t="shared" si="329"/>
        <v/>
      </c>
      <c r="BL182" s="172" t="str">
        <f t="shared" si="330"/>
        <v/>
      </c>
      <c r="BM182" s="171" t="str">
        <f t="array" ref="BM182">IFERROR(IF(BG182="ac"+ISNUMBER(SEARCH("'",BL182))+BK182="","", IF(ISNUMBER(SEARCH("lw",BL182)), AY182 + SUBSTITUTE(BL182,"lw+",""), MROUND(SWITCH(BG182,"sq",BK$7,"bn",BL$7,"dl",BM$7,"")*IF(BL182&gt;10, BL182/100, VLOOKUP(BL182, _rpe,SUBSTITUTE(BK182,"+","")+1,0)), IF( SWITCH(BG182,"sq",BK$7,"bn",BL$7,"dl", BM$7,"")&lt; IF(_uom="lbs", 175, 80), 1.25, IF(_uom="lbs",5,2.5))))), "")</f>
        <v/>
      </c>
      <c r="BN182" s="148"/>
      <c r="BO182" s="33"/>
      <c r="BP182" s="171"/>
      <c r="BQ182" s="124" t="str">
        <f>IFERROR(__xludf.DUMMYFUNCTION("IF(BM182=MAX(FILTER(BM$10:BM$199,LOOKUP(ROW(BG$10:BG$199),FILTER(ROW(BG$10:BG$199),BG$10:BG$199&lt;&gt;BG$9:BG$198))=LOOKUP(ROW(BG182),FILTER(ROW(BG$10:BG$199),BG$10:BG$199&lt;&gt;BG$9:BG$198)))),BN182,)"),"")</f>
        <v/>
      </c>
      <c r="BR182" s="122"/>
      <c r="BS182" s="33"/>
      <c r="BT182" s="143" t="str">
        <f t="shared" si="19"/>
        <v/>
      </c>
      <c r="BU182" s="38" t="str">
        <f>IFERROR(__xludf.DUMMYFUNCTION("""COMPUTED_VALUE"""),"")</f>
        <v/>
      </c>
      <c r="BV182" s="144">
        <v>46146.0</v>
      </c>
      <c r="BW182" s="167" t="str">
        <f t="shared" si="20"/>
        <v/>
      </c>
      <c r="BX182" s="168" t="str">
        <f t="shared" si="331"/>
        <v/>
      </c>
      <c r="BY182" s="169" t="str">
        <f t="shared" si="332"/>
        <v/>
      </c>
      <c r="BZ182" s="172" t="str">
        <f t="shared" si="333"/>
        <v/>
      </c>
      <c r="CA182" s="171" t="str">
        <f t="array" ref="CA182">IFERROR(IF(BU182="ac"+ISNUMBER(SEARCH("'",BZ182))+BY182="","", IF(ISNUMBER(SEARCH("lw",BZ182)), BM182 + SUBSTITUTE(BZ182,"lw+",""), MROUND(SWITCH(BU182,"sq",BY$7,"bn",BZ$7,"dl",CA$7,"")*IF(BZ182&gt;10, BZ182/100, VLOOKUP(BZ182, _rpe,SUBSTITUTE(BY182,"+","")+1,0)), IF( SWITCH(BU182,"sq",BY$7,"bn",BZ$7,"dl", CA$7,"")&lt; IF(_uom="lbs", 175, 80), 1.25, IF(_uom="lbs",5,2.5))))), "")</f>
        <v/>
      </c>
      <c r="CB182" s="148"/>
      <c r="CC182" s="33"/>
      <c r="CD182" s="171"/>
      <c r="CE182" s="124" t="str">
        <f>IFERROR(__xludf.DUMMYFUNCTION("IF(CA182=MAX(FILTER(CA$10:CA$199,LOOKUP(ROW(BU$10:BU$199),FILTER(ROW(BU$10:BU$199),BU$10:BU$199&lt;&gt;BU$9:BU$198))=LOOKUP(ROW(BU182),FILTER(ROW(BU$10:BU$199),BU$10:BU$199&lt;&gt;BU$9:BU$198)))),CB182,)"),"")</f>
        <v/>
      </c>
      <c r="CF182" s="122"/>
      <c r="CG182" s="33"/>
      <c r="CH182" s="143" t="str">
        <f t="shared" si="21"/>
        <v/>
      </c>
      <c r="CI182" s="38" t="str">
        <f>IFERROR(__xludf.DUMMYFUNCTION("""COMPUTED_VALUE"""),"")</f>
        <v/>
      </c>
      <c r="CJ182" s="144">
        <v>46153.0</v>
      </c>
      <c r="CK182" s="167" t="str">
        <f t="shared" si="27"/>
        <v/>
      </c>
      <c r="CL182" s="168" t="str">
        <f t="shared" si="334"/>
        <v/>
      </c>
      <c r="CM182" s="169" t="str">
        <f t="shared" si="335"/>
        <v/>
      </c>
      <c r="CN182" s="172" t="str">
        <f t="shared" si="336"/>
        <v/>
      </c>
      <c r="CO182" s="171" t="str">
        <f t="array" ref="CO182">IFERROR(IF(CI182="ac"+ISNUMBER(SEARCH("'",CN182))+CM182="","", IF(ISNUMBER(SEARCH("lw",CN182)), CA182 + SUBSTITUTE(CN182,"lw+",""), MROUND(SWITCH(CI182,"sq",CM$7,"bn",CN$7,"dl",CO$7,"")*IF(CN182&gt;10, CN182/100, VLOOKUP(CN182, _rpe,SUBSTITUTE(CM182,"+","")+1,0)), IF( SWITCH(CI182,"sq",CM$7,"bn",CN$7,"dl", CO$7,"")&lt; IF(_uom="lbs", 175, 80), 1.25, IF(_uom="lbs",5,2.5))))), "")</f>
        <v/>
      </c>
      <c r="CP182" s="148"/>
      <c r="CQ182" s="33"/>
      <c r="CR182" s="171"/>
      <c r="CS182" s="124" t="str">
        <f>IFERROR(__xludf.DUMMYFUNCTION("IF(CO182=MAX(FILTER(CO$10:CO$199,LOOKUP(ROW(CI$10:CI$199),FILTER(ROW(CI$10:CI$199),CI$10:CI$199&lt;&gt;CI$9:CI$198))=LOOKUP(ROW(CI182),FILTER(ROW(CI$10:CI$199),CI$10:CI$199&lt;&gt;CI$9:CI$198)))),CP182,)"),"")</f>
        <v/>
      </c>
      <c r="CT182" s="122"/>
      <c r="CU182" s="33"/>
      <c r="CV182" s="143" t="str">
        <f t="shared" si="22"/>
        <v/>
      </c>
      <c r="CW182" s="38" t="str">
        <f>IFERROR(__xludf.DUMMYFUNCTION("""COMPUTED_VALUE"""),"")</f>
        <v/>
      </c>
      <c r="CX182" s="144">
        <v>46160.0</v>
      </c>
      <c r="CY182" s="167" t="str">
        <f t="shared" si="28"/>
        <v/>
      </c>
      <c r="CZ182" s="168" t="str">
        <f t="shared" si="337"/>
        <v/>
      </c>
      <c r="DA182" s="169" t="str">
        <f t="shared" si="338"/>
        <v/>
      </c>
      <c r="DB182" s="172" t="str">
        <f t="shared" si="339"/>
        <v/>
      </c>
      <c r="DC182" s="171" t="str">
        <f t="array" ref="DC182">IFERROR(IF(CW182="ac"+ISNUMBER(SEARCH("'",DB182))+DA182="","", IF(ISNUMBER(SEARCH("lw",DB182)), CO182 + SUBSTITUTE(DB182,"lw+",""), MROUND(SWITCH(CW182,"sq",DA$7,"bn",DB$7,"dl",DC$7,"")*IF(DB182&gt;10, DB182/100, VLOOKUP(DB182, _rpe,SUBSTITUTE(DA182,"+","")+1,0)), IF( SWITCH(CW182,"sq",DA$7,"bn",DB$7,"dl", DC$7,"")&lt; IF(_uom="lbs", 175, 80), 1.25, IF(_uom="lbs",5,2.5))))), "")</f>
        <v/>
      </c>
      <c r="DD182" s="148"/>
      <c r="DE182" s="33"/>
      <c r="DF182" s="171"/>
      <c r="DG182" s="124" t="str">
        <f>IFERROR(__xludf.DUMMYFUNCTION("IF(DC182=MAX(FILTER(DC$10:DC$199,LOOKUP(ROW(CW$10:CW$199),FILTER(ROW(CW$10:CW$199),CW$10:CW$199&lt;&gt;CW$9:CW$198))=LOOKUP(ROW(CW182),FILTER(ROW(CW$10:CW$199),CW$10:CW$199&lt;&gt;CW$9:CW$198)))),DD182,)"),"")</f>
        <v/>
      </c>
      <c r="DH182" s="122"/>
      <c r="DI182" s="33"/>
      <c r="DJ182" s="143" t="str">
        <f t="shared" si="23"/>
        <v/>
      </c>
      <c r="DK182" s="38" t="str">
        <f>IFERROR(__xludf.DUMMYFUNCTION("""COMPUTED_VALUE"""),"")</f>
        <v/>
      </c>
      <c r="DL182" s="144">
        <v>46167.0</v>
      </c>
      <c r="DM182" s="167" t="str">
        <f t="shared" ref="DM182:DN182" si="434">IF(ISBLANK(CY182),"",CY182)</f>
        <v/>
      </c>
      <c r="DN182" s="168" t="str">
        <f t="shared" si="434"/>
        <v/>
      </c>
      <c r="DO182" s="169" t="str">
        <f t="shared" si="341"/>
        <v/>
      </c>
      <c r="DP182" s="172" t="str">
        <f t="shared" si="342"/>
        <v/>
      </c>
      <c r="DQ182" s="171" t="str">
        <f t="array" ref="DQ182">IFERROR(IF(DK182="ac"+ISNUMBER(SEARCH("'",DP182))+DO182="","", IF(ISNUMBER(SEARCH("lw",DP182)), DC182 + SUBSTITUTE(DP182,"lw+",""), MROUND(SWITCH(DK182,"sq",DO$7,"bn",DP$7,"dl",DQ$7,"")*IF(DP182&gt;10, DP182/100, VLOOKUP(DP182, _rpe,SUBSTITUTE(DO182,"+","")+1,0)), IF( SWITCH(DK182,"sq",DO$7,"bn",DP$7,"dl", DQ$7,"")&lt; IF(_uom="lbs", 175, 80), 1.25, IF(_uom="lbs",5,2.5))))), "")</f>
        <v/>
      </c>
      <c r="DR182" s="148"/>
      <c r="DS182" s="33"/>
      <c r="DT182" s="171"/>
      <c r="DU182" s="124" t="str">
        <f>IFERROR(__xludf.DUMMYFUNCTION("IF(DQ182=MAX(FILTER(DQ$10:DQ$199,LOOKUP(ROW(DK$10:DK$199),FILTER(ROW(DK$10:DK$199),DK$10:DK$199&lt;&gt;DK$9:DK$198))=LOOKUP(ROW(DK182),FILTER(ROW(DK$10:DK$199),DK$10:DK$199&lt;&gt;DK$9:DK$198)))),DR182,)"),"")</f>
        <v/>
      </c>
      <c r="DV182" s="122"/>
      <c r="DW182" s="33"/>
      <c r="DX182" s="143"/>
      <c r="DY182" s="38"/>
      <c r="DZ182" s="144"/>
      <c r="EA182" s="150"/>
      <c r="EB182" s="174"/>
      <c r="EC182" s="175"/>
      <c r="ED182" s="176"/>
      <c r="EE182" s="155"/>
      <c r="EF182" s="148"/>
      <c r="EG182" s="33"/>
      <c r="EH182" s="155"/>
      <c r="EI182" s="148"/>
      <c r="EJ182" s="33"/>
      <c r="EK182" s="33"/>
      <c r="EL182" s="143"/>
      <c r="EM182" s="38"/>
      <c r="EN182" s="144"/>
      <c r="EO182" s="150"/>
      <c r="EP182" s="174"/>
      <c r="EQ182" s="175"/>
      <c r="ER182" s="176"/>
      <c r="ES182" s="155"/>
      <c r="ET182" s="148"/>
      <c r="EU182" s="33"/>
      <c r="EV182" s="155"/>
      <c r="EW182" s="148"/>
      <c r="EX182" s="33"/>
      <c r="EY182" s="33"/>
      <c r="EZ182" s="143"/>
      <c r="FA182" s="38"/>
      <c r="FB182" s="144"/>
      <c r="FC182" s="150"/>
      <c r="FD182" s="174"/>
      <c r="FE182" s="175"/>
      <c r="FF182" s="176"/>
      <c r="FG182" s="155"/>
      <c r="FH182" s="148"/>
      <c r="FI182" s="33"/>
      <c r="FJ182" s="155"/>
      <c r="FK182" s="148"/>
      <c r="FL182" s="33"/>
      <c r="FM182" s="33"/>
      <c r="FN182" s="143"/>
      <c r="FO182" s="38"/>
      <c r="FP182" s="144"/>
      <c r="FQ182" s="150"/>
      <c r="FR182" s="174"/>
      <c r="FS182" s="175"/>
      <c r="FT182" s="176"/>
      <c r="FU182" s="155"/>
      <c r="FV182" s="148"/>
      <c r="FW182" s="33"/>
      <c r="FX182" s="155"/>
      <c r="FY182" s="148"/>
      <c r="FZ182" s="33"/>
      <c r="GA182" s="33"/>
      <c r="GB182" s="143"/>
      <c r="GC182" s="38"/>
      <c r="GD182" s="144"/>
      <c r="GE182" s="150"/>
      <c r="GF182" s="174"/>
      <c r="GG182" s="175"/>
      <c r="GH182" s="176"/>
      <c r="GI182" s="155"/>
      <c r="GJ182" s="148"/>
      <c r="GK182" s="33"/>
      <c r="GL182" s="155"/>
      <c r="GM182" s="148"/>
      <c r="GN182" s="33"/>
      <c r="GO182" s="33"/>
      <c r="GP182" s="143"/>
      <c r="GQ182" s="38"/>
      <c r="GR182" s="144"/>
      <c r="GS182" s="150"/>
      <c r="GT182" s="174"/>
      <c r="GU182" s="175"/>
      <c r="GV182" s="176"/>
      <c r="GW182" s="155"/>
      <c r="GX182" s="148"/>
      <c r="GY182" s="33"/>
      <c r="GZ182" s="155"/>
      <c r="HA182" s="148"/>
      <c r="HB182" s="33"/>
      <c r="HC182" s="33"/>
      <c r="HD182" s="143"/>
      <c r="HE182" s="38"/>
      <c r="HF182" s="144"/>
      <c r="HG182" s="150"/>
      <c r="HH182" s="174"/>
      <c r="HI182" s="175"/>
      <c r="HJ182" s="176"/>
      <c r="HK182" s="155"/>
      <c r="HL182" s="148"/>
      <c r="HM182" s="33"/>
      <c r="HN182" s="155"/>
      <c r="HO182" s="148"/>
      <c r="HP182" s="33"/>
      <c r="HQ182" s="33"/>
      <c r="HR182" s="143"/>
      <c r="HS182" s="38"/>
      <c r="HT182" s="144"/>
      <c r="HU182" s="150"/>
      <c r="HV182" s="174"/>
      <c r="HW182" s="175"/>
      <c r="HX182" s="176"/>
      <c r="HY182" s="155"/>
      <c r="HZ182" s="148"/>
      <c r="IA182" s="33"/>
      <c r="IB182" s="155"/>
      <c r="IC182" s="148"/>
      <c r="ID182" s="33"/>
      <c r="IE182" s="33"/>
      <c r="IF182" s="143"/>
      <c r="IG182" s="38"/>
      <c r="IH182" s="144"/>
      <c r="II182" s="150"/>
      <c r="IJ182" s="174"/>
      <c r="IK182" s="175"/>
      <c r="IL182" s="176"/>
      <c r="IM182" s="155"/>
      <c r="IN182" s="148"/>
      <c r="IO182" s="33"/>
      <c r="IP182" s="155"/>
      <c r="IQ182" s="148"/>
      <c r="IR182" s="33"/>
      <c r="IS182" s="33"/>
      <c r="IT182" s="143"/>
      <c r="IU182" s="38"/>
      <c r="IV182" s="144"/>
      <c r="IW182" s="143"/>
      <c r="IX182" s="38"/>
      <c r="IY182" s="144" t="e">
        <v>#REF!</v>
      </c>
    </row>
    <row r="183">
      <c r="A183" s="33"/>
      <c r="B183" s="181"/>
      <c r="C183" s="38" t="str">
        <f>IFERROR(__xludf.DUMMYFUNCTION("""COMPUTED_VALUE"""),"")</f>
        <v/>
      </c>
      <c r="D183" s="144">
        <v>46111.0</v>
      </c>
      <c r="E183" s="182"/>
      <c r="F183" s="168"/>
      <c r="G183" s="169"/>
      <c r="H183" s="170"/>
      <c r="I183" s="171" t="str">
        <f t="array" ref="I183">IFERROR(IF(C183="ac"+ISNUMBER(SEARCH("'",H183))+G183="","", MROUND(SWITCH(C183,"sq",'Personal Info'!$O$15,"bn",'Personal Info'!$S$15,"dl",'Personal Info'!$W$15,"")*IF(H183&gt;10, H183/100, VLOOKUP(H183, _rpe,SUBSTITUTE(G183,"+","")+1,0)), IF( SWITCH(C183:C210,"sq",'Personal Info'!$O$15,"bn",'Personal Info'!$S$15,"dl", 'Personal Info'!$W$15,"")&lt; IF(_uom="lbs", 175, 80), 1.25, IF(_uom="lbs",5,2.5)))),"")</f>
        <v/>
      </c>
      <c r="J183" s="148"/>
      <c r="K183" s="33"/>
      <c r="L183" s="171"/>
      <c r="M183" s="124" t="str">
        <f>IFERROR(__xludf.DUMMYFUNCTION("IF(I183=MAX(FILTER(I$10:I$199,LOOKUP(ROW(C$10:C$199),FILTER(ROW(C$10:C$199),C$10:C$199&lt;&gt;C$9:C$198))=LOOKUP(ROW(C183),FILTER(ROW(C$10:C$199),C$10:C$199&lt;&gt;C$9:C$198)))),J183,)"),"")</f>
        <v/>
      </c>
      <c r="N183" s="122"/>
      <c r="O183" s="33"/>
      <c r="P183" s="143" t="str">
        <f t="shared" si="12"/>
        <v/>
      </c>
      <c r="Q183" s="38" t="str">
        <f>IFERROR(__xludf.DUMMYFUNCTION("""COMPUTED_VALUE"""),"")</f>
        <v/>
      </c>
      <c r="R183" s="144">
        <v>46118.0</v>
      </c>
      <c r="S183" s="167" t="str">
        <f t="shared" si="13"/>
        <v/>
      </c>
      <c r="T183" s="168" t="str">
        <f t="shared" si="319"/>
        <v/>
      </c>
      <c r="U183" s="169" t="str">
        <f t="shared" si="320"/>
        <v/>
      </c>
      <c r="V183" s="172" t="str">
        <f t="shared" si="321"/>
        <v/>
      </c>
      <c r="W183" s="171" t="str">
        <f t="array" ref="W183">IFERROR(IF(Q183="ac"+ISNUMBER(SEARCH("'",V183))+U183="","", IF(ISNUMBER(SEARCH("lw",V183)), I183 + SUBSTITUTE(V183,"lw+",""), MROUND(SWITCH(Q183,"sq",U$7,"bn",V$7,"dl",W$7,"")*IF(V183&gt;10, V183/100, VLOOKUP(V183, _rpe,SUBSTITUTE(U183,"+","")+1,0)), IF( SWITCH(Q183,"sq",U$7,"bn",V$7,"dl", W$7,"")&lt; IF(_uom="lbs", 175, 80), 1.25, IF(_uom="lbs",5,2.5))))), "")</f>
        <v/>
      </c>
      <c r="X183" s="148"/>
      <c r="Y183" s="33"/>
      <c r="Z183" s="171"/>
      <c r="AA183" s="124" t="str">
        <f>IFERROR(__xludf.DUMMYFUNCTION("IF(W183=MAX(FILTER(W$10:W$199,LOOKUP(ROW(Q$10:Q$199),FILTER(ROW(Q$10:Q$199),Q$10:Q$199&lt;&gt;Q$9:Q$198))=LOOKUP(ROW(Q183),FILTER(ROW(Q$10:Q$199),Q$10:Q$199&lt;&gt;Q$9:Q$198)))),X183,)"),"")</f>
        <v/>
      </c>
      <c r="AB183" s="122"/>
      <c r="AC183" s="33"/>
      <c r="AD183" s="143" t="str">
        <f t="shared" si="14"/>
        <v/>
      </c>
      <c r="AE183" s="38" t="str">
        <f>IFERROR(__xludf.DUMMYFUNCTION("""COMPUTED_VALUE"""),"")</f>
        <v/>
      </c>
      <c r="AF183" s="144">
        <v>46125.0</v>
      </c>
      <c r="AG183" s="167" t="str">
        <f t="shared" si="54"/>
        <v/>
      </c>
      <c r="AH183" s="168" t="str">
        <f t="shared" si="322"/>
        <v/>
      </c>
      <c r="AI183" s="169" t="str">
        <f t="shared" si="323"/>
        <v/>
      </c>
      <c r="AJ183" s="172" t="str">
        <f t="shared" si="324"/>
        <v/>
      </c>
      <c r="AK183" s="171" t="str">
        <f t="array" ref="AK183">IFERROR(IF(AE183="ac"+ISNUMBER(SEARCH("'",AJ183))+AI183="","", IF(ISNUMBER(SEARCH("lw",AJ183)), W183 + SUBSTITUTE(AJ183,"lw+",""), MROUND(SWITCH(AE183,"sq",AI$7,"bn",AJ$7,"dl",AK$7,"")*IF(AJ183&gt;10, AJ183/100, VLOOKUP(AJ183, _rpe,SUBSTITUTE(AI183,"+","")+1,0)), IF( SWITCH(AE183,"sq",AI$7,"bn",AJ$7,"dl", AK$7,"")&lt; IF(_uom="lbs", 175, 80), 1.25, IF(_uom="lbs",5,2.5))))), "")</f>
        <v/>
      </c>
      <c r="AL183" s="148"/>
      <c r="AM183" s="33"/>
      <c r="AN183" s="171"/>
      <c r="AO183" s="124" t="str">
        <f>IFERROR(__xludf.DUMMYFUNCTION("IF(AK183=MAX(FILTER(AK$10:AK$199,LOOKUP(ROW(AE$10:AE$199),FILTER(ROW(AE$10:AE$199),AE$10:AE$199&lt;&gt;AE$9:AE$198))=LOOKUP(ROW(AE183),FILTER(ROW(AE$10:AE$199),AE$10:AE$199&lt;&gt;AE$9:AE$198)))),AL183,)"),"")</f>
        <v/>
      </c>
      <c r="AP183" s="122"/>
      <c r="AQ183" s="33"/>
      <c r="AR183" s="143" t="str">
        <f t="shared" si="16"/>
        <v/>
      </c>
      <c r="AS183" s="38" t="str">
        <f>IFERROR(__xludf.DUMMYFUNCTION("""COMPUTED_VALUE"""),"")</f>
        <v/>
      </c>
      <c r="AT183" s="144">
        <v>46132.0</v>
      </c>
      <c r="AU183" s="167" t="str">
        <f t="shared" si="26"/>
        <v/>
      </c>
      <c r="AV183" s="168" t="str">
        <f t="shared" si="325"/>
        <v/>
      </c>
      <c r="AW183" s="169" t="str">
        <f t="shared" si="326"/>
        <v/>
      </c>
      <c r="AX183" s="172" t="str">
        <f t="shared" si="327"/>
        <v/>
      </c>
      <c r="AY183" s="171" t="str">
        <f t="array" ref="AY183">IFERROR(IF(AS183="ac"+ISNUMBER(SEARCH("'",AX183))+AW183="","", IF(ISNUMBER(SEARCH("lw",AX183)), AK183 + SUBSTITUTE(AX183,"lw+",""), MROUND(SWITCH(AS183,"sq",AW$7,"bn",AX$7,"dl",AY$7,"")*IF(AX183&gt;10, AX183/100, VLOOKUP(AX183, _rpe,SUBSTITUTE(AW183,"+","")+1,0)), IF( SWITCH(AS183,"sq",AW$7,"bn",AX$7,"dl", AY$7,"")&lt; IF(_uom="lbs", 175, 80), 1.25, IF(_uom="lbs",5,2.5))))), "")</f>
        <v/>
      </c>
      <c r="AZ183" s="148"/>
      <c r="BA183" s="33"/>
      <c r="BB183" s="171"/>
      <c r="BC183" s="124" t="str">
        <f>IFERROR(__xludf.DUMMYFUNCTION("IF(AY183=MAX(FILTER(AY$10:AY$199,LOOKUP(ROW(AS$10:AS$199),FILTER(ROW(AS$10:AS$199),AS$10:AS$199&lt;&gt;AS$9:AS$198))=LOOKUP(ROW(AS183),FILTER(ROW(AS$10:AS$199),AS$10:AS$199&lt;&gt;AS$9:AS$198)))),AZ183,)"),"")</f>
        <v/>
      </c>
      <c r="BD183" s="122"/>
      <c r="BE183" s="33"/>
      <c r="BF183" s="143" t="str">
        <f t="shared" si="17"/>
        <v/>
      </c>
      <c r="BG183" s="38" t="str">
        <f>IFERROR(__xludf.DUMMYFUNCTION("""COMPUTED_VALUE"""),"")</f>
        <v/>
      </c>
      <c r="BH183" s="144">
        <v>46139.0</v>
      </c>
      <c r="BI183" s="167" t="str">
        <f t="shared" si="18"/>
        <v/>
      </c>
      <c r="BJ183" s="168" t="str">
        <f t="shared" si="328"/>
        <v/>
      </c>
      <c r="BK183" s="169" t="str">
        <f t="shared" si="329"/>
        <v/>
      </c>
      <c r="BL183" s="172" t="str">
        <f t="shared" si="330"/>
        <v/>
      </c>
      <c r="BM183" s="171" t="str">
        <f t="array" ref="BM183">IFERROR(IF(BG183="ac"+ISNUMBER(SEARCH("'",BL183))+BK183="","", IF(ISNUMBER(SEARCH("lw",BL183)), AY183 + SUBSTITUTE(BL183,"lw+",""), MROUND(SWITCH(BG183,"sq",BK$7,"bn",BL$7,"dl",BM$7,"")*IF(BL183&gt;10, BL183/100, VLOOKUP(BL183, _rpe,SUBSTITUTE(BK183,"+","")+1,0)), IF( SWITCH(BG183,"sq",BK$7,"bn",BL$7,"dl", BM$7,"")&lt; IF(_uom="lbs", 175, 80), 1.25, IF(_uom="lbs",5,2.5))))), "")</f>
        <v/>
      </c>
      <c r="BN183" s="148"/>
      <c r="BO183" s="33"/>
      <c r="BP183" s="171"/>
      <c r="BQ183" s="124" t="str">
        <f>IFERROR(__xludf.DUMMYFUNCTION("IF(BM183=MAX(FILTER(BM$10:BM$199,LOOKUP(ROW(BG$10:BG$199),FILTER(ROW(BG$10:BG$199),BG$10:BG$199&lt;&gt;BG$9:BG$198))=LOOKUP(ROW(BG183),FILTER(ROW(BG$10:BG$199),BG$10:BG$199&lt;&gt;BG$9:BG$198)))),BN183,)"),"")</f>
        <v/>
      </c>
      <c r="BR183" s="122"/>
      <c r="BS183" s="33"/>
      <c r="BT183" s="143" t="str">
        <f t="shared" si="19"/>
        <v/>
      </c>
      <c r="BU183" s="38" t="str">
        <f>IFERROR(__xludf.DUMMYFUNCTION("""COMPUTED_VALUE"""),"")</f>
        <v/>
      </c>
      <c r="BV183" s="144">
        <v>46146.0</v>
      </c>
      <c r="BW183" s="167" t="str">
        <f t="shared" si="20"/>
        <v/>
      </c>
      <c r="BX183" s="168" t="str">
        <f t="shared" si="331"/>
        <v/>
      </c>
      <c r="BY183" s="169" t="str">
        <f t="shared" si="332"/>
        <v/>
      </c>
      <c r="BZ183" s="172" t="str">
        <f t="shared" si="333"/>
        <v/>
      </c>
      <c r="CA183" s="171" t="str">
        <f t="array" ref="CA183">IFERROR(IF(BU183="ac"+ISNUMBER(SEARCH("'",BZ183))+BY183="","", IF(ISNUMBER(SEARCH("lw",BZ183)), BM183 + SUBSTITUTE(BZ183,"lw+",""), MROUND(SWITCH(BU183,"sq",BY$7,"bn",BZ$7,"dl",CA$7,"")*IF(BZ183&gt;10, BZ183/100, VLOOKUP(BZ183, _rpe,SUBSTITUTE(BY183,"+","")+1,0)), IF( SWITCH(BU183,"sq",BY$7,"bn",BZ$7,"dl", CA$7,"")&lt; IF(_uom="lbs", 175, 80), 1.25, IF(_uom="lbs",5,2.5))))), "")</f>
        <v/>
      </c>
      <c r="CB183" s="148"/>
      <c r="CC183" s="33"/>
      <c r="CD183" s="171"/>
      <c r="CE183" s="124" t="str">
        <f>IFERROR(__xludf.DUMMYFUNCTION("IF(CA183=MAX(FILTER(CA$10:CA$199,LOOKUP(ROW(BU$10:BU$199),FILTER(ROW(BU$10:BU$199),BU$10:BU$199&lt;&gt;BU$9:BU$198))=LOOKUP(ROW(BU183),FILTER(ROW(BU$10:BU$199),BU$10:BU$199&lt;&gt;BU$9:BU$198)))),CB183,)"),"")</f>
        <v/>
      </c>
      <c r="CF183" s="122"/>
      <c r="CG183" s="33"/>
      <c r="CH183" s="143" t="str">
        <f t="shared" si="21"/>
        <v/>
      </c>
      <c r="CI183" s="38" t="str">
        <f>IFERROR(__xludf.DUMMYFUNCTION("""COMPUTED_VALUE"""),"")</f>
        <v/>
      </c>
      <c r="CJ183" s="144">
        <v>46153.0</v>
      </c>
      <c r="CK183" s="167" t="str">
        <f t="shared" si="27"/>
        <v/>
      </c>
      <c r="CL183" s="168" t="str">
        <f t="shared" si="334"/>
        <v/>
      </c>
      <c r="CM183" s="169" t="str">
        <f t="shared" si="335"/>
        <v/>
      </c>
      <c r="CN183" s="172" t="str">
        <f t="shared" si="336"/>
        <v/>
      </c>
      <c r="CO183" s="171" t="str">
        <f t="array" ref="CO183">IFERROR(IF(CI183="ac"+ISNUMBER(SEARCH("'",CN183))+CM183="","", IF(ISNUMBER(SEARCH("lw",CN183)), CA183 + SUBSTITUTE(CN183,"lw+",""), MROUND(SWITCH(CI183,"sq",CM$7,"bn",CN$7,"dl",CO$7,"")*IF(CN183&gt;10, CN183/100, VLOOKUP(CN183, _rpe,SUBSTITUTE(CM183,"+","")+1,0)), IF( SWITCH(CI183,"sq",CM$7,"bn",CN$7,"dl", CO$7,"")&lt; IF(_uom="lbs", 175, 80), 1.25, IF(_uom="lbs",5,2.5))))), "")</f>
        <v/>
      </c>
      <c r="CP183" s="148"/>
      <c r="CQ183" s="33"/>
      <c r="CR183" s="171"/>
      <c r="CS183" s="124" t="str">
        <f>IFERROR(__xludf.DUMMYFUNCTION("IF(CO183=MAX(FILTER(CO$10:CO$199,LOOKUP(ROW(CI$10:CI$199),FILTER(ROW(CI$10:CI$199),CI$10:CI$199&lt;&gt;CI$9:CI$198))=LOOKUP(ROW(CI183),FILTER(ROW(CI$10:CI$199),CI$10:CI$199&lt;&gt;CI$9:CI$198)))),CP183,)"),"")</f>
        <v/>
      </c>
      <c r="CT183" s="122"/>
      <c r="CU183" s="33"/>
      <c r="CV183" s="143" t="str">
        <f t="shared" si="22"/>
        <v/>
      </c>
      <c r="CW183" s="38" t="str">
        <f>IFERROR(__xludf.DUMMYFUNCTION("""COMPUTED_VALUE"""),"")</f>
        <v/>
      </c>
      <c r="CX183" s="144">
        <v>46160.0</v>
      </c>
      <c r="CY183" s="167" t="str">
        <f t="shared" si="28"/>
        <v/>
      </c>
      <c r="CZ183" s="168" t="str">
        <f t="shared" si="337"/>
        <v/>
      </c>
      <c r="DA183" s="169" t="str">
        <f t="shared" si="338"/>
        <v/>
      </c>
      <c r="DB183" s="172" t="str">
        <f t="shared" si="339"/>
        <v/>
      </c>
      <c r="DC183" s="171" t="str">
        <f t="array" ref="DC183">IFERROR(IF(CW183="ac"+ISNUMBER(SEARCH("'",DB183))+DA183="","", IF(ISNUMBER(SEARCH("lw",DB183)), CO183 + SUBSTITUTE(DB183,"lw+",""), MROUND(SWITCH(CW183,"sq",DA$7,"bn",DB$7,"dl",DC$7,"")*IF(DB183&gt;10, DB183/100, VLOOKUP(DB183, _rpe,SUBSTITUTE(DA183,"+","")+1,0)), IF( SWITCH(CW183,"sq",DA$7,"bn",DB$7,"dl", DC$7,"")&lt; IF(_uom="lbs", 175, 80), 1.25, IF(_uom="lbs",5,2.5))))), "")</f>
        <v/>
      </c>
      <c r="DD183" s="148"/>
      <c r="DE183" s="33"/>
      <c r="DF183" s="171"/>
      <c r="DG183" s="124" t="str">
        <f>IFERROR(__xludf.DUMMYFUNCTION("IF(DC183=MAX(FILTER(DC$10:DC$199,LOOKUP(ROW(CW$10:CW$199),FILTER(ROW(CW$10:CW$199),CW$10:CW$199&lt;&gt;CW$9:CW$198))=LOOKUP(ROW(CW183),FILTER(ROW(CW$10:CW$199),CW$10:CW$199&lt;&gt;CW$9:CW$198)))),DD183,)"),"")</f>
        <v/>
      </c>
      <c r="DH183" s="122"/>
      <c r="DI183" s="33"/>
      <c r="DJ183" s="143" t="str">
        <f t="shared" si="23"/>
        <v/>
      </c>
      <c r="DK183" s="38" t="str">
        <f>IFERROR(__xludf.DUMMYFUNCTION("""COMPUTED_VALUE"""),"")</f>
        <v/>
      </c>
      <c r="DL183" s="144">
        <v>46167.0</v>
      </c>
      <c r="DM183" s="167" t="str">
        <f t="shared" ref="DM183:DN183" si="435">IF(ISBLANK(CY183),"",CY183)</f>
        <v/>
      </c>
      <c r="DN183" s="168" t="str">
        <f t="shared" si="435"/>
        <v/>
      </c>
      <c r="DO183" s="169" t="str">
        <f t="shared" si="341"/>
        <v/>
      </c>
      <c r="DP183" s="172" t="str">
        <f t="shared" si="342"/>
        <v/>
      </c>
      <c r="DQ183" s="171" t="str">
        <f t="array" ref="DQ183">IFERROR(IF(DK183="ac"+ISNUMBER(SEARCH("'",DP183))+DO183="","", IF(ISNUMBER(SEARCH("lw",DP183)), DC183 + SUBSTITUTE(DP183,"lw+",""), MROUND(SWITCH(DK183,"sq",DO$7,"bn",DP$7,"dl",DQ$7,"")*IF(DP183&gt;10, DP183/100, VLOOKUP(DP183, _rpe,SUBSTITUTE(DO183,"+","")+1,0)), IF( SWITCH(DK183,"sq",DO$7,"bn",DP$7,"dl", DQ$7,"")&lt; IF(_uom="lbs", 175, 80), 1.25, IF(_uom="lbs",5,2.5))))), "")</f>
        <v/>
      </c>
      <c r="DR183" s="148"/>
      <c r="DS183" s="33"/>
      <c r="DT183" s="171"/>
      <c r="DU183" s="124" t="str">
        <f>IFERROR(__xludf.DUMMYFUNCTION("IF(DQ183=MAX(FILTER(DQ$10:DQ$199,LOOKUP(ROW(DK$10:DK$199),FILTER(ROW(DK$10:DK$199),DK$10:DK$199&lt;&gt;DK$9:DK$198))=LOOKUP(ROW(DK183),FILTER(ROW(DK$10:DK$199),DK$10:DK$199&lt;&gt;DK$9:DK$198)))),DR183,)"),"")</f>
        <v/>
      </c>
      <c r="DV183" s="122"/>
      <c r="DW183" s="33"/>
      <c r="DX183" s="143"/>
      <c r="DY183" s="38"/>
      <c r="DZ183" s="144"/>
      <c r="EA183" s="150"/>
      <c r="EB183" s="174"/>
      <c r="EC183" s="175"/>
      <c r="ED183" s="176"/>
      <c r="EE183" s="155"/>
      <c r="EF183" s="148"/>
      <c r="EG183" s="33"/>
      <c r="EH183" s="155"/>
      <c r="EI183" s="148"/>
      <c r="EJ183" s="33"/>
      <c r="EK183" s="33"/>
      <c r="EL183" s="143"/>
      <c r="EM183" s="38"/>
      <c r="EN183" s="144"/>
      <c r="EO183" s="150"/>
      <c r="EP183" s="174"/>
      <c r="EQ183" s="175"/>
      <c r="ER183" s="176"/>
      <c r="ES183" s="155"/>
      <c r="ET183" s="148"/>
      <c r="EU183" s="33"/>
      <c r="EV183" s="155"/>
      <c r="EW183" s="148"/>
      <c r="EX183" s="33"/>
      <c r="EY183" s="33"/>
      <c r="EZ183" s="143"/>
      <c r="FA183" s="38"/>
      <c r="FB183" s="144"/>
      <c r="FC183" s="150"/>
      <c r="FD183" s="174"/>
      <c r="FE183" s="175"/>
      <c r="FF183" s="176"/>
      <c r="FG183" s="155"/>
      <c r="FH183" s="148"/>
      <c r="FI183" s="33"/>
      <c r="FJ183" s="155"/>
      <c r="FK183" s="148"/>
      <c r="FL183" s="33"/>
      <c r="FM183" s="33"/>
      <c r="FN183" s="143"/>
      <c r="FO183" s="38"/>
      <c r="FP183" s="144"/>
      <c r="FQ183" s="150"/>
      <c r="FR183" s="174"/>
      <c r="FS183" s="175"/>
      <c r="FT183" s="176"/>
      <c r="FU183" s="155"/>
      <c r="FV183" s="148"/>
      <c r="FW183" s="33"/>
      <c r="FX183" s="155"/>
      <c r="FY183" s="148"/>
      <c r="FZ183" s="33"/>
      <c r="GA183" s="33"/>
      <c r="GB183" s="143"/>
      <c r="GC183" s="38"/>
      <c r="GD183" s="144"/>
      <c r="GE183" s="150"/>
      <c r="GF183" s="174"/>
      <c r="GG183" s="175"/>
      <c r="GH183" s="176"/>
      <c r="GI183" s="155"/>
      <c r="GJ183" s="148"/>
      <c r="GK183" s="33"/>
      <c r="GL183" s="155"/>
      <c r="GM183" s="148"/>
      <c r="GN183" s="33"/>
      <c r="GO183" s="33"/>
      <c r="GP183" s="143"/>
      <c r="GQ183" s="38"/>
      <c r="GR183" s="144"/>
      <c r="GS183" s="150"/>
      <c r="GT183" s="174"/>
      <c r="GU183" s="175"/>
      <c r="GV183" s="176"/>
      <c r="GW183" s="155"/>
      <c r="GX183" s="148"/>
      <c r="GY183" s="33"/>
      <c r="GZ183" s="155"/>
      <c r="HA183" s="148"/>
      <c r="HB183" s="33"/>
      <c r="HC183" s="33"/>
      <c r="HD183" s="143"/>
      <c r="HE183" s="38"/>
      <c r="HF183" s="144"/>
      <c r="HG183" s="150"/>
      <c r="HH183" s="174"/>
      <c r="HI183" s="175"/>
      <c r="HJ183" s="176"/>
      <c r="HK183" s="155"/>
      <c r="HL183" s="148"/>
      <c r="HM183" s="33"/>
      <c r="HN183" s="155"/>
      <c r="HO183" s="148"/>
      <c r="HP183" s="33"/>
      <c r="HQ183" s="33"/>
      <c r="HR183" s="143"/>
      <c r="HS183" s="38"/>
      <c r="HT183" s="144"/>
      <c r="HU183" s="150"/>
      <c r="HV183" s="174"/>
      <c r="HW183" s="175"/>
      <c r="HX183" s="176"/>
      <c r="HY183" s="155"/>
      <c r="HZ183" s="148"/>
      <c r="IA183" s="33"/>
      <c r="IB183" s="155"/>
      <c r="IC183" s="148"/>
      <c r="ID183" s="33"/>
      <c r="IE183" s="33"/>
      <c r="IF183" s="143"/>
      <c r="IG183" s="38"/>
      <c r="IH183" s="144"/>
      <c r="II183" s="150"/>
      <c r="IJ183" s="174"/>
      <c r="IK183" s="175"/>
      <c r="IL183" s="176"/>
      <c r="IM183" s="155"/>
      <c r="IN183" s="148"/>
      <c r="IO183" s="33"/>
      <c r="IP183" s="155"/>
      <c r="IQ183" s="148"/>
      <c r="IR183" s="33"/>
      <c r="IS183" s="33"/>
      <c r="IT183" s="143"/>
      <c r="IU183" s="38"/>
      <c r="IV183" s="144"/>
      <c r="IW183" s="143"/>
      <c r="IX183" s="38"/>
      <c r="IY183" s="144" t="e">
        <v>#REF!</v>
      </c>
    </row>
    <row r="184">
      <c r="A184" s="33"/>
      <c r="B184" s="181"/>
      <c r="C184" s="38" t="str">
        <f>IFERROR(__xludf.DUMMYFUNCTION("""COMPUTED_VALUE"""),"")</f>
        <v/>
      </c>
      <c r="D184" s="144">
        <v>46111.0</v>
      </c>
      <c r="E184" s="182"/>
      <c r="F184" s="168"/>
      <c r="G184" s="169"/>
      <c r="H184" s="170"/>
      <c r="I184" s="171" t="str">
        <f t="array" ref="I184">IFERROR(IF(C184="ac"+ISNUMBER(SEARCH("'",H184))+G184="","", MROUND(SWITCH(C184,"sq",'Personal Info'!$O$15,"bn",'Personal Info'!$S$15,"dl",'Personal Info'!$W$15,"")*IF(H184&gt;10, H184/100, VLOOKUP(H184, _rpe,SUBSTITUTE(G184,"+","")+1,0)), IF( SWITCH(C184:C210,"sq",'Personal Info'!$O$15,"bn",'Personal Info'!$S$15,"dl", 'Personal Info'!$W$15,"")&lt; IF(_uom="lbs", 175, 80), 1.25, IF(_uom="lbs",5,2.5)))),"")</f>
        <v/>
      </c>
      <c r="J184" s="148"/>
      <c r="K184" s="33"/>
      <c r="L184" s="171"/>
      <c r="M184" s="124" t="str">
        <f>IFERROR(__xludf.DUMMYFUNCTION("IF(I184=MAX(FILTER(I$10:I$199,LOOKUP(ROW(C$10:C$199),FILTER(ROW(C$10:C$199),C$10:C$199&lt;&gt;C$9:C$198))=LOOKUP(ROW(C184),FILTER(ROW(C$10:C$199),C$10:C$199&lt;&gt;C$9:C$198)))),J184,)"),"")</f>
        <v/>
      </c>
      <c r="N184" s="122"/>
      <c r="O184" s="33"/>
      <c r="P184" s="143" t="str">
        <f t="shared" si="12"/>
        <v/>
      </c>
      <c r="Q184" s="38" t="str">
        <f>IFERROR(__xludf.DUMMYFUNCTION("""COMPUTED_VALUE"""),"")</f>
        <v/>
      </c>
      <c r="R184" s="144">
        <v>46118.0</v>
      </c>
      <c r="S184" s="167" t="str">
        <f t="shared" si="13"/>
        <v/>
      </c>
      <c r="T184" s="168" t="str">
        <f t="shared" si="319"/>
        <v/>
      </c>
      <c r="U184" s="169" t="str">
        <f t="shared" si="320"/>
        <v/>
      </c>
      <c r="V184" s="172" t="str">
        <f t="shared" si="321"/>
        <v/>
      </c>
      <c r="W184" s="171" t="str">
        <f t="array" ref="W184">IFERROR(IF(Q184="ac"+ISNUMBER(SEARCH("'",V184))+U184="","", IF(ISNUMBER(SEARCH("lw",V184)), I184 + SUBSTITUTE(V184,"lw+",""), MROUND(SWITCH(Q184,"sq",U$7,"bn",V$7,"dl",W$7,"")*IF(V184&gt;10, V184/100, VLOOKUP(V184, _rpe,SUBSTITUTE(U184,"+","")+1,0)), IF( SWITCH(Q184,"sq",U$7,"bn",V$7,"dl", W$7,"")&lt; IF(_uom="lbs", 175, 80), 1.25, IF(_uom="lbs",5,2.5))))), "")</f>
        <v/>
      </c>
      <c r="X184" s="148"/>
      <c r="Y184" s="33"/>
      <c r="Z184" s="171"/>
      <c r="AA184" s="124" t="str">
        <f>IFERROR(__xludf.DUMMYFUNCTION("IF(W184=MAX(FILTER(W$10:W$199,LOOKUP(ROW(Q$10:Q$199),FILTER(ROW(Q$10:Q$199),Q$10:Q$199&lt;&gt;Q$9:Q$198))=LOOKUP(ROW(Q184),FILTER(ROW(Q$10:Q$199),Q$10:Q$199&lt;&gt;Q$9:Q$198)))),X184,)"),"")</f>
        <v/>
      </c>
      <c r="AB184" s="122"/>
      <c r="AC184" s="33"/>
      <c r="AD184" s="143" t="str">
        <f t="shared" si="14"/>
        <v/>
      </c>
      <c r="AE184" s="38" t="str">
        <f>IFERROR(__xludf.DUMMYFUNCTION("""COMPUTED_VALUE"""),"")</f>
        <v/>
      </c>
      <c r="AF184" s="144">
        <v>46125.0</v>
      </c>
      <c r="AG184" s="167" t="str">
        <f t="shared" si="54"/>
        <v/>
      </c>
      <c r="AH184" s="168" t="str">
        <f t="shared" si="322"/>
        <v/>
      </c>
      <c r="AI184" s="169" t="str">
        <f t="shared" si="323"/>
        <v/>
      </c>
      <c r="AJ184" s="172" t="str">
        <f t="shared" si="324"/>
        <v/>
      </c>
      <c r="AK184" s="171" t="str">
        <f t="array" ref="AK184">IFERROR(IF(AE184="ac"+ISNUMBER(SEARCH("'",AJ184))+AI184="","", IF(ISNUMBER(SEARCH("lw",AJ184)), W184 + SUBSTITUTE(AJ184,"lw+",""), MROUND(SWITCH(AE184,"sq",AI$7,"bn",AJ$7,"dl",AK$7,"")*IF(AJ184&gt;10, AJ184/100, VLOOKUP(AJ184, _rpe,SUBSTITUTE(AI184,"+","")+1,0)), IF( SWITCH(AE184,"sq",AI$7,"bn",AJ$7,"dl", AK$7,"")&lt; IF(_uom="lbs", 175, 80), 1.25, IF(_uom="lbs",5,2.5))))), "")</f>
        <v/>
      </c>
      <c r="AL184" s="148"/>
      <c r="AM184" s="33"/>
      <c r="AN184" s="171"/>
      <c r="AO184" s="124" t="str">
        <f>IFERROR(__xludf.DUMMYFUNCTION("IF(AK184=MAX(FILTER(AK$10:AK$199,LOOKUP(ROW(AE$10:AE$199),FILTER(ROW(AE$10:AE$199),AE$10:AE$199&lt;&gt;AE$9:AE$198))=LOOKUP(ROW(AE184),FILTER(ROW(AE$10:AE$199),AE$10:AE$199&lt;&gt;AE$9:AE$198)))),AL184,)"),"")</f>
        <v/>
      </c>
      <c r="AP184" s="122"/>
      <c r="AQ184" s="33"/>
      <c r="AR184" s="143" t="str">
        <f t="shared" si="16"/>
        <v/>
      </c>
      <c r="AS184" s="38" t="str">
        <f>IFERROR(__xludf.DUMMYFUNCTION("""COMPUTED_VALUE"""),"")</f>
        <v/>
      </c>
      <c r="AT184" s="144">
        <v>46132.0</v>
      </c>
      <c r="AU184" s="167" t="str">
        <f t="shared" si="26"/>
        <v/>
      </c>
      <c r="AV184" s="168" t="str">
        <f t="shared" si="325"/>
        <v/>
      </c>
      <c r="AW184" s="169" t="str">
        <f t="shared" si="326"/>
        <v/>
      </c>
      <c r="AX184" s="172" t="str">
        <f t="shared" si="327"/>
        <v/>
      </c>
      <c r="AY184" s="171" t="str">
        <f t="array" ref="AY184">IFERROR(IF(AS184="ac"+ISNUMBER(SEARCH("'",AX184))+AW184="","", IF(ISNUMBER(SEARCH("lw",AX184)), AK184 + SUBSTITUTE(AX184,"lw+",""), MROUND(SWITCH(AS184,"sq",AW$7,"bn",AX$7,"dl",AY$7,"")*IF(AX184&gt;10, AX184/100, VLOOKUP(AX184, _rpe,SUBSTITUTE(AW184,"+","")+1,0)), IF( SWITCH(AS184,"sq",AW$7,"bn",AX$7,"dl", AY$7,"")&lt; IF(_uom="lbs", 175, 80), 1.25, IF(_uom="lbs",5,2.5))))), "")</f>
        <v/>
      </c>
      <c r="AZ184" s="148"/>
      <c r="BA184" s="33"/>
      <c r="BB184" s="171"/>
      <c r="BC184" s="124" t="str">
        <f>IFERROR(__xludf.DUMMYFUNCTION("IF(AY184=MAX(FILTER(AY$10:AY$199,LOOKUP(ROW(AS$10:AS$199),FILTER(ROW(AS$10:AS$199),AS$10:AS$199&lt;&gt;AS$9:AS$198))=LOOKUP(ROW(AS184),FILTER(ROW(AS$10:AS$199),AS$10:AS$199&lt;&gt;AS$9:AS$198)))),AZ184,)"),"")</f>
        <v/>
      </c>
      <c r="BD184" s="122"/>
      <c r="BE184" s="33"/>
      <c r="BF184" s="143" t="str">
        <f t="shared" si="17"/>
        <v/>
      </c>
      <c r="BG184" s="38" t="str">
        <f>IFERROR(__xludf.DUMMYFUNCTION("""COMPUTED_VALUE"""),"")</f>
        <v/>
      </c>
      <c r="BH184" s="144">
        <v>46139.0</v>
      </c>
      <c r="BI184" s="167" t="str">
        <f t="shared" si="18"/>
        <v/>
      </c>
      <c r="BJ184" s="168" t="str">
        <f t="shared" si="328"/>
        <v/>
      </c>
      <c r="BK184" s="169" t="str">
        <f t="shared" si="329"/>
        <v/>
      </c>
      <c r="BL184" s="172" t="str">
        <f t="shared" si="330"/>
        <v/>
      </c>
      <c r="BM184" s="171" t="str">
        <f t="array" ref="BM184">IFERROR(IF(BG184="ac"+ISNUMBER(SEARCH("'",BL184))+BK184="","", IF(ISNUMBER(SEARCH("lw",BL184)), AY184 + SUBSTITUTE(BL184,"lw+",""), MROUND(SWITCH(BG184,"sq",BK$7,"bn",BL$7,"dl",BM$7,"")*IF(BL184&gt;10, BL184/100, VLOOKUP(BL184, _rpe,SUBSTITUTE(BK184,"+","")+1,0)), IF( SWITCH(BG184,"sq",BK$7,"bn",BL$7,"dl", BM$7,"")&lt; IF(_uom="lbs", 175, 80), 1.25, IF(_uom="lbs",5,2.5))))), "")</f>
        <v/>
      </c>
      <c r="BN184" s="148"/>
      <c r="BO184" s="33"/>
      <c r="BP184" s="171"/>
      <c r="BQ184" s="124" t="str">
        <f>IFERROR(__xludf.DUMMYFUNCTION("IF(BM184=MAX(FILTER(BM$10:BM$199,LOOKUP(ROW(BG$10:BG$199),FILTER(ROW(BG$10:BG$199),BG$10:BG$199&lt;&gt;BG$9:BG$198))=LOOKUP(ROW(BG184),FILTER(ROW(BG$10:BG$199),BG$10:BG$199&lt;&gt;BG$9:BG$198)))),BN184,)"),"")</f>
        <v/>
      </c>
      <c r="BR184" s="122"/>
      <c r="BS184" s="33"/>
      <c r="BT184" s="143" t="str">
        <f t="shared" si="19"/>
        <v/>
      </c>
      <c r="BU184" s="38" t="str">
        <f>IFERROR(__xludf.DUMMYFUNCTION("""COMPUTED_VALUE"""),"")</f>
        <v/>
      </c>
      <c r="BV184" s="144">
        <v>46146.0</v>
      </c>
      <c r="BW184" s="167" t="str">
        <f t="shared" si="20"/>
        <v/>
      </c>
      <c r="BX184" s="168" t="str">
        <f t="shared" si="331"/>
        <v/>
      </c>
      <c r="BY184" s="169" t="str">
        <f t="shared" si="332"/>
        <v/>
      </c>
      <c r="BZ184" s="172" t="str">
        <f t="shared" si="333"/>
        <v/>
      </c>
      <c r="CA184" s="171" t="str">
        <f t="array" ref="CA184">IFERROR(IF(BU184="ac"+ISNUMBER(SEARCH("'",BZ184))+BY184="","", IF(ISNUMBER(SEARCH("lw",BZ184)), BM184 + SUBSTITUTE(BZ184,"lw+",""), MROUND(SWITCH(BU184,"sq",BY$7,"bn",BZ$7,"dl",CA$7,"")*IF(BZ184&gt;10, BZ184/100, VLOOKUP(BZ184, _rpe,SUBSTITUTE(BY184,"+","")+1,0)), IF( SWITCH(BU184,"sq",BY$7,"bn",BZ$7,"dl", CA$7,"")&lt; IF(_uom="lbs", 175, 80), 1.25, IF(_uom="lbs",5,2.5))))), "")</f>
        <v/>
      </c>
      <c r="CB184" s="148"/>
      <c r="CC184" s="33"/>
      <c r="CD184" s="171"/>
      <c r="CE184" s="124" t="str">
        <f>IFERROR(__xludf.DUMMYFUNCTION("IF(CA184=MAX(FILTER(CA$10:CA$199,LOOKUP(ROW(BU$10:BU$199),FILTER(ROW(BU$10:BU$199),BU$10:BU$199&lt;&gt;BU$9:BU$198))=LOOKUP(ROW(BU184),FILTER(ROW(BU$10:BU$199),BU$10:BU$199&lt;&gt;BU$9:BU$198)))),CB184,)"),"")</f>
        <v/>
      </c>
      <c r="CF184" s="122"/>
      <c r="CG184" s="33"/>
      <c r="CH184" s="143" t="str">
        <f t="shared" si="21"/>
        <v/>
      </c>
      <c r="CI184" s="38" t="str">
        <f>IFERROR(__xludf.DUMMYFUNCTION("""COMPUTED_VALUE"""),"")</f>
        <v/>
      </c>
      <c r="CJ184" s="144">
        <v>46153.0</v>
      </c>
      <c r="CK184" s="167" t="str">
        <f t="shared" si="27"/>
        <v/>
      </c>
      <c r="CL184" s="168" t="str">
        <f t="shared" si="334"/>
        <v/>
      </c>
      <c r="CM184" s="169" t="str">
        <f t="shared" si="335"/>
        <v/>
      </c>
      <c r="CN184" s="172" t="str">
        <f t="shared" si="336"/>
        <v/>
      </c>
      <c r="CO184" s="171" t="str">
        <f t="array" ref="CO184">IFERROR(IF(CI184="ac"+ISNUMBER(SEARCH("'",CN184))+CM184="","", IF(ISNUMBER(SEARCH("lw",CN184)), CA184 + SUBSTITUTE(CN184,"lw+",""), MROUND(SWITCH(CI184,"sq",CM$7,"bn",CN$7,"dl",CO$7,"")*IF(CN184&gt;10, CN184/100, VLOOKUP(CN184, _rpe,SUBSTITUTE(CM184,"+","")+1,0)), IF( SWITCH(CI184,"sq",CM$7,"bn",CN$7,"dl", CO$7,"")&lt; IF(_uom="lbs", 175, 80), 1.25, IF(_uom="lbs",5,2.5))))), "")</f>
        <v/>
      </c>
      <c r="CP184" s="148"/>
      <c r="CQ184" s="33"/>
      <c r="CR184" s="171"/>
      <c r="CS184" s="124" t="str">
        <f>IFERROR(__xludf.DUMMYFUNCTION("IF(CO184=MAX(FILTER(CO$10:CO$199,LOOKUP(ROW(CI$10:CI$199),FILTER(ROW(CI$10:CI$199),CI$10:CI$199&lt;&gt;CI$9:CI$198))=LOOKUP(ROW(CI184),FILTER(ROW(CI$10:CI$199),CI$10:CI$199&lt;&gt;CI$9:CI$198)))),CP184,)"),"")</f>
        <v/>
      </c>
      <c r="CT184" s="122"/>
      <c r="CU184" s="33"/>
      <c r="CV184" s="143" t="str">
        <f t="shared" si="22"/>
        <v/>
      </c>
      <c r="CW184" s="38" t="str">
        <f>IFERROR(__xludf.DUMMYFUNCTION("""COMPUTED_VALUE"""),"")</f>
        <v/>
      </c>
      <c r="CX184" s="144">
        <v>46160.0</v>
      </c>
      <c r="CY184" s="167" t="str">
        <f t="shared" si="28"/>
        <v/>
      </c>
      <c r="CZ184" s="168" t="str">
        <f t="shared" si="337"/>
        <v/>
      </c>
      <c r="DA184" s="169" t="str">
        <f t="shared" si="338"/>
        <v/>
      </c>
      <c r="DB184" s="172" t="str">
        <f t="shared" si="339"/>
        <v/>
      </c>
      <c r="DC184" s="171" t="str">
        <f t="array" ref="DC184">IFERROR(IF(CW184="ac"+ISNUMBER(SEARCH("'",DB184))+DA184="","", IF(ISNUMBER(SEARCH("lw",DB184)), CO184 + SUBSTITUTE(DB184,"lw+",""), MROUND(SWITCH(CW184,"sq",DA$7,"bn",DB$7,"dl",DC$7,"")*IF(DB184&gt;10, DB184/100, VLOOKUP(DB184, _rpe,SUBSTITUTE(DA184,"+","")+1,0)), IF( SWITCH(CW184,"sq",DA$7,"bn",DB$7,"dl", DC$7,"")&lt; IF(_uom="lbs", 175, 80), 1.25, IF(_uom="lbs",5,2.5))))), "")</f>
        <v/>
      </c>
      <c r="DD184" s="148"/>
      <c r="DE184" s="33"/>
      <c r="DF184" s="171"/>
      <c r="DG184" s="124" t="str">
        <f>IFERROR(__xludf.DUMMYFUNCTION("IF(DC184=MAX(FILTER(DC$10:DC$199,LOOKUP(ROW(CW$10:CW$199),FILTER(ROW(CW$10:CW$199),CW$10:CW$199&lt;&gt;CW$9:CW$198))=LOOKUP(ROW(CW184),FILTER(ROW(CW$10:CW$199),CW$10:CW$199&lt;&gt;CW$9:CW$198)))),DD184,)"),"")</f>
        <v/>
      </c>
      <c r="DH184" s="122"/>
      <c r="DI184" s="33"/>
      <c r="DJ184" s="143" t="str">
        <f t="shared" si="23"/>
        <v/>
      </c>
      <c r="DK184" s="38" t="str">
        <f>IFERROR(__xludf.DUMMYFUNCTION("""COMPUTED_VALUE"""),"")</f>
        <v/>
      </c>
      <c r="DL184" s="144">
        <v>46167.0</v>
      </c>
      <c r="DM184" s="167" t="str">
        <f t="shared" ref="DM184:DN184" si="436">IF(ISBLANK(CY184),"",CY184)</f>
        <v/>
      </c>
      <c r="DN184" s="168" t="str">
        <f t="shared" si="436"/>
        <v/>
      </c>
      <c r="DO184" s="169" t="str">
        <f t="shared" si="341"/>
        <v/>
      </c>
      <c r="DP184" s="172" t="str">
        <f t="shared" si="342"/>
        <v/>
      </c>
      <c r="DQ184" s="171" t="str">
        <f t="array" ref="DQ184">IFERROR(IF(DK184="ac"+ISNUMBER(SEARCH("'",DP184))+DO184="","", IF(ISNUMBER(SEARCH("lw",DP184)), DC184 + SUBSTITUTE(DP184,"lw+",""), MROUND(SWITCH(DK184,"sq",DO$7,"bn",DP$7,"dl",DQ$7,"")*IF(DP184&gt;10, DP184/100, VLOOKUP(DP184, _rpe,SUBSTITUTE(DO184,"+","")+1,0)), IF( SWITCH(DK184,"sq",DO$7,"bn",DP$7,"dl", DQ$7,"")&lt; IF(_uom="lbs", 175, 80), 1.25, IF(_uom="lbs",5,2.5))))), "")</f>
        <v/>
      </c>
      <c r="DR184" s="148"/>
      <c r="DS184" s="33"/>
      <c r="DT184" s="171"/>
      <c r="DU184" s="124" t="str">
        <f>IFERROR(__xludf.DUMMYFUNCTION("IF(DQ184=MAX(FILTER(DQ$10:DQ$199,LOOKUP(ROW(DK$10:DK$199),FILTER(ROW(DK$10:DK$199),DK$10:DK$199&lt;&gt;DK$9:DK$198))=LOOKUP(ROW(DK184),FILTER(ROW(DK$10:DK$199),DK$10:DK$199&lt;&gt;DK$9:DK$198)))),DR184,)"),"")</f>
        <v/>
      </c>
      <c r="DV184" s="122"/>
      <c r="DW184" s="33"/>
      <c r="DX184" s="143"/>
      <c r="DY184" s="38"/>
      <c r="DZ184" s="144"/>
      <c r="EA184" s="150"/>
      <c r="EB184" s="174"/>
      <c r="EC184" s="175"/>
      <c r="ED184" s="176"/>
      <c r="EE184" s="155"/>
      <c r="EF184" s="148"/>
      <c r="EG184" s="33"/>
      <c r="EH184" s="155"/>
      <c r="EI184" s="148"/>
      <c r="EJ184" s="33"/>
      <c r="EK184" s="33"/>
      <c r="EL184" s="143"/>
      <c r="EM184" s="38"/>
      <c r="EN184" s="144"/>
      <c r="EO184" s="150"/>
      <c r="EP184" s="174"/>
      <c r="EQ184" s="175"/>
      <c r="ER184" s="176"/>
      <c r="ES184" s="155"/>
      <c r="ET184" s="148"/>
      <c r="EU184" s="33"/>
      <c r="EV184" s="155"/>
      <c r="EW184" s="148"/>
      <c r="EX184" s="33"/>
      <c r="EY184" s="33"/>
      <c r="EZ184" s="143"/>
      <c r="FA184" s="38"/>
      <c r="FB184" s="144"/>
      <c r="FC184" s="150"/>
      <c r="FD184" s="174"/>
      <c r="FE184" s="175"/>
      <c r="FF184" s="176"/>
      <c r="FG184" s="155"/>
      <c r="FH184" s="148"/>
      <c r="FI184" s="33"/>
      <c r="FJ184" s="155"/>
      <c r="FK184" s="148"/>
      <c r="FL184" s="33"/>
      <c r="FM184" s="33"/>
      <c r="FN184" s="143"/>
      <c r="FO184" s="38"/>
      <c r="FP184" s="144"/>
      <c r="FQ184" s="150"/>
      <c r="FR184" s="174"/>
      <c r="FS184" s="175"/>
      <c r="FT184" s="176"/>
      <c r="FU184" s="155"/>
      <c r="FV184" s="148"/>
      <c r="FW184" s="33"/>
      <c r="FX184" s="155"/>
      <c r="FY184" s="148"/>
      <c r="FZ184" s="33"/>
      <c r="GA184" s="33"/>
      <c r="GB184" s="143"/>
      <c r="GC184" s="38"/>
      <c r="GD184" s="144"/>
      <c r="GE184" s="150"/>
      <c r="GF184" s="174"/>
      <c r="GG184" s="175"/>
      <c r="GH184" s="176"/>
      <c r="GI184" s="155"/>
      <c r="GJ184" s="148"/>
      <c r="GK184" s="33"/>
      <c r="GL184" s="155"/>
      <c r="GM184" s="148"/>
      <c r="GN184" s="33"/>
      <c r="GO184" s="33"/>
      <c r="GP184" s="143"/>
      <c r="GQ184" s="38"/>
      <c r="GR184" s="144"/>
      <c r="GS184" s="150"/>
      <c r="GT184" s="174"/>
      <c r="GU184" s="175"/>
      <c r="GV184" s="176"/>
      <c r="GW184" s="155"/>
      <c r="GX184" s="148"/>
      <c r="GY184" s="33"/>
      <c r="GZ184" s="155"/>
      <c r="HA184" s="148"/>
      <c r="HB184" s="33"/>
      <c r="HC184" s="33"/>
      <c r="HD184" s="143"/>
      <c r="HE184" s="38"/>
      <c r="HF184" s="144"/>
      <c r="HG184" s="150"/>
      <c r="HH184" s="174"/>
      <c r="HI184" s="175"/>
      <c r="HJ184" s="176"/>
      <c r="HK184" s="155"/>
      <c r="HL184" s="148"/>
      <c r="HM184" s="33"/>
      <c r="HN184" s="155"/>
      <c r="HO184" s="148"/>
      <c r="HP184" s="33"/>
      <c r="HQ184" s="33"/>
      <c r="HR184" s="143"/>
      <c r="HS184" s="38"/>
      <c r="HT184" s="144"/>
      <c r="HU184" s="150"/>
      <c r="HV184" s="174"/>
      <c r="HW184" s="175"/>
      <c r="HX184" s="176"/>
      <c r="HY184" s="155"/>
      <c r="HZ184" s="148"/>
      <c r="IA184" s="33"/>
      <c r="IB184" s="155"/>
      <c r="IC184" s="148"/>
      <c r="ID184" s="33"/>
      <c r="IE184" s="33"/>
      <c r="IF184" s="143"/>
      <c r="IG184" s="38"/>
      <c r="IH184" s="144"/>
      <c r="II184" s="150"/>
      <c r="IJ184" s="174"/>
      <c r="IK184" s="175"/>
      <c r="IL184" s="176"/>
      <c r="IM184" s="155"/>
      <c r="IN184" s="148"/>
      <c r="IO184" s="33"/>
      <c r="IP184" s="155"/>
      <c r="IQ184" s="148"/>
      <c r="IR184" s="33"/>
      <c r="IS184" s="33"/>
      <c r="IT184" s="143"/>
      <c r="IU184" s="38"/>
      <c r="IV184" s="144"/>
      <c r="IW184" s="143"/>
      <c r="IX184" s="38"/>
      <c r="IY184" s="144" t="e">
        <v>#REF!</v>
      </c>
    </row>
    <row r="185">
      <c r="A185" s="33"/>
      <c r="B185" s="181"/>
      <c r="C185" s="38" t="str">
        <f>IFERROR(__xludf.DUMMYFUNCTION("""COMPUTED_VALUE"""),"")</f>
        <v/>
      </c>
      <c r="D185" s="144">
        <v>46111.0</v>
      </c>
      <c r="E185" s="182"/>
      <c r="F185" s="168"/>
      <c r="G185" s="169"/>
      <c r="H185" s="170"/>
      <c r="I185" s="171" t="str">
        <f t="array" ref="I185">IFERROR(IF(C185="ac"+ISNUMBER(SEARCH("'",H185))+G185="","", MROUND(SWITCH(C185,"sq",'Personal Info'!$O$15,"bn",'Personal Info'!$S$15,"dl",'Personal Info'!$W$15,"")*IF(H185&gt;10, H185/100, VLOOKUP(H185, _rpe,SUBSTITUTE(G185,"+","")+1,0)), IF( SWITCH(C185:C210,"sq",'Personal Info'!$O$15,"bn",'Personal Info'!$S$15,"dl", 'Personal Info'!$W$15,"")&lt; IF(_uom="lbs", 175, 80), 1.25, IF(_uom="lbs",5,2.5)))),"")</f>
        <v/>
      </c>
      <c r="J185" s="148"/>
      <c r="K185" s="33"/>
      <c r="L185" s="171"/>
      <c r="M185" s="124" t="str">
        <f>IFERROR(__xludf.DUMMYFUNCTION("IF(I185=MAX(FILTER(I$10:I$199,LOOKUP(ROW(C$10:C$199),FILTER(ROW(C$10:C$199),C$10:C$199&lt;&gt;C$9:C$198))=LOOKUP(ROW(C185),FILTER(ROW(C$10:C$199),C$10:C$199&lt;&gt;C$9:C$198)))),J185,)"),"")</f>
        <v/>
      </c>
      <c r="N185" s="122"/>
      <c r="O185" s="33"/>
      <c r="P185" s="143" t="str">
        <f t="shared" si="12"/>
        <v/>
      </c>
      <c r="Q185" s="38" t="str">
        <f>IFERROR(__xludf.DUMMYFUNCTION("""COMPUTED_VALUE"""),"")</f>
        <v/>
      </c>
      <c r="R185" s="144">
        <v>46118.0</v>
      </c>
      <c r="S185" s="167" t="str">
        <f t="shared" si="13"/>
        <v/>
      </c>
      <c r="T185" s="168" t="str">
        <f t="shared" si="319"/>
        <v/>
      </c>
      <c r="U185" s="169" t="str">
        <f t="shared" si="320"/>
        <v/>
      </c>
      <c r="V185" s="172" t="str">
        <f t="shared" si="321"/>
        <v/>
      </c>
      <c r="W185" s="171" t="str">
        <f t="array" ref="W185">IFERROR(IF(Q185="ac"+ISNUMBER(SEARCH("'",V185))+U185="","", IF(ISNUMBER(SEARCH("lw",V185)), I185 + SUBSTITUTE(V185,"lw+",""), MROUND(SWITCH(Q185,"sq",U$7,"bn",V$7,"dl",W$7,"")*IF(V185&gt;10, V185/100, VLOOKUP(V185, _rpe,SUBSTITUTE(U185,"+","")+1,0)), IF( SWITCH(Q185,"sq",U$7,"bn",V$7,"dl", W$7,"")&lt; IF(_uom="lbs", 175, 80), 1.25, IF(_uom="lbs",5,2.5))))), "")</f>
        <v/>
      </c>
      <c r="X185" s="148"/>
      <c r="Y185" s="33"/>
      <c r="Z185" s="171"/>
      <c r="AA185" s="124" t="str">
        <f>IFERROR(__xludf.DUMMYFUNCTION("IF(W185=MAX(FILTER(W$10:W$199,LOOKUP(ROW(Q$10:Q$199),FILTER(ROW(Q$10:Q$199),Q$10:Q$199&lt;&gt;Q$9:Q$198))=LOOKUP(ROW(Q185),FILTER(ROW(Q$10:Q$199),Q$10:Q$199&lt;&gt;Q$9:Q$198)))),X185,)"),"")</f>
        <v/>
      </c>
      <c r="AB185" s="122"/>
      <c r="AC185" s="33"/>
      <c r="AD185" s="143" t="str">
        <f t="shared" si="14"/>
        <v/>
      </c>
      <c r="AE185" s="38" t="str">
        <f>IFERROR(__xludf.DUMMYFUNCTION("""COMPUTED_VALUE"""),"")</f>
        <v/>
      </c>
      <c r="AF185" s="144">
        <v>46125.0</v>
      </c>
      <c r="AG185" s="167" t="str">
        <f t="shared" si="54"/>
        <v/>
      </c>
      <c r="AH185" s="168" t="str">
        <f t="shared" si="322"/>
        <v/>
      </c>
      <c r="AI185" s="169" t="str">
        <f t="shared" si="323"/>
        <v/>
      </c>
      <c r="AJ185" s="172" t="str">
        <f t="shared" si="324"/>
        <v/>
      </c>
      <c r="AK185" s="171" t="str">
        <f t="array" ref="AK185">IFERROR(IF(AE185="ac"+ISNUMBER(SEARCH("'",AJ185))+AI185="","", IF(ISNUMBER(SEARCH("lw",AJ185)), W185 + SUBSTITUTE(AJ185,"lw+",""), MROUND(SWITCH(AE185,"sq",AI$7,"bn",AJ$7,"dl",AK$7,"")*IF(AJ185&gt;10, AJ185/100, VLOOKUP(AJ185, _rpe,SUBSTITUTE(AI185,"+","")+1,0)), IF( SWITCH(AE185,"sq",AI$7,"bn",AJ$7,"dl", AK$7,"")&lt; IF(_uom="lbs", 175, 80), 1.25, IF(_uom="lbs",5,2.5))))), "")</f>
        <v/>
      </c>
      <c r="AL185" s="148"/>
      <c r="AM185" s="33"/>
      <c r="AN185" s="171"/>
      <c r="AO185" s="124" t="str">
        <f>IFERROR(__xludf.DUMMYFUNCTION("IF(AK185=MAX(FILTER(AK$10:AK$199,LOOKUP(ROW(AE$10:AE$199),FILTER(ROW(AE$10:AE$199),AE$10:AE$199&lt;&gt;AE$9:AE$198))=LOOKUP(ROW(AE185),FILTER(ROW(AE$10:AE$199),AE$10:AE$199&lt;&gt;AE$9:AE$198)))),AL185,)"),"")</f>
        <v/>
      </c>
      <c r="AP185" s="122"/>
      <c r="AQ185" s="33"/>
      <c r="AR185" s="143" t="str">
        <f t="shared" si="16"/>
        <v/>
      </c>
      <c r="AS185" s="38" t="str">
        <f>IFERROR(__xludf.DUMMYFUNCTION("""COMPUTED_VALUE"""),"")</f>
        <v/>
      </c>
      <c r="AT185" s="144">
        <v>46132.0</v>
      </c>
      <c r="AU185" s="167" t="str">
        <f t="shared" si="26"/>
        <v/>
      </c>
      <c r="AV185" s="168" t="str">
        <f t="shared" si="325"/>
        <v/>
      </c>
      <c r="AW185" s="169" t="str">
        <f t="shared" si="326"/>
        <v/>
      </c>
      <c r="AX185" s="172" t="str">
        <f t="shared" si="327"/>
        <v/>
      </c>
      <c r="AY185" s="171" t="str">
        <f t="array" ref="AY185">IFERROR(IF(AS185="ac"+ISNUMBER(SEARCH("'",AX185))+AW185="","", IF(ISNUMBER(SEARCH("lw",AX185)), AK185 + SUBSTITUTE(AX185,"lw+",""), MROUND(SWITCH(AS185,"sq",AW$7,"bn",AX$7,"dl",AY$7,"")*IF(AX185&gt;10, AX185/100, VLOOKUP(AX185, _rpe,SUBSTITUTE(AW185,"+","")+1,0)), IF( SWITCH(AS185,"sq",AW$7,"bn",AX$7,"dl", AY$7,"")&lt; IF(_uom="lbs", 175, 80), 1.25, IF(_uom="lbs",5,2.5))))), "")</f>
        <v/>
      </c>
      <c r="AZ185" s="148"/>
      <c r="BA185" s="33"/>
      <c r="BB185" s="171"/>
      <c r="BC185" s="124" t="str">
        <f>IFERROR(__xludf.DUMMYFUNCTION("IF(AY185=MAX(FILTER(AY$10:AY$199,LOOKUP(ROW(AS$10:AS$199),FILTER(ROW(AS$10:AS$199),AS$10:AS$199&lt;&gt;AS$9:AS$198))=LOOKUP(ROW(AS185),FILTER(ROW(AS$10:AS$199),AS$10:AS$199&lt;&gt;AS$9:AS$198)))),AZ185,)"),"")</f>
        <v/>
      </c>
      <c r="BD185" s="122"/>
      <c r="BE185" s="33"/>
      <c r="BF185" s="143" t="str">
        <f t="shared" si="17"/>
        <v/>
      </c>
      <c r="BG185" s="38" t="str">
        <f>IFERROR(__xludf.DUMMYFUNCTION("""COMPUTED_VALUE"""),"")</f>
        <v/>
      </c>
      <c r="BH185" s="144">
        <v>46139.0</v>
      </c>
      <c r="BI185" s="167" t="str">
        <f t="shared" si="18"/>
        <v/>
      </c>
      <c r="BJ185" s="168" t="str">
        <f t="shared" si="328"/>
        <v/>
      </c>
      <c r="BK185" s="169" t="str">
        <f t="shared" si="329"/>
        <v/>
      </c>
      <c r="BL185" s="172" t="str">
        <f t="shared" si="330"/>
        <v/>
      </c>
      <c r="BM185" s="171" t="str">
        <f t="array" ref="BM185">IFERROR(IF(BG185="ac"+ISNUMBER(SEARCH("'",BL185))+BK185="","", IF(ISNUMBER(SEARCH("lw",BL185)), AY185 + SUBSTITUTE(BL185,"lw+",""), MROUND(SWITCH(BG185,"sq",BK$7,"bn",BL$7,"dl",BM$7,"")*IF(BL185&gt;10, BL185/100, VLOOKUP(BL185, _rpe,SUBSTITUTE(BK185,"+","")+1,0)), IF( SWITCH(BG185,"sq",BK$7,"bn",BL$7,"dl", BM$7,"")&lt; IF(_uom="lbs", 175, 80), 1.25, IF(_uom="lbs",5,2.5))))), "")</f>
        <v/>
      </c>
      <c r="BN185" s="148"/>
      <c r="BO185" s="33"/>
      <c r="BP185" s="171"/>
      <c r="BQ185" s="124" t="str">
        <f>IFERROR(__xludf.DUMMYFUNCTION("IF(BM185=MAX(FILTER(BM$10:BM$199,LOOKUP(ROW(BG$10:BG$199),FILTER(ROW(BG$10:BG$199),BG$10:BG$199&lt;&gt;BG$9:BG$198))=LOOKUP(ROW(BG185),FILTER(ROW(BG$10:BG$199),BG$10:BG$199&lt;&gt;BG$9:BG$198)))),BN185,)"),"")</f>
        <v/>
      </c>
      <c r="BR185" s="122"/>
      <c r="BS185" s="33"/>
      <c r="BT185" s="143" t="str">
        <f t="shared" si="19"/>
        <v/>
      </c>
      <c r="BU185" s="38" t="str">
        <f>IFERROR(__xludf.DUMMYFUNCTION("""COMPUTED_VALUE"""),"")</f>
        <v/>
      </c>
      <c r="BV185" s="144">
        <v>46146.0</v>
      </c>
      <c r="BW185" s="167" t="str">
        <f t="shared" si="20"/>
        <v/>
      </c>
      <c r="BX185" s="168" t="str">
        <f t="shared" si="331"/>
        <v/>
      </c>
      <c r="BY185" s="169" t="str">
        <f t="shared" si="332"/>
        <v/>
      </c>
      <c r="BZ185" s="172" t="str">
        <f t="shared" si="333"/>
        <v/>
      </c>
      <c r="CA185" s="171" t="str">
        <f t="array" ref="CA185">IFERROR(IF(BU185="ac"+ISNUMBER(SEARCH("'",BZ185))+BY185="","", IF(ISNUMBER(SEARCH("lw",BZ185)), BM185 + SUBSTITUTE(BZ185,"lw+",""), MROUND(SWITCH(BU185,"sq",BY$7,"bn",BZ$7,"dl",CA$7,"")*IF(BZ185&gt;10, BZ185/100, VLOOKUP(BZ185, _rpe,SUBSTITUTE(BY185,"+","")+1,0)), IF( SWITCH(BU185,"sq",BY$7,"bn",BZ$7,"dl", CA$7,"")&lt; IF(_uom="lbs", 175, 80), 1.25, IF(_uom="lbs",5,2.5))))), "")</f>
        <v/>
      </c>
      <c r="CB185" s="148"/>
      <c r="CC185" s="33"/>
      <c r="CD185" s="171"/>
      <c r="CE185" s="124" t="str">
        <f>IFERROR(__xludf.DUMMYFUNCTION("IF(CA185=MAX(FILTER(CA$10:CA$199,LOOKUP(ROW(BU$10:BU$199),FILTER(ROW(BU$10:BU$199),BU$10:BU$199&lt;&gt;BU$9:BU$198))=LOOKUP(ROW(BU185),FILTER(ROW(BU$10:BU$199),BU$10:BU$199&lt;&gt;BU$9:BU$198)))),CB185,)"),"")</f>
        <v/>
      </c>
      <c r="CF185" s="122"/>
      <c r="CG185" s="33"/>
      <c r="CH185" s="143" t="str">
        <f t="shared" si="21"/>
        <v/>
      </c>
      <c r="CI185" s="38" t="str">
        <f>IFERROR(__xludf.DUMMYFUNCTION("""COMPUTED_VALUE"""),"")</f>
        <v/>
      </c>
      <c r="CJ185" s="144">
        <v>46153.0</v>
      </c>
      <c r="CK185" s="167" t="str">
        <f t="shared" si="27"/>
        <v/>
      </c>
      <c r="CL185" s="168" t="str">
        <f t="shared" si="334"/>
        <v/>
      </c>
      <c r="CM185" s="169" t="str">
        <f t="shared" si="335"/>
        <v/>
      </c>
      <c r="CN185" s="172" t="str">
        <f t="shared" si="336"/>
        <v/>
      </c>
      <c r="CO185" s="171" t="str">
        <f t="array" ref="CO185">IFERROR(IF(CI185="ac"+ISNUMBER(SEARCH("'",CN185))+CM185="","", IF(ISNUMBER(SEARCH("lw",CN185)), CA185 + SUBSTITUTE(CN185,"lw+",""), MROUND(SWITCH(CI185,"sq",CM$7,"bn",CN$7,"dl",CO$7,"")*IF(CN185&gt;10, CN185/100, VLOOKUP(CN185, _rpe,SUBSTITUTE(CM185,"+","")+1,0)), IF( SWITCH(CI185,"sq",CM$7,"bn",CN$7,"dl", CO$7,"")&lt; IF(_uom="lbs", 175, 80), 1.25, IF(_uom="lbs",5,2.5))))), "")</f>
        <v/>
      </c>
      <c r="CP185" s="148"/>
      <c r="CQ185" s="33"/>
      <c r="CR185" s="171"/>
      <c r="CS185" s="124" t="str">
        <f>IFERROR(__xludf.DUMMYFUNCTION("IF(CO185=MAX(FILTER(CO$10:CO$199,LOOKUP(ROW(CI$10:CI$199),FILTER(ROW(CI$10:CI$199),CI$10:CI$199&lt;&gt;CI$9:CI$198))=LOOKUP(ROW(CI185),FILTER(ROW(CI$10:CI$199),CI$10:CI$199&lt;&gt;CI$9:CI$198)))),CP185,)"),"")</f>
        <v/>
      </c>
      <c r="CT185" s="122"/>
      <c r="CU185" s="33"/>
      <c r="CV185" s="143" t="str">
        <f t="shared" si="22"/>
        <v/>
      </c>
      <c r="CW185" s="38" t="str">
        <f>IFERROR(__xludf.DUMMYFUNCTION("""COMPUTED_VALUE"""),"")</f>
        <v/>
      </c>
      <c r="CX185" s="144">
        <v>46160.0</v>
      </c>
      <c r="CY185" s="167" t="str">
        <f t="shared" si="28"/>
        <v/>
      </c>
      <c r="CZ185" s="168" t="str">
        <f t="shared" si="337"/>
        <v/>
      </c>
      <c r="DA185" s="169" t="str">
        <f t="shared" si="338"/>
        <v/>
      </c>
      <c r="DB185" s="172" t="str">
        <f t="shared" si="339"/>
        <v/>
      </c>
      <c r="DC185" s="171" t="str">
        <f t="array" ref="DC185">IFERROR(IF(CW185="ac"+ISNUMBER(SEARCH("'",DB185))+DA185="","", IF(ISNUMBER(SEARCH("lw",DB185)), CO185 + SUBSTITUTE(DB185,"lw+",""), MROUND(SWITCH(CW185,"sq",DA$7,"bn",DB$7,"dl",DC$7,"")*IF(DB185&gt;10, DB185/100, VLOOKUP(DB185, _rpe,SUBSTITUTE(DA185,"+","")+1,0)), IF( SWITCH(CW185,"sq",DA$7,"bn",DB$7,"dl", DC$7,"")&lt; IF(_uom="lbs", 175, 80), 1.25, IF(_uom="lbs",5,2.5))))), "")</f>
        <v/>
      </c>
      <c r="DD185" s="148"/>
      <c r="DE185" s="33"/>
      <c r="DF185" s="171"/>
      <c r="DG185" s="124" t="str">
        <f>IFERROR(__xludf.DUMMYFUNCTION("IF(DC185=MAX(FILTER(DC$10:DC$199,LOOKUP(ROW(CW$10:CW$199),FILTER(ROW(CW$10:CW$199),CW$10:CW$199&lt;&gt;CW$9:CW$198))=LOOKUP(ROW(CW185),FILTER(ROW(CW$10:CW$199),CW$10:CW$199&lt;&gt;CW$9:CW$198)))),DD185,)"),"")</f>
        <v/>
      </c>
      <c r="DH185" s="122"/>
      <c r="DI185" s="33"/>
      <c r="DJ185" s="143" t="str">
        <f t="shared" si="23"/>
        <v/>
      </c>
      <c r="DK185" s="38" t="str">
        <f>IFERROR(__xludf.DUMMYFUNCTION("""COMPUTED_VALUE"""),"")</f>
        <v/>
      </c>
      <c r="DL185" s="144">
        <v>46167.0</v>
      </c>
      <c r="DM185" s="167" t="str">
        <f t="shared" ref="DM185:DN185" si="437">IF(ISBLANK(CY185),"",CY185)</f>
        <v/>
      </c>
      <c r="DN185" s="168" t="str">
        <f t="shared" si="437"/>
        <v/>
      </c>
      <c r="DO185" s="169" t="str">
        <f t="shared" si="341"/>
        <v/>
      </c>
      <c r="DP185" s="172" t="str">
        <f t="shared" si="342"/>
        <v/>
      </c>
      <c r="DQ185" s="171" t="str">
        <f t="array" ref="DQ185">IFERROR(IF(DK185="ac"+ISNUMBER(SEARCH("'",DP185))+DO185="","", IF(ISNUMBER(SEARCH("lw",DP185)), DC185 + SUBSTITUTE(DP185,"lw+",""), MROUND(SWITCH(DK185,"sq",DO$7,"bn",DP$7,"dl",DQ$7,"")*IF(DP185&gt;10, DP185/100, VLOOKUP(DP185, _rpe,SUBSTITUTE(DO185,"+","")+1,0)), IF( SWITCH(DK185,"sq",DO$7,"bn",DP$7,"dl", DQ$7,"")&lt; IF(_uom="lbs", 175, 80), 1.25, IF(_uom="lbs",5,2.5))))), "")</f>
        <v/>
      </c>
      <c r="DR185" s="148"/>
      <c r="DS185" s="33"/>
      <c r="DT185" s="171"/>
      <c r="DU185" s="124" t="str">
        <f>IFERROR(__xludf.DUMMYFUNCTION("IF(DQ185=MAX(FILTER(DQ$10:DQ$199,LOOKUP(ROW(DK$10:DK$199),FILTER(ROW(DK$10:DK$199),DK$10:DK$199&lt;&gt;DK$9:DK$198))=LOOKUP(ROW(DK185),FILTER(ROW(DK$10:DK$199),DK$10:DK$199&lt;&gt;DK$9:DK$198)))),DR185,)"),"")</f>
        <v/>
      </c>
      <c r="DV185" s="122"/>
      <c r="DW185" s="33"/>
      <c r="DX185" s="143"/>
      <c r="DY185" s="38"/>
      <c r="DZ185" s="144"/>
      <c r="EA185" s="150"/>
      <c r="EB185" s="174"/>
      <c r="EC185" s="175"/>
      <c r="ED185" s="176"/>
      <c r="EE185" s="155"/>
      <c r="EF185" s="148"/>
      <c r="EG185" s="33"/>
      <c r="EH185" s="155"/>
      <c r="EI185" s="148"/>
      <c r="EJ185" s="33"/>
      <c r="EK185" s="33"/>
      <c r="EL185" s="143"/>
      <c r="EM185" s="38"/>
      <c r="EN185" s="144"/>
      <c r="EO185" s="150"/>
      <c r="EP185" s="174"/>
      <c r="EQ185" s="175"/>
      <c r="ER185" s="176"/>
      <c r="ES185" s="155"/>
      <c r="ET185" s="148"/>
      <c r="EU185" s="33"/>
      <c r="EV185" s="155"/>
      <c r="EW185" s="148"/>
      <c r="EX185" s="33"/>
      <c r="EY185" s="33"/>
      <c r="EZ185" s="143"/>
      <c r="FA185" s="38"/>
      <c r="FB185" s="144"/>
      <c r="FC185" s="150"/>
      <c r="FD185" s="174"/>
      <c r="FE185" s="175"/>
      <c r="FF185" s="176"/>
      <c r="FG185" s="155"/>
      <c r="FH185" s="148"/>
      <c r="FI185" s="33"/>
      <c r="FJ185" s="155"/>
      <c r="FK185" s="148"/>
      <c r="FL185" s="33"/>
      <c r="FM185" s="33"/>
      <c r="FN185" s="143"/>
      <c r="FO185" s="38"/>
      <c r="FP185" s="144"/>
      <c r="FQ185" s="150"/>
      <c r="FR185" s="174"/>
      <c r="FS185" s="175"/>
      <c r="FT185" s="176"/>
      <c r="FU185" s="155"/>
      <c r="FV185" s="148"/>
      <c r="FW185" s="33"/>
      <c r="FX185" s="155"/>
      <c r="FY185" s="148"/>
      <c r="FZ185" s="33"/>
      <c r="GA185" s="33"/>
      <c r="GB185" s="143"/>
      <c r="GC185" s="38"/>
      <c r="GD185" s="144"/>
      <c r="GE185" s="150"/>
      <c r="GF185" s="174"/>
      <c r="GG185" s="175"/>
      <c r="GH185" s="176"/>
      <c r="GI185" s="155"/>
      <c r="GJ185" s="148"/>
      <c r="GK185" s="33"/>
      <c r="GL185" s="155"/>
      <c r="GM185" s="148"/>
      <c r="GN185" s="33"/>
      <c r="GO185" s="33"/>
      <c r="GP185" s="143"/>
      <c r="GQ185" s="38"/>
      <c r="GR185" s="144"/>
      <c r="GS185" s="150"/>
      <c r="GT185" s="174"/>
      <c r="GU185" s="175"/>
      <c r="GV185" s="176"/>
      <c r="GW185" s="155"/>
      <c r="GX185" s="148"/>
      <c r="GY185" s="33"/>
      <c r="GZ185" s="155"/>
      <c r="HA185" s="148"/>
      <c r="HB185" s="33"/>
      <c r="HC185" s="33"/>
      <c r="HD185" s="143"/>
      <c r="HE185" s="38"/>
      <c r="HF185" s="144"/>
      <c r="HG185" s="150"/>
      <c r="HH185" s="174"/>
      <c r="HI185" s="175"/>
      <c r="HJ185" s="176"/>
      <c r="HK185" s="155"/>
      <c r="HL185" s="148"/>
      <c r="HM185" s="33"/>
      <c r="HN185" s="155"/>
      <c r="HO185" s="148"/>
      <c r="HP185" s="33"/>
      <c r="HQ185" s="33"/>
      <c r="HR185" s="143"/>
      <c r="HS185" s="38"/>
      <c r="HT185" s="144"/>
      <c r="HU185" s="150"/>
      <c r="HV185" s="174"/>
      <c r="HW185" s="175"/>
      <c r="HX185" s="176"/>
      <c r="HY185" s="155"/>
      <c r="HZ185" s="148"/>
      <c r="IA185" s="33"/>
      <c r="IB185" s="155"/>
      <c r="IC185" s="148"/>
      <c r="ID185" s="33"/>
      <c r="IE185" s="33"/>
      <c r="IF185" s="143"/>
      <c r="IG185" s="38"/>
      <c r="IH185" s="144"/>
      <c r="II185" s="150"/>
      <c r="IJ185" s="174"/>
      <c r="IK185" s="175"/>
      <c r="IL185" s="176"/>
      <c r="IM185" s="155"/>
      <c r="IN185" s="148"/>
      <c r="IO185" s="33"/>
      <c r="IP185" s="155"/>
      <c r="IQ185" s="148"/>
      <c r="IR185" s="33"/>
      <c r="IS185" s="33"/>
      <c r="IT185" s="143"/>
      <c r="IU185" s="38"/>
      <c r="IV185" s="144"/>
      <c r="IW185" s="143"/>
      <c r="IX185" s="38"/>
      <c r="IY185" s="144" t="e">
        <v>#REF!</v>
      </c>
    </row>
    <row r="186">
      <c r="A186" s="33"/>
      <c r="B186" s="181"/>
      <c r="C186" s="38" t="str">
        <f>IFERROR(__xludf.DUMMYFUNCTION("""COMPUTED_VALUE"""),"")</f>
        <v/>
      </c>
      <c r="D186" s="144">
        <v>46111.0</v>
      </c>
      <c r="E186" s="182"/>
      <c r="F186" s="168"/>
      <c r="G186" s="169"/>
      <c r="H186" s="170"/>
      <c r="I186" s="171" t="str">
        <f t="array" ref="I186">IFERROR(IF(C186="ac"+ISNUMBER(SEARCH("'",H186))+G186="","", MROUND(SWITCH(C186,"sq",'Personal Info'!$O$15,"bn",'Personal Info'!$S$15,"dl",'Personal Info'!$W$15,"")*IF(H186&gt;10, H186/100, VLOOKUP(H186, _rpe,SUBSTITUTE(G186,"+","")+1,0)), IF( SWITCH(C186:C210,"sq",'Personal Info'!$O$15,"bn",'Personal Info'!$S$15,"dl", 'Personal Info'!$W$15,"")&lt; IF(_uom="lbs", 175, 80), 1.25, IF(_uom="lbs",5,2.5)))),"")</f>
        <v/>
      </c>
      <c r="J186" s="148"/>
      <c r="K186" s="33"/>
      <c r="L186" s="171"/>
      <c r="M186" s="124" t="str">
        <f>IFERROR(__xludf.DUMMYFUNCTION("IF(I186=MAX(FILTER(I$10:I$199,LOOKUP(ROW(C$10:C$199),FILTER(ROW(C$10:C$199),C$10:C$199&lt;&gt;C$9:C$198))=LOOKUP(ROW(C186),FILTER(ROW(C$10:C$199),C$10:C$199&lt;&gt;C$9:C$198)))),J186,)"),"")</f>
        <v/>
      </c>
      <c r="N186" s="122"/>
      <c r="O186" s="33"/>
      <c r="P186" s="143" t="str">
        <f t="shared" si="12"/>
        <v/>
      </c>
      <c r="Q186" s="38" t="str">
        <f>IFERROR(__xludf.DUMMYFUNCTION("""COMPUTED_VALUE"""),"")</f>
        <v/>
      </c>
      <c r="R186" s="144">
        <v>46118.0</v>
      </c>
      <c r="S186" s="167" t="str">
        <f t="shared" si="13"/>
        <v/>
      </c>
      <c r="T186" s="168" t="str">
        <f t="shared" si="319"/>
        <v/>
      </c>
      <c r="U186" s="169" t="str">
        <f t="shared" si="320"/>
        <v/>
      </c>
      <c r="V186" s="172" t="str">
        <f t="shared" si="321"/>
        <v/>
      </c>
      <c r="W186" s="171" t="str">
        <f t="array" ref="W186">IFERROR(IF(Q186="ac"+ISNUMBER(SEARCH("'",V186))+U186="","", IF(ISNUMBER(SEARCH("lw",V186)), I186 + SUBSTITUTE(V186,"lw+",""), MROUND(SWITCH(Q186,"sq",U$7,"bn",V$7,"dl",W$7,"")*IF(V186&gt;10, V186/100, VLOOKUP(V186, _rpe,SUBSTITUTE(U186,"+","")+1,0)), IF( SWITCH(Q186,"sq",U$7,"bn",V$7,"dl", W$7,"")&lt; IF(_uom="lbs", 175, 80), 1.25, IF(_uom="lbs",5,2.5))))), "")</f>
        <v/>
      </c>
      <c r="X186" s="148"/>
      <c r="Y186" s="33"/>
      <c r="Z186" s="171"/>
      <c r="AA186" s="124" t="str">
        <f>IFERROR(__xludf.DUMMYFUNCTION("IF(W186=MAX(FILTER(W$10:W$199,LOOKUP(ROW(Q$10:Q$199),FILTER(ROW(Q$10:Q$199),Q$10:Q$199&lt;&gt;Q$9:Q$198))=LOOKUP(ROW(Q186),FILTER(ROW(Q$10:Q$199),Q$10:Q$199&lt;&gt;Q$9:Q$198)))),X186,)"),"")</f>
        <v/>
      </c>
      <c r="AB186" s="122"/>
      <c r="AC186" s="33"/>
      <c r="AD186" s="143" t="str">
        <f t="shared" si="14"/>
        <v/>
      </c>
      <c r="AE186" s="38" t="str">
        <f>IFERROR(__xludf.DUMMYFUNCTION("""COMPUTED_VALUE"""),"")</f>
        <v/>
      </c>
      <c r="AF186" s="144">
        <v>46125.0</v>
      </c>
      <c r="AG186" s="167" t="str">
        <f t="shared" si="54"/>
        <v/>
      </c>
      <c r="AH186" s="168" t="str">
        <f t="shared" si="322"/>
        <v/>
      </c>
      <c r="AI186" s="169" t="str">
        <f t="shared" si="323"/>
        <v/>
      </c>
      <c r="AJ186" s="172" t="str">
        <f t="shared" si="324"/>
        <v/>
      </c>
      <c r="AK186" s="171" t="str">
        <f t="array" ref="AK186">IFERROR(IF(AE186="ac"+ISNUMBER(SEARCH("'",AJ186))+AI186="","", IF(ISNUMBER(SEARCH("lw",AJ186)), W186 + SUBSTITUTE(AJ186,"lw+",""), MROUND(SWITCH(AE186,"sq",AI$7,"bn",AJ$7,"dl",AK$7,"")*IF(AJ186&gt;10, AJ186/100, VLOOKUP(AJ186, _rpe,SUBSTITUTE(AI186,"+","")+1,0)), IF( SWITCH(AE186,"sq",AI$7,"bn",AJ$7,"dl", AK$7,"")&lt; IF(_uom="lbs", 175, 80), 1.25, IF(_uom="lbs",5,2.5))))), "")</f>
        <v/>
      </c>
      <c r="AL186" s="148"/>
      <c r="AM186" s="33"/>
      <c r="AN186" s="171"/>
      <c r="AO186" s="124" t="str">
        <f>IFERROR(__xludf.DUMMYFUNCTION("IF(AK186=MAX(FILTER(AK$10:AK$199,LOOKUP(ROW(AE$10:AE$199),FILTER(ROW(AE$10:AE$199),AE$10:AE$199&lt;&gt;AE$9:AE$198))=LOOKUP(ROW(AE186),FILTER(ROW(AE$10:AE$199),AE$10:AE$199&lt;&gt;AE$9:AE$198)))),AL186,)"),"")</f>
        <v/>
      </c>
      <c r="AP186" s="122"/>
      <c r="AQ186" s="33"/>
      <c r="AR186" s="143" t="str">
        <f t="shared" si="16"/>
        <v/>
      </c>
      <c r="AS186" s="38" t="str">
        <f>IFERROR(__xludf.DUMMYFUNCTION("""COMPUTED_VALUE"""),"")</f>
        <v/>
      </c>
      <c r="AT186" s="144">
        <v>46132.0</v>
      </c>
      <c r="AU186" s="167" t="str">
        <f t="shared" si="26"/>
        <v/>
      </c>
      <c r="AV186" s="168" t="str">
        <f t="shared" si="325"/>
        <v/>
      </c>
      <c r="AW186" s="169" t="str">
        <f t="shared" si="326"/>
        <v/>
      </c>
      <c r="AX186" s="172" t="str">
        <f t="shared" si="327"/>
        <v/>
      </c>
      <c r="AY186" s="171" t="str">
        <f t="array" ref="AY186">IFERROR(IF(AS186="ac"+ISNUMBER(SEARCH("'",AX186))+AW186="","", IF(ISNUMBER(SEARCH("lw",AX186)), AK186 + SUBSTITUTE(AX186,"lw+",""), MROUND(SWITCH(AS186,"sq",AW$7,"bn",AX$7,"dl",AY$7,"")*IF(AX186&gt;10, AX186/100, VLOOKUP(AX186, _rpe,SUBSTITUTE(AW186,"+","")+1,0)), IF( SWITCH(AS186,"sq",AW$7,"bn",AX$7,"dl", AY$7,"")&lt; IF(_uom="lbs", 175, 80), 1.25, IF(_uom="lbs",5,2.5))))), "")</f>
        <v/>
      </c>
      <c r="AZ186" s="148"/>
      <c r="BA186" s="33"/>
      <c r="BB186" s="171"/>
      <c r="BC186" s="124" t="str">
        <f>IFERROR(__xludf.DUMMYFUNCTION("IF(AY186=MAX(FILTER(AY$10:AY$199,LOOKUP(ROW(AS$10:AS$199),FILTER(ROW(AS$10:AS$199),AS$10:AS$199&lt;&gt;AS$9:AS$198))=LOOKUP(ROW(AS186),FILTER(ROW(AS$10:AS$199),AS$10:AS$199&lt;&gt;AS$9:AS$198)))),AZ186,)"),"")</f>
        <v/>
      </c>
      <c r="BD186" s="122"/>
      <c r="BE186" s="33"/>
      <c r="BF186" s="143" t="str">
        <f t="shared" si="17"/>
        <v/>
      </c>
      <c r="BG186" s="38" t="str">
        <f>IFERROR(__xludf.DUMMYFUNCTION("""COMPUTED_VALUE"""),"")</f>
        <v/>
      </c>
      <c r="BH186" s="144">
        <v>46139.0</v>
      </c>
      <c r="BI186" s="167" t="str">
        <f t="shared" si="18"/>
        <v/>
      </c>
      <c r="BJ186" s="168" t="str">
        <f t="shared" si="328"/>
        <v/>
      </c>
      <c r="BK186" s="169" t="str">
        <f t="shared" si="329"/>
        <v/>
      </c>
      <c r="BL186" s="172" t="str">
        <f t="shared" si="330"/>
        <v/>
      </c>
      <c r="BM186" s="171" t="str">
        <f t="array" ref="BM186">IFERROR(IF(BG186="ac"+ISNUMBER(SEARCH("'",BL186))+BK186="","", IF(ISNUMBER(SEARCH("lw",BL186)), AY186 + SUBSTITUTE(BL186,"lw+",""), MROUND(SWITCH(BG186,"sq",BK$7,"bn",BL$7,"dl",BM$7,"")*IF(BL186&gt;10, BL186/100, VLOOKUP(BL186, _rpe,SUBSTITUTE(BK186,"+","")+1,0)), IF( SWITCH(BG186,"sq",BK$7,"bn",BL$7,"dl", BM$7,"")&lt; IF(_uom="lbs", 175, 80), 1.25, IF(_uom="lbs",5,2.5))))), "")</f>
        <v/>
      </c>
      <c r="BN186" s="148"/>
      <c r="BO186" s="33"/>
      <c r="BP186" s="171"/>
      <c r="BQ186" s="124" t="str">
        <f>IFERROR(__xludf.DUMMYFUNCTION("IF(BM186=MAX(FILTER(BM$10:BM$199,LOOKUP(ROW(BG$10:BG$199),FILTER(ROW(BG$10:BG$199),BG$10:BG$199&lt;&gt;BG$9:BG$198))=LOOKUP(ROW(BG186),FILTER(ROW(BG$10:BG$199),BG$10:BG$199&lt;&gt;BG$9:BG$198)))),BN186,)"),"")</f>
        <v/>
      </c>
      <c r="BR186" s="122"/>
      <c r="BS186" s="33"/>
      <c r="BT186" s="143" t="str">
        <f t="shared" si="19"/>
        <v/>
      </c>
      <c r="BU186" s="38" t="str">
        <f>IFERROR(__xludf.DUMMYFUNCTION("""COMPUTED_VALUE"""),"")</f>
        <v/>
      </c>
      <c r="BV186" s="144">
        <v>46146.0</v>
      </c>
      <c r="BW186" s="167" t="str">
        <f t="shared" si="20"/>
        <v/>
      </c>
      <c r="BX186" s="168" t="str">
        <f t="shared" si="331"/>
        <v/>
      </c>
      <c r="BY186" s="169" t="str">
        <f t="shared" si="332"/>
        <v/>
      </c>
      <c r="BZ186" s="172" t="str">
        <f t="shared" si="333"/>
        <v/>
      </c>
      <c r="CA186" s="171" t="str">
        <f t="array" ref="CA186">IFERROR(IF(BU186="ac"+ISNUMBER(SEARCH("'",BZ186))+BY186="","", IF(ISNUMBER(SEARCH("lw",BZ186)), BM186 + SUBSTITUTE(BZ186,"lw+",""), MROUND(SWITCH(BU186,"sq",BY$7,"bn",BZ$7,"dl",CA$7,"")*IF(BZ186&gt;10, BZ186/100, VLOOKUP(BZ186, _rpe,SUBSTITUTE(BY186,"+","")+1,0)), IF( SWITCH(BU186,"sq",BY$7,"bn",BZ$7,"dl", CA$7,"")&lt; IF(_uom="lbs", 175, 80), 1.25, IF(_uom="lbs",5,2.5))))), "")</f>
        <v/>
      </c>
      <c r="CB186" s="148"/>
      <c r="CC186" s="33"/>
      <c r="CD186" s="171"/>
      <c r="CE186" s="124" t="str">
        <f>IFERROR(__xludf.DUMMYFUNCTION("IF(CA186=MAX(FILTER(CA$10:CA$199,LOOKUP(ROW(BU$10:BU$199),FILTER(ROW(BU$10:BU$199),BU$10:BU$199&lt;&gt;BU$9:BU$198))=LOOKUP(ROW(BU186),FILTER(ROW(BU$10:BU$199),BU$10:BU$199&lt;&gt;BU$9:BU$198)))),CB186,)"),"")</f>
        <v/>
      </c>
      <c r="CF186" s="122"/>
      <c r="CG186" s="33"/>
      <c r="CH186" s="143" t="str">
        <f t="shared" si="21"/>
        <v/>
      </c>
      <c r="CI186" s="38" t="str">
        <f>IFERROR(__xludf.DUMMYFUNCTION("""COMPUTED_VALUE"""),"")</f>
        <v/>
      </c>
      <c r="CJ186" s="144">
        <v>46153.0</v>
      </c>
      <c r="CK186" s="167" t="str">
        <f t="shared" si="27"/>
        <v/>
      </c>
      <c r="CL186" s="168" t="str">
        <f t="shared" si="334"/>
        <v/>
      </c>
      <c r="CM186" s="169" t="str">
        <f t="shared" si="335"/>
        <v/>
      </c>
      <c r="CN186" s="172" t="str">
        <f t="shared" si="336"/>
        <v/>
      </c>
      <c r="CO186" s="171" t="str">
        <f t="array" ref="CO186">IFERROR(IF(CI186="ac"+ISNUMBER(SEARCH("'",CN186))+CM186="","", IF(ISNUMBER(SEARCH("lw",CN186)), CA186 + SUBSTITUTE(CN186,"lw+",""), MROUND(SWITCH(CI186,"sq",CM$7,"bn",CN$7,"dl",CO$7,"")*IF(CN186&gt;10, CN186/100, VLOOKUP(CN186, _rpe,SUBSTITUTE(CM186,"+","")+1,0)), IF( SWITCH(CI186,"sq",CM$7,"bn",CN$7,"dl", CO$7,"")&lt; IF(_uom="lbs", 175, 80), 1.25, IF(_uom="lbs",5,2.5))))), "")</f>
        <v/>
      </c>
      <c r="CP186" s="148"/>
      <c r="CQ186" s="33"/>
      <c r="CR186" s="171"/>
      <c r="CS186" s="124" t="str">
        <f>IFERROR(__xludf.DUMMYFUNCTION("IF(CO186=MAX(FILTER(CO$10:CO$199,LOOKUP(ROW(CI$10:CI$199),FILTER(ROW(CI$10:CI$199),CI$10:CI$199&lt;&gt;CI$9:CI$198))=LOOKUP(ROW(CI186),FILTER(ROW(CI$10:CI$199),CI$10:CI$199&lt;&gt;CI$9:CI$198)))),CP186,)"),"")</f>
        <v/>
      </c>
      <c r="CT186" s="122"/>
      <c r="CU186" s="33"/>
      <c r="CV186" s="143" t="str">
        <f t="shared" si="22"/>
        <v/>
      </c>
      <c r="CW186" s="38" t="str">
        <f>IFERROR(__xludf.DUMMYFUNCTION("""COMPUTED_VALUE"""),"")</f>
        <v/>
      </c>
      <c r="CX186" s="144">
        <v>46160.0</v>
      </c>
      <c r="CY186" s="167" t="str">
        <f t="shared" si="28"/>
        <v/>
      </c>
      <c r="CZ186" s="168" t="str">
        <f t="shared" si="337"/>
        <v/>
      </c>
      <c r="DA186" s="169" t="str">
        <f t="shared" si="338"/>
        <v/>
      </c>
      <c r="DB186" s="172" t="str">
        <f t="shared" si="339"/>
        <v/>
      </c>
      <c r="DC186" s="171" t="str">
        <f t="array" ref="DC186">IFERROR(IF(CW186="ac"+ISNUMBER(SEARCH("'",DB186))+DA186="","", IF(ISNUMBER(SEARCH("lw",DB186)), CO186 + SUBSTITUTE(DB186,"lw+",""), MROUND(SWITCH(CW186,"sq",DA$7,"bn",DB$7,"dl",DC$7,"")*IF(DB186&gt;10, DB186/100, VLOOKUP(DB186, _rpe,SUBSTITUTE(DA186,"+","")+1,0)), IF( SWITCH(CW186,"sq",DA$7,"bn",DB$7,"dl", DC$7,"")&lt; IF(_uom="lbs", 175, 80), 1.25, IF(_uom="lbs",5,2.5))))), "")</f>
        <v/>
      </c>
      <c r="DD186" s="148"/>
      <c r="DE186" s="33"/>
      <c r="DF186" s="171"/>
      <c r="DG186" s="124" t="str">
        <f>IFERROR(__xludf.DUMMYFUNCTION("IF(DC186=MAX(FILTER(DC$10:DC$199,LOOKUP(ROW(CW$10:CW$199),FILTER(ROW(CW$10:CW$199),CW$10:CW$199&lt;&gt;CW$9:CW$198))=LOOKUP(ROW(CW186),FILTER(ROW(CW$10:CW$199),CW$10:CW$199&lt;&gt;CW$9:CW$198)))),DD186,)"),"")</f>
        <v/>
      </c>
      <c r="DH186" s="122"/>
      <c r="DI186" s="33"/>
      <c r="DJ186" s="143" t="str">
        <f t="shared" si="23"/>
        <v/>
      </c>
      <c r="DK186" s="38" t="str">
        <f>IFERROR(__xludf.DUMMYFUNCTION("""COMPUTED_VALUE"""),"")</f>
        <v/>
      </c>
      <c r="DL186" s="144">
        <v>46167.0</v>
      </c>
      <c r="DM186" s="167" t="str">
        <f t="shared" ref="DM186:DN186" si="438">IF(ISBLANK(CY186),"",CY186)</f>
        <v/>
      </c>
      <c r="DN186" s="168" t="str">
        <f t="shared" si="438"/>
        <v/>
      </c>
      <c r="DO186" s="169" t="str">
        <f t="shared" si="341"/>
        <v/>
      </c>
      <c r="DP186" s="172" t="str">
        <f t="shared" si="342"/>
        <v/>
      </c>
      <c r="DQ186" s="171" t="str">
        <f t="array" ref="DQ186">IFERROR(IF(DK186="ac"+ISNUMBER(SEARCH("'",DP186))+DO186="","", IF(ISNUMBER(SEARCH("lw",DP186)), DC186 + SUBSTITUTE(DP186,"lw+",""), MROUND(SWITCH(DK186,"sq",DO$7,"bn",DP$7,"dl",DQ$7,"")*IF(DP186&gt;10, DP186/100, VLOOKUP(DP186, _rpe,SUBSTITUTE(DO186,"+","")+1,0)), IF( SWITCH(DK186,"sq",DO$7,"bn",DP$7,"dl", DQ$7,"")&lt; IF(_uom="lbs", 175, 80), 1.25, IF(_uom="lbs",5,2.5))))), "")</f>
        <v/>
      </c>
      <c r="DR186" s="148"/>
      <c r="DS186" s="33"/>
      <c r="DT186" s="171"/>
      <c r="DU186" s="124" t="str">
        <f>IFERROR(__xludf.DUMMYFUNCTION("IF(DQ186=MAX(FILTER(DQ$10:DQ$199,LOOKUP(ROW(DK$10:DK$199),FILTER(ROW(DK$10:DK$199),DK$10:DK$199&lt;&gt;DK$9:DK$198))=LOOKUP(ROW(DK186),FILTER(ROW(DK$10:DK$199),DK$10:DK$199&lt;&gt;DK$9:DK$198)))),DR186,)"),"")</f>
        <v/>
      </c>
      <c r="DV186" s="122"/>
      <c r="DW186" s="33"/>
      <c r="DX186" s="143"/>
      <c r="DY186" s="38"/>
      <c r="DZ186" s="144"/>
      <c r="EA186" s="150"/>
      <c r="EB186" s="174"/>
      <c r="EC186" s="175"/>
      <c r="ED186" s="176"/>
      <c r="EE186" s="155"/>
      <c r="EF186" s="148"/>
      <c r="EG186" s="33"/>
      <c r="EH186" s="155"/>
      <c r="EI186" s="148"/>
      <c r="EJ186" s="33"/>
      <c r="EK186" s="33"/>
      <c r="EL186" s="143"/>
      <c r="EM186" s="38"/>
      <c r="EN186" s="144"/>
      <c r="EO186" s="150"/>
      <c r="EP186" s="174"/>
      <c r="EQ186" s="175"/>
      <c r="ER186" s="176"/>
      <c r="ES186" s="155"/>
      <c r="ET186" s="148"/>
      <c r="EU186" s="33"/>
      <c r="EV186" s="155"/>
      <c r="EW186" s="148"/>
      <c r="EX186" s="33"/>
      <c r="EY186" s="33"/>
      <c r="EZ186" s="143"/>
      <c r="FA186" s="38"/>
      <c r="FB186" s="144"/>
      <c r="FC186" s="150"/>
      <c r="FD186" s="174"/>
      <c r="FE186" s="175"/>
      <c r="FF186" s="176"/>
      <c r="FG186" s="155"/>
      <c r="FH186" s="148"/>
      <c r="FI186" s="33"/>
      <c r="FJ186" s="155"/>
      <c r="FK186" s="148"/>
      <c r="FL186" s="33"/>
      <c r="FM186" s="33"/>
      <c r="FN186" s="143"/>
      <c r="FO186" s="38"/>
      <c r="FP186" s="144"/>
      <c r="FQ186" s="150"/>
      <c r="FR186" s="174"/>
      <c r="FS186" s="175"/>
      <c r="FT186" s="176"/>
      <c r="FU186" s="155"/>
      <c r="FV186" s="148"/>
      <c r="FW186" s="33"/>
      <c r="FX186" s="155"/>
      <c r="FY186" s="148"/>
      <c r="FZ186" s="33"/>
      <c r="GA186" s="33"/>
      <c r="GB186" s="143"/>
      <c r="GC186" s="38"/>
      <c r="GD186" s="144"/>
      <c r="GE186" s="150"/>
      <c r="GF186" s="174"/>
      <c r="GG186" s="175"/>
      <c r="GH186" s="176"/>
      <c r="GI186" s="155"/>
      <c r="GJ186" s="148"/>
      <c r="GK186" s="33"/>
      <c r="GL186" s="155"/>
      <c r="GM186" s="148"/>
      <c r="GN186" s="33"/>
      <c r="GO186" s="33"/>
      <c r="GP186" s="143"/>
      <c r="GQ186" s="38"/>
      <c r="GR186" s="144"/>
      <c r="GS186" s="150"/>
      <c r="GT186" s="174"/>
      <c r="GU186" s="175"/>
      <c r="GV186" s="176"/>
      <c r="GW186" s="155"/>
      <c r="GX186" s="148"/>
      <c r="GY186" s="33"/>
      <c r="GZ186" s="155"/>
      <c r="HA186" s="148"/>
      <c r="HB186" s="33"/>
      <c r="HC186" s="33"/>
      <c r="HD186" s="143"/>
      <c r="HE186" s="38"/>
      <c r="HF186" s="144"/>
      <c r="HG186" s="150"/>
      <c r="HH186" s="174"/>
      <c r="HI186" s="175"/>
      <c r="HJ186" s="176"/>
      <c r="HK186" s="155"/>
      <c r="HL186" s="148"/>
      <c r="HM186" s="33"/>
      <c r="HN186" s="155"/>
      <c r="HO186" s="148"/>
      <c r="HP186" s="33"/>
      <c r="HQ186" s="33"/>
      <c r="HR186" s="143"/>
      <c r="HS186" s="38"/>
      <c r="HT186" s="144"/>
      <c r="HU186" s="150"/>
      <c r="HV186" s="174"/>
      <c r="HW186" s="175"/>
      <c r="HX186" s="176"/>
      <c r="HY186" s="155"/>
      <c r="HZ186" s="148"/>
      <c r="IA186" s="33"/>
      <c r="IB186" s="155"/>
      <c r="IC186" s="148"/>
      <c r="ID186" s="33"/>
      <c r="IE186" s="33"/>
      <c r="IF186" s="143"/>
      <c r="IG186" s="38"/>
      <c r="IH186" s="144"/>
      <c r="II186" s="150"/>
      <c r="IJ186" s="174"/>
      <c r="IK186" s="175"/>
      <c r="IL186" s="176"/>
      <c r="IM186" s="155"/>
      <c r="IN186" s="148"/>
      <c r="IO186" s="33"/>
      <c r="IP186" s="155"/>
      <c r="IQ186" s="148"/>
      <c r="IR186" s="33"/>
      <c r="IS186" s="33"/>
      <c r="IT186" s="143"/>
      <c r="IU186" s="38"/>
      <c r="IV186" s="144"/>
      <c r="IW186" s="143"/>
      <c r="IX186" s="38"/>
      <c r="IY186" s="144" t="e">
        <v>#REF!</v>
      </c>
    </row>
    <row r="187">
      <c r="A187" s="33"/>
      <c r="B187" s="181"/>
      <c r="C187" s="38" t="str">
        <f>IFERROR(__xludf.DUMMYFUNCTION("""COMPUTED_VALUE"""),"")</f>
        <v/>
      </c>
      <c r="D187" s="144">
        <v>46111.0</v>
      </c>
      <c r="E187" s="182"/>
      <c r="F187" s="168"/>
      <c r="G187" s="169"/>
      <c r="H187" s="170"/>
      <c r="I187" s="171" t="str">
        <f t="array" ref="I187">IFERROR(IF(C187="ac"+ISNUMBER(SEARCH("'",H187))+G187="","", MROUND(SWITCH(C187,"sq",'Personal Info'!$O$15,"bn",'Personal Info'!$S$15,"dl",'Personal Info'!$W$15,"")*IF(H187&gt;10, H187/100, VLOOKUP(H187, _rpe,SUBSTITUTE(G187,"+","")+1,0)), IF( SWITCH(C187:C210,"sq",'Personal Info'!$O$15,"bn",'Personal Info'!$S$15,"dl", 'Personal Info'!$W$15,"")&lt; IF(_uom="lbs", 175, 80), 1.25, IF(_uom="lbs",5,2.5)))),"")</f>
        <v/>
      </c>
      <c r="J187" s="148"/>
      <c r="K187" s="33"/>
      <c r="L187" s="171"/>
      <c r="M187" s="124" t="str">
        <f>IFERROR(__xludf.DUMMYFUNCTION("IF(I187=MAX(FILTER(I$10:I$199,LOOKUP(ROW(C$10:C$199),FILTER(ROW(C$10:C$199),C$10:C$199&lt;&gt;C$9:C$198))=LOOKUP(ROW(C187),FILTER(ROW(C$10:C$199),C$10:C$199&lt;&gt;C$9:C$198)))),J187,)"),"")</f>
        <v/>
      </c>
      <c r="N187" s="122"/>
      <c r="O187" s="33"/>
      <c r="P187" s="143" t="str">
        <f t="shared" si="12"/>
        <v/>
      </c>
      <c r="Q187" s="38" t="str">
        <f>IFERROR(__xludf.DUMMYFUNCTION("""COMPUTED_VALUE"""),"")</f>
        <v/>
      </c>
      <c r="R187" s="144">
        <v>46118.0</v>
      </c>
      <c r="S187" s="167" t="str">
        <f t="shared" si="13"/>
        <v/>
      </c>
      <c r="T187" s="168" t="str">
        <f t="shared" si="319"/>
        <v/>
      </c>
      <c r="U187" s="169" t="str">
        <f t="shared" si="320"/>
        <v/>
      </c>
      <c r="V187" s="172" t="str">
        <f t="shared" si="321"/>
        <v/>
      </c>
      <c r="W187" s="171" t="str">
        <f t="array" ref="W187">IFERROR(IF(Q187="ac"+ISNUMBER(SEARCH("'",V187))+U187="","", IF(ISNUMBER(SEARCH("lw",V187)), I187 + SUBSTITUTE(V187,"lw+",""), MROUND(SWITCH(Q187,"sq",U$7,"bn",V$7,"dl",W$7,"")*IF(V187&gt;10, V187/100, VLOOKUP(V187, _rpe,SUBSTITUTE(U187,"+","")+1,0)), IF( SWITCH(Q187,"sq",U$7,"bn",V$7,"dl", W$7,"")&lt; IF(_uom="lbs", 175, 80), 1.25, IF(_uom="lbs",5,2.5))))), "")</f>
        <v/>
      </c>
      <c r="X187" s="148"/>
      <c r="Y187" s="33"/>
      <c r="Z187" s="171"/>
      <c r="AA187" s="124" t="str">
        <f>IFERROR(__xludf.DUMMYFUNCTION("IF(W187=MAX(FILTER(W$10:W$199,LOOKUP(ROW(Q$10:Q$199),FILTER(ROW(Q$10:Q$199),Q$10:Q$199&lt;&gt;Q$9:Q$198))=LOOKUP(ROW(Q187),FILTER(ROW(Q$10:Q$199),Q$10:Q$199&lt;&gt;Q$9:Q$198)))),X187,)"),"")</f>
        <v/>
      </c>
      <c r="AB187" s="122"/>
      <c r="AC187" s="33"/>
      <c r="AD187" s="143" t="str">
        <f t="shared" si="14"/>
        <v/>
      </c>
      <c r="AE187" s="38" t="str">
        <f>IFERROR(__xludf.DUMMYFUNCTION("""COMPUTED_VALUE"""),"")</f>
        <v/>
      </c>
      <c r="AF187" s="144">
        <v>46125.0</v>
      </c>
      <c r="AG187" s="167" t="str">
        <f t="shared" si="54"/>
        <v/>
      </c>
      <c r="AH187" s="168" t="str">
        <f t="shared" si="322"/>
        <v/>
      </c>
      <c r="AI187" s="169" t="str">
        <f t="shared" si="323"/>
        <v/>
      </c>
      <c r="AJ187" s="172" t="str">
        <f t="shared" si="324"/>
        <v/>
      </c>
      <c r="AK187" s="171" t="str">
        <f t="array" ref="AK187">IFERROR(IF(AE187="ac"+ISNUMBER(SEARCH("'",AJ187))+AI187="","", IF(ISNUMBER(SEARCH("lw",AJ187)), W187 + SUBSTITUTE(AJ187,"lw+",""), MROUND(SWITCH(AE187,"sq",AI$7,"bn",AJ$7,"dl",AK$7,"")*IF(AJ187&gt;10, AJ187/100, VLOOKUP(AJ187, _rpe,SUBSTITUTE(AI187,"+","")+1,0)), IF( SWITCH(AE187,"sq",AI$7,"bn",AJ$7,"dl", AK$7,"")&lt; IF(_uom="lbs", 175, 80), 1.25, IF(_uom="lbs",5,2.5))))), "")</f>
        <v/>
      </c>
      <c r="AL187" s="148"/>
      <c r="AM187" s="33"/>
      <c r="AN187" s="171"/>
      <c r="AO187" s="124" t="str">
        <f>IFERROR(__xludf.DUMMYFUNCTION("IF(AK187=MAX(FILTER(AK$10:AK$199,LOOKUP(ROW(AE$10:AE$199),FILTER(ROW(AE$10:AE$199),AE$10:AE$199&lt;&gt;AE$9:AE$198))=LOOKUP(ROW(AE187),FILTER(ROW(AE$10:AE$199),AE$10:AE$199&lt;&gt;AE$9:AE$198)))),AL187,)"),"")</f>
        <v/>
      </c>
      <c r="AP187" s="122"/>
      <c r="AQ187" s="33"/>
      <c r="AR187" s="143" t="str">
        <f t="shared" si="16"/>
        <v/>
      </c>
      <c r="AS187" s="38" t="str">
        <f>IFERROR(__xludf.DUMMYFUNCTION("""COMPUTED_VALUE"""),"")</f>
        <v/>
      </c>
      <c r="AT187" s="144">
        <v>46132.0</v>
      </c>
      <c r="AU187" s="167" t="str">
        <f t="shared" si="26"/>
        <v/>
      </c>
      <c r="AV187" s="168" t="str">
        <f t="shared" si="325"/>
        <v/>
      </c>
      <c r="AW187" s="169" t="str">
        <f t="shared" si="326"/>
        <v/>
      </c>
      <c r="AX187" s="172" t="str">
        <f t="shared" si="327"/>
        <v/>
      </c>
      <c r="AY187" s="171" t="str">
        <f t="array" ref="AY187">IFERROR(IF(AS187="ac"+ISNUMBER(SEARCH("'",AX187))+AW187="","", IF(ISNUMBER(SEARCH("lw",AX187)), AK187 + SUBSTITUTE(AX187,"lw+",""), MROUND(SWITCH(AS187,"sq",AW$7,"bn",AX$7,"dl",AY$7,"")*IF(AX187&gt;10, AX187/100, VLOOKUP(AX187, _rpe,SUBSTITUTE(AW187,"+","")+1,0)), IF( SWITCH(AS187,"sq",AW$7,"bn",AX$7,"dl", AY$7,"")&lt; IF(_uom="lbs", 175, 80), 1.25, IF(_uom="lbs",5,2.5))))), "")</f>
        <v/>
      </c>
      <c r="AZ187" s="148"/>
      <c r="BA187" s="33"/>
      <c r="BB187" s="171"/>
      <c r="BC187" s="124" t="str">
        <f>IFERROR(__xludf.DUMMYFUNCTION("IF(AY187=MAX(FILTER(AY$10:AY$199,LOOKUP(ROW(AS$10:AS$199),FILTER(ROW(AS$10:AS$199),AS$10:AS$199&lt;&gt;AS$9:AS$198))=LOOKUP(ROW(AS187),FILTER(ROW(AS$10:AS$199),AS$10:AS$199&lt;&gt;AS$9:AS$198)))),AZ187,)"),"")</f>
        <v/>
      </c>
      <c r="BD187" s="122"/>
      <c r="BE187" s="33"/>
      <c r="BF187" s="143" t="str">
        <f t="shared" si="17"/>
        <v/>
      </c>
      <c r="BG187" s="38" t="str">
        <f>IFERROR(__xludf.DUMMYFUNCTION("""COMPUTED_VALUE"""),"")</f>
        <v/>
      </c>
      <c r="BH187" s="144">
        <v>46139.0</v>
      </c>
      <c r="BI187" s="167" t="str">
        <f t="shared" si="18"/>
        <v/>
      </c>
      <c r="BJ187" s="168" t="str">
        <f t="shared" si="328"/>
        <v/>
      </c>
      <c r="BK187" s="169" t="str">
        <f t="shared" si="329"/>
        <v/>
      </c>
      <c r="BL187" s="172" t="str">
        <f t="shared" si="330"/>
        <v/>
      </c>
      <c r="BM187" s="171" t="str">
        <f t="array" ref="BM187">IFERROR(IF(BG187="ac"+ISNUMBER(SEARCH("'",BL187))+BK187="","", IF(ISNUMBER(SEARCH("lw",BL187)), AY187 + SUBSTITUTE(BL187,"lw+",""), MROUND(SWITCH(BG187,"sq",BK$7,"bn",BL$7,"dl",BM$7,"")*IF(BL187&gt;10, BL187/100, VLOOKUP(BL187, _rpe,SUBSTITUTE(BK187,"+","")+1,0)), IF( SWITCH(BG187,"sq",BK$7,"bn",BL$7,"dl", BM$7,"")&lt; IF(_uom="lbs", 175, 80), 1.25, IF(_uom="lbs",5,2.5))))), "")</f>
        <v/>
      </c>
      <c r="BN187" s="148"/>
      <c r="BO187" s="33"/>
      <c r="BP187" s="171"/>
      <c r="BQ187" s="124" t="str">
        <f>IFERROR(__xludf.DUMMYFUNCTION("IF(BM187=MAX(FILTER(BM$10:BM$199,LOOKUP(ROW(BG$10:BG$199),FILTER(ROW(BG$10:BG$199),BG$10:BG$199&lt;&gt;BG$9:BG$198))=LOOKUP(ROW(BG187),FILTER(ROW(BG$10:BG$199),BG$10:BG$199&lt;&gt;BG$9:BG$198)))),BN187,)"),"")</f>
        <v/>
      </c>
      <c r="BR187" s="122"/>
      <c r="BS187" s="33"/>
      <c r="BT187" s="143" t="str">
        <f t="shared" si="19"/>
        <v/>
      </c>
      <c r="BU187" s="38" t="str">
        <f>IFERROR(__xludf.DUMMYFUNCTION("""COMPUTED_VALUE"""),"")</f>
        <v/>
      </c>
      <c r="BV187" s="144">
        <v>46146.0</v>
      </c>
      <c r="BW187" s="167" t="str">
        <f t="shared" si="20"/>
        <v/>
      </c>
      <c r="BX187" s="168" t="str">
        <f t="shared" si="331"/>
        <v/>
      </c>
      <c r="BY187" s="169" t="str">
        <f t="shared" si="332"/>
        <v/>
      </c>
      <c r="BZ187" s="172" t="str">
        <f t="shared" si="333"/>
        <v/>
      </c>
      <c r="CA187" s="171" t="str">
        <f t="array" ref="CA187">IFERROR(IF(BU187="ac"+ISNUMBER(SEARCH("'",BZ187))+BY187="","", IF(ISNUMBER(SEARCH("lw",BZ187)), BM187 + SUBSTITUTE(BZ187,"lw+",""), MROUND(SWITCH(BU187,"sq",BY$7,"bn",BZ$7,"dl",CA$7,"")*IF(BZ187&gt;10, BZ187/100, VLOOKUP(BZ187, _rpe,SUBSTITUTE(BY187,"+","")+1,0)), IF( SWITCH(BU187,"sq",BY$7,"bn",BZ$7,"dl", CA$7,"")&lt; IF(_uom="lbs", 175, 80), 1.25, IF(_uom="lbs",5,2.5))))), "")</f>
        <v/>
      </c>
      <c r="CB187" s="148"/>
      <c r="CC187" s="33"/>
      <c r="CD187" s="171"/>
      <c r="CE187" s="124" t="str">
        <f>IFERROR(__xludf.DUMMYFUNCTION("IF(CA187=MAX(FILTER(CA$10:CA$199,LOOKUP(ROW(BU$10:BU$199),FILTER(ROW(BU$10:BU$199),BU$10:BU$199&lt;&gt;BU$9:BU$198))=LOOKUP(ROW(BU187),FILTER(ROW(BU$10:BU$199),BU$10:BU$199&lt;&gt;BU$9:BU$198)))),CB187,)"),"")</f>
        <v/>
      </c>
      <c r="CF187" s="122"/>
      <c r="CG187" s="33"/>
      <c r="CH187" s="143" t="str">
        <f t="shared" si="21"/>
        <v/>
      </c>
      <c r="CI187" s="38" t="str">
        <f>IFERROR(__xludf.DUMMYFUNCTION("""COMPUTED_VALUE"""),"")</f>
        <v/>
      </c>
      <c r="CJ187" s="144">
        <v>46153.0</v>
      </c>
      <c r="CK187" s="167" t="str">
        <f t="shared" si="27"/>
        <v/>
      </c>
      <c r="CL187" s="168" t="str">
        <f t="shared" si="334"/>
        <v/>
      </c>
      <c r="CM187" s="169" t="str">
        <f t="shared" si="335"/>
        <v/>
      </c>
      <c r="CN187" s="172" t="str">
        <f t="shared" si="336"/>
        <v/>
      </c>
      <c r="CO187" s="171" t="str">
        <f t="array" ref="CO187">IFERROR(IF(CI187="ac"+ISNUMBER(SEARCH("'",CN187))+CM187="","", IF(ISNUMBER(SEARCH("lw",CN187)), CA187 + SUBSTITUTE(CN187,"lw+",""), MROUND(SWITCH(CI187,"sq",CM$7,"bn",CN$7,"dl",CO$7,"")*IF(CN187&gt;10, CN187/100, VLOOKUP(CN187, _rpe,SUBSTITUTE(CM187,"+","")+1,0)), IF( SWITCH(CI187,"sq",CM$7,"bn",CN$7,"dl", CO$7,"")&lt; IF(_uom="lbs", 175, 80), 1.25, IF(_uom="lbs",5,2.5))))), "")</f>
        <v/>
      </c>
      <c r="CP187" s="148"/>
      <c r="CQ187" s="33"/>
      <c r="CR187" s="171"/>
      <c r="CS187" s="124" t="str">
        <f>IFERROR(__xludf.DUMMYFUNCTION("IF(CO187=MAX(FILTER(CO$10:CO$199,LOOKUP(ROW(CI$10:CI$199),FILTER(ROW(CI$10:CI$199),CI$10:CI$199&lt;&gt;CI$9:CI$198))=LOOKUP(ROW(CI187),FILTER(ROW(CI$10:CI$199),CI$10:CI$199&lt;&gt;CI$9:CI$198)))),CP187,)"),"")</f>
        <v/>
      </c>
      <c r="CT187" s="122"/>
      <c r="CU187" s="33"/>
      <c r="CV187" s="143" t="str">
        <f t="shared" si="22"/>
        <v/>
      </c>
      <c r="CW187" s="38" t="str">
        <f>IFERROR(__xludf.DUMMYFUNCTION("""COMPUTED_VALUE"""),"")</f>
        <v/>
      </c>
      <c r="CX187" s="144">
        <v>46160.0</v>
      </c>
      <c r="CY187" s="167" t="str">
        <f t="shared" si="28"/>
        <v/>
      </c>
      <c r="CZ187" s="168" t="str">
        <f t="shared" si="337"/>
        <v/>
      </c>
      <c r="DA187" s="169" t="str">
        <f t="shared" si="338"/>
        <v/>
      </c>
      <c r="DB187" s="172" t="str">
        <f t="shared" si="339"/>
        <v/>
      </c>
      <c r="DC187" s="171" t="str">
        <f t="array" ref="DC187">IFERROR(IF(CW187="ac"+ISNUMBER(SEARCH("'",DB187))+DA187="","", IF(ISNUMBER(SEARCH("lw",DB187)), CO187 + SUBSTITUTE(DB187,"lw+",""), MROUND(SWITCH(CW187,"sq",DA$7,"bn",DB$7,"dl",DC$7,"")*IF(DB187&gt;10, DB187/100, VLOOKUP(DB187, _rpe,SUBSTITUTE(DA187,"+","")+1,0)), IF( SWITCH(CW187,"sq",DA$7,"bn",DB$7,"dl", DC$7,"")&lt; IF(_uom="lbs", 175, 80), 1.25, IF(_uom="lbs",5,2.5))))), "")</f>
        <v/>
      </c>
      <c r="DD187" s="148"/>
      <c r="DE187" s="33"/>
      <c r="DF187" s="171"/>
      <c r="DG187" s="124" t="str">
        <f>IFERROR(__xludf.DUMMYFUNCTION("IF(DC187=MAX(FILTER(DC$10:DC$199,LOOKUP(ROW(CW$10:CW$199),FILTER(ROW(CW$10:CW$199),CW$10:CW$199&lt;&gt;CW$9:CW$198))=LOOKUP(ROW(CW187),FILTER(ROW(CW$10:CW$199),CW$10:CW$199&lt;&gt;CW$9:CW$198)))),DD187,)"),"")</f>
        <v/>
      </c>
      <c r="DH187" s="122"/>
      <c r="DI187" s="33"/>
      <c r="DJ187" s="143" t="str">
        <f t="shared" si="23"/>
        <v/>
      </c>
      <c r="DK187" s="38" t="str">
        <f>IFERROR(__xludf.DUMMYFUNCTION("""COMPUTED_VALUE"""),"")</f>
        <v/>
      </c>
      <c r="DL187" s="144">
        <v>46167.0</v>
      </c>
      <c r="DM187" s="167" t="str">
        <f t="shared" ref="DM187:DN187" si="439">IF(ISBLANK(CY187),"",CY187)</f>
        <v/>
      </c>
      <c r="DN187" s="168" t="str">
        <f t="shared" si="439"/>
        <v/>
      </c>
      <c r="DO187" s="169" t="str">
        <f t="shared" si="341"/>
        <v/>
      </c>
      <c r="DP187" s="172" t="str">
        <f t="shared" si="342"/>
        <v/>
      </c>
      <c r="DQ187" s="171" t="str">
        <f t="array" ref="DQ187">IFERROR(IF(DK187="ac"+ISNUMBER(SEARCH("'",DP187))+DO187="","", IF(ISNUMBER(SEARCH("lw",DP187)), DC187 + SUBSTITUTE(DP187,"lw+",""), MROUND(SWITCH(DK187,"sq",DO$7,"bn",DP$7,"dl",DQ$7,"")*IF(DP187&gt;10, DP187/100, VLOOKUP(DP187, _rpe,SUBSTITUTE(DO187,"+","")+1,0)), IF( SWITCH(DK187,"sq",DO$7,"bn",DP$7,"dl", DQ$7,"")&lt; IF(_uom="lbs", 175, 80), 1.25, IF(_uom="lbs",5,2.5))))), "")</f>
        <v/>
      </c>
      <c r="DR187" s="148"/>
      <c r="DS187" s="33"/>
      <c r="DT187" s="171"/>
      <c r="DU187" s="124" t="str">
        <f>IFERROR(__xludf.DUMMYFUNCTION("IF(DQ187=MAX(FILTER(DQ$10:DQ$199,LOOKUP(ROW(DK$10:DK$199),FILTER(ROW(DK$10:DK$199),DK$10:DK$199&lt;&gt;DK$9:DK$198))=LOOKUP(ROW(DK187),FILTER(ROW(DK$10:DK$199),DK$10:DK$199&lt;&gt;DK$9:DK$198)))),DR187,)"),"")</f>
        <v/>
      </c>
      <c r="DV187" s="122"/>
      <c r="DW187" s="33"/>
      <c r="DX187" s="143"/>
      <c r="DY187" s="38"/>
      <c r="DZ187" s="144"/>
      <c r="EA187" s="150"/>
      <c r="EB187" s="174"/>
      <c r="EC187" s="175"/>
      <c r="ED187" s="176"/>
      <c r="EE187" s="155"/>
      <c r="EF187" s="148"/>
      <c r="EG187" s="33"/>
      <c r="EH187" s="155"/>
      <c r="EI187" s="148"/>
      <c r="EJ187" s="33"/>
      <c r="EK187" s="33"/>
      <c r="EL187" s="143"/>
      <c r="EM187" s="38"/>
      <c r="EN187" s="144"/>
      <c r="EO187" s="150"/>
      <c r="EP187" s="174"/>
      <c r="EQ187" s="175"/>
      <c r="ER187" s="176"/>
      <c r="ES187" s="155"/>
      <c r="ET187" s="148"/>
      <c r="EU187" s="33"/>
      <c r="EV187" s="155"/>
      <c r="EW187" s="148"/>
      <c r="EX187" s="33"/>
      <c r="EY187" s="33"/>
      <c r="EZ187" s="143"/>
      <c r="FA187" s="38"/>
      <c r="FB187" s="144"/>
      <c r="FC187" s="150"/>
      <c r="FD187" s="174"/>
      <c r="FE187" s="175"/>
      <c r="FF187" s="176"/>
      <c r="FG187" s="155"/>
      <c r="FH187" s="148"/>
      <c r="FI187" s="33"/>
      <c r="FJ187" s="155"/>
      <c r="FK187" s="148"/>
      <c r="FL187" s="33"/>
      <c r="FM187" s="33"/>
      <c r="FN187" s="143"/>
      <c r="FO187" s="38"/>
      <c r="FP187" s="144"/>
      <c r="FQ187" s="150"/>
      <c r="FR187" s="174"/>
      <c r="FS187" s="175"/>
      <c r="FT187" s="176"/>
      <c r="FU187" s="155"/>
      <c r="FV187" s="148"/>
      <c r="FW187" s="33"/>
      <c r="FX187" s="155"/>
      <c r="FY187" s="148"/>
      <c r="FZ187" s="33"/>
      <c r="GA187" s="33"/>
      <c r="GB187" s="143"/>
      <c r="GC187" s="38"/>
      <c r="GD187" s="144"/>
      <c r="GE187" s="150"/>
      <c r="GF187" s="174"/>
      <c r="GG187" s="175"/>
      <c r="GH187" s="176"/>
      <c r="GI187" s="155"/>
      <c r="GJ187" s="148"/>
      <c r="GK187" s="33"/>
      <c r="GL187" s="155"/>
      <c r="GM187" s="148"/>
      <c r="GN187" s="33"/>
      <c r="GO187" s="33"/>
      <c r="GP187" s="143"/>
      <c r="GQ187" s="38"/>
      <c r="GR187" s="144"/>
      <c r="GS187" s="150"/>
      <c r="GT187" s="174"/>
      <c r="GU187" s="175"/>
      <c r="GV187" s="176"/>
      <c r="GW187" s="155"/>
      <c r="GX187" s="148"/>
      <c r="GY187" s="33"/>
      <c r="GZ187" s="155"/>
      <c r="HA187" s="148"/>
      <c r="HB187" s="33"/>
      <c r="HC187" s="33"/>
      <c r="HD187" s="143"/>
      <c r="HE187" s="38"/>
      <c r="HF187" s="144"/>
      <c r="HG187" s="150"/>
      <c r="HH187" s="174"/>
      <c r="HI187" s="175"/>
      <c r="HJ187" s="176"/>
      <c r="HK187" s="155"/>
      <c r="HL187" s="148"/>
      <c r="HM187" s="33"/>
      <c r="HN187" s="155"/>
      <c r="HO187" s="148"/>
      <c r="HP187" s="33"/>
      <c r="HQ187" s="33"/>
      <c r="HR187" s="143"/>
      <c r="HS187" s="38"/>
      <c r="HT187" s="144"/>
      <c r="HU187" s="150"/>
      <c r="HV187" s="174"/>
      <c r="HW187" s="175"/>
      <c r="HX187" s="176"/>
      <c r="HY187" s="155"/>
      <c r="HZ187" s="148"/>
      <c r="IA187" s="33"/>
      <c r="IB187" s="155"/>
      <c r="IC187" s="148"/>
      <c r="ID187" s="33"/>
      <c r="IE187" s="33"/>
      <c r="IF187" s="143"/>
      <c r="IG187" s="38"/>
      <c r="IH187" s="144"/>
      <c r="II187" s="150"/>
      <c r="IJ187" s="174"/>
      <c r="IK187" s="175"/>
      <c r="IL187" s="176"/>
      <c r="IM187" s="155"/>
      <c r="IN187" s="148"/>
      <c r="IO187" s="33"/>
      <c r="IP187" s="155"/>
      <c r="IQ187" s="148"/>
      <c r="IR187" s="33"/>
      <c r="IS187" s="33"/>
      <c r="IT187" s="143"/>
      <c r="IU187" s="38"/>
      <c r="IV187" s="144"/>
      <c r="IW187" s="143"/>
      <c r="IX187" s="38"/>
      <c r="IY187" s="144" t="e">
        <v>#REF!</v>
      </c>
    </row>
    <row r="188">
      <c r="A188" s="33"/>
      <c r="B188" s="181"/>
      <c r="C188" s="38" t="str">
        <f>IFERROR(__xludf.DUMMYFUNCTION("""COMPUTED_VALUE"""),"")</f>
        <v/>
      </c>
      <c r="D188" s="144">
        <v>46111.0</v>
      </c>
      <c r="E188" s="182"/>
      <c r="F188" s="168"/>
      <c r="G188" s="169"/>
      <c r="H188" s="170"/>
      <c r="I188" s="171" t="str">
        <f t="array" ref="I188">IFERROR(IF(C188="ac"+ISNUMBER(SEARCH("'",H188))+G188="","", MROUND(SWITCH(C188,"sq",'Personal Info'!$O$15,"bn",'Personal Info'!$S$15,"dl",'Personal Info'!$W$15,"")*IF(H188&gt;10, H188/100, VLOOKUP(H188, _rpe,SUBSTITUTE(G188,"+","")+1,0)), IF( SWITCH(C188:C210,"sq",'Personal Info'!$O$15,"bn",'Personal Info'!$S$15,"dl", 'Personal Info'!$W$15,"")&lt; IF(_uom="lbs", 175, 80), 1.25, IF(_uom="lbs",5,2.5)))),"")</f>
        <v/>
      </c>
      <c r="J188" s="148"/>
      <c r="K188" s="33"/>
      <c r="L188" s="171"/>
      <c r="M188" s="124" t="str">
        <f>IFERROR(__xludf.DUMMYFUNCTION("IF(I188=MAX(FILTER(I$10:I$199,LOOKUP(ROW(C$10:C$199),FILTER(ROW(C$10:C$199),C$10:C$199&lt;&gt;C$9:C$198))=LOOKUP(ROW(C188),FILTER(ROW(C$10:C$199),C$10:C$199&lt;&gt;C$9:C$198)))),J188,)"),"")</f>
        <v/>
      </c>
      <c r="N188" s="122"/>
      <c r="O188" s="33"/>
      <c r="P188" s="143" t="str">
        <f t="shared" si="12"/>
        <v/>
      </c>
      <c r="Q188" s="38" t="str">
        <f>IFERROR(__xludf.DUMMYFUNCTION("""COMPUTED_VALUE"""),"")</f>
        <v/>
      </c>
      <c r="R188" s="144">
        <v>46118.0</v>
      </c>
      <c r="S188" s="167" t="str">
        <f t="shared" si="13"/>
        <v/>
      </c>
      <c r="T188" s="168" t="str">
        <f t="shared" si="319"/>
        <v/>
      </c>
      <c r="U188" s="169" t="str">
        <f t="shared" si="320"/>
        <v/>
      </c>
      <c r="V188" s="172" t="str">
        <f t="shared" si="321"/>
        <v/>
      </c>
      <c r="W188" s="171" t="str">
        <f t="array" ref="W188">IFERROR(IF(Q188="ac"+ISNUMBER(SEARCH("'",V188))+U188="","", IF(ISNUMBER(SEARCH("lw",V188)), I188 + SUBSTITUTE(V188,"lw+",""), MROUND(SWITCH(Q188,"sq",U$7,"bn",V$7,"dl",W$7,"")*IF(V188&gt;10, V188/100, VLOOKUP(V188, _rpe,SUBSTITUTE(U188,"+","")+1,0)), IF( SWITCH(Q188,"sq",U$7,"bn",V$7,"dl", W$7,"")&lt; IF(_uom="lbs", 175, 80), 1.25, IF(_uom="lbs",5,2.5))))), "")</f>
        <v/>
      </c>
      <c r="X188" s="148"/>
      <c r="Y188" s="33"/>
      <c r="Z188" s="171"/>
      <c r="AA188" s="124" t="str">
        <f>IFERROR(__xludf.DUMMYFUNCTION("IF(W188=MAX(FILTER(W$10:W$199,LOOKUP(ROW(Q$10:Q$199),FILTER(ROW(Q$10:Q$199),Q$10:Q$199&lt;&gt;Q$9:Q$198))=LOOKUP(ROW(Q188),FILTER(ROW(Q$10:Q$199),Q$10:Q$199&lt;&gt;Q$9:Q$198)))),X188,)"),"")</f>
        <v/>
      </c>
      <c r="AB188" s="122"/>
      <c r="AC188" s="33"/>
      <c r="AD188" s="143" t="str">
        <f t="shared" si="14"/>
        <v/>
      </c>
      <c r="AE188" s="38" t="str">
        <f>IFERROR(__xludf.DUMMYFUNCTION("""COMPUTED_VALUE"""),"")</f>
        <v/>
      </c>
      <c r="AF188" s="144">
        <v>46125.0</v>
      </c>
      <c r="AG188" s="167" t="str">
        <f t="shared" si="54"/>
        <v/>
      </c>
      <c r="AH188" s="168" t="str">
        <f t="shared" si="322"/>
        <v/>
      </c>
      <c r="AI188" s="169" t="str">
        <f t="shared" si="323"/>
        <v/>
      </c>
      <c r="AJ188" s="172" t="str">
        <f t="shared" si="324"/>
        <v/>
      </c>
      <c r="AK188" s="171" t="str">
        <f t="array" ref="AK188">IFERROR(IF(AE188="ac"+ISNUMBER(SEARCH("'",AJ188))+AI188="","", IF(ISNUMBER(SEARCH("lw",AJ188)), W188 + SUBSTITUTE(AJ188,"lw+",""), MROUND(SWITCH(AE188,"sq",AI$7,"bn",AJ$7,"dl",AK$7,"")*IF(AJ188&gt;10, AJ188/100, VLOOKUP(AJ188, _rpe,SUBSTITUTE(AI188,"+","")+1,0)), IF( SWITCH(AE188,"sq",AI$7,"bn",AJ$7,"dl", AK$7,"")&lt; IF(_uom="lbs", 175, 80), 1.25, IF(_uom="lbs",5,2.5))))), "")</f>
        <v/>
      </c>
      <c r="AL188" s="148"/>
      <c r="AM188" s="33"/>
      <c r="AN188" s="171"/>
      <c r="AO188" s="124" t="str">
        <f>IFERROR(__xludf.DUMMYFUNCTION("IF(AK188=MAX(FILTER(AK$10:AK$199,LOOKUP(ROW(AE$10:AE$199),FILTER(ROW(AE$10:AE$199),AE$10:AE$199&lt;&gt;AE$9:AE$198))=LOOKUP(ROW(AE188),FILTER(ROW(AE$10:AE$199),AE$10:AE$199&lt;&gt;AE$9:AE$198)))),AL188,)"),"")</f>
        <v/>
      </c>
      <c r="AP188" s="122"/>
      <c r="AQ188" s="33"/>
      <c r="AR188" s="143" t="str">
        <f t="shared" si="16"/>
        <v/>
      </c>
      <c r="AS188" s="38" t="str">
        <f>IFERROR(__xludf.DUMMYFUNCTION("""COMPUTED_VALUE"""),"")</f>
        <v/>
      </c>
      <c r="AT188" s="144">
        <v>46132.0</v>
      </c>
      <c r="AU188" s="167" t="str">
        <f t="shared" si="26"/>
        <v/>
      </c>
      <c r="AV188" s="168" t="str">
        <f t="shared" si="325"/>
        <v/>
      </c>
      <c r="AW188" s="169" t="str">
        <f t="shared" si="326"/>
        <v/>
      </c>
      <c r="AX188" s="172" t="str">
        <f t="shared" si="327"/>
        <v/>
      </c>
      <c r="AY188" s="171" t="str">
        <f t="array" ref="AY188">IFERROR(IF(AS188="ac"+ISNUMBER(SEARCH("'",AX188))+AW188="","", IF(ISNUMBER(SEARCH("lw",AX188)), AK188 + SUBSTITUTE(AX188,"lw+",""), MROUND(SWITCH(AS188,"sq",AW$7,"bn",AX$7,"dl",AY$7,"")*IF(AX188&gt;10, AX188/100, VLOOKUP(AX188, _rpe,SUBSTITUTE(AW188,"+","")+1,0)), IF( SWITCH(AS188,"sq",AW$7,"bn",AX$7,"dl", AY$7,"")&lt; IF(_uom="lbs", 175, 80), 1.25, IF(_uom="lbs",5,2.5))))), "")</f>
        <v/>
      </c>
      <c r="AZ188" s="148"/>
      <c r="BA188" s="33"/>
      <c r="BB188" s="171"/>
      <c r="BC188" s="124" t="str">
        <f>IFERROR(__xludf.DUMMYFUNCTION("IF(AY188=MAX(FILTER(AY$10:AY$199,LOOKUP(ROW(AS$10:AS$199),FILTER(ROW(AS$10:AS$199),AS$10:AS$199&lt;&gt;AS$9:AS$198))=LOOKUP(ROW(AS188),FILTER(ROW(AS$10:AS$199),AS$10:AS$199&lt;&gt;AS$9:AS$198)))),AZ188,)"),"")</f>
        <v/>
      </c>
      <c r="BD188" s="122"/>
      <c r="BE188" s="33"/>
      <c r="BF188" s="143" t="str">
        <f t="shared" si="17"/>
        <v/>
      </c>
      <c r="BG188" s="38" t="str">
        <f>IFERROR(__xludf.DUMMYFUNCTION("""COMPUTED_VALUE"""),"")</f>
        <v/>
      </c>
      <c r="BH188" s="144">
        <v>46139.0</v>
      </c>
      <c r="BI188" s="167" t="str">
        <f t="shared" si="18"/>
        <v/>
      </c>
      <c r="BJ188" s="168" t="str">
        <f t="shared" si="328"/>
        <v/>
      </c>
      <c r="BK188" s="169" t="str">
        <f t="shared" si="329"/>
        <v/>
      </c>
      <c r="BL188" s="172" t="str">
        <f t="shared" si="330"/>
        <v/>
      </c>
      <c r="BM188" s="171" t="str">
        <f t="array" ref="BM188">IFERROR(IF(BG188="ac"+ISNUMBER(SEARCH("'",BL188))+BK188="","", IF(ISNUMBER(SEARCH("lw",BL188)), AY188 + SUBSTITUTE(BL188,"lw+",""), MROUND(SWITCH(BG188,"sq",BK$7,"bn",BL$7,"dl",BM$7,"")*IF(BL188&gt;10, BL188/100, VLOOKUP(BL188, _rpe,SUBSTITUTE(BK188,"+","")+1,0)), IF( SWITCH(BG188,"sq",BK$7,"bn",BL$7,"dl", BM$7,"")&lt; IF(_uom="lbs", 175, 80), 1.25, IF(_uom="lbs",5,2.5))))), "")</f>
        <v/>
      </c>
      <c r="BN188" s="148"/>
      <c r="BO188" s="33"/>
      <c r="BP188" s="171"/>
      <c r="BQ188" s="124" t="str">
        <f>IFERROR(__xludf.DUMMYFUNCTION("IF(BM188=MAX(FILTER(BM$10:BM$199,LOOKUP(ROW(BG$10:BG$199),FILTER(ROW(BG$10:BG$199),BG$10:BG$199&lt;&gt;BG$9:BG$198))=LOOKUP(ROW(BG188),FILTER(ROW(BG$10:BG$199),BG$10:BG$199&lt;&gt;BG$9:BG$198)))),BN188,)"),"")</f>
        <v/>
      </c>
      <c r="BR188" s="122"/>
      <c r="BS188" s="33"/>
      <c r="BT188" s="143" t="str">
        <f t="shared" si="19"/>
        <v/>
      </c>
      <c r="BU188" s="38" t="str">
        <f>IFERROR(__xludf.DUMMYFUNCTION("""COMPUTED_VALUE"""),"")</f>
        <v/>
      </c>
      <c r="BV188" s="144">
        <v>46146.0</v>
      </c>
      <c r="BW188" s="167" t="str">
        <f t="shared" si="20"/>
        <v/>
      </c>
      <c r="BX188" s="168" t="str">
        <f t="shared" si="331"/>
        <v/>
      </c>
      <c r="BY188" s="169" t="str">
        <f t="shared" si="332"/>
        <v/>
      </c>
      <c r="BZ188" s="172" t="str">
        <f t="shared" si="333"/>
        <v/>
      </c>
      <c r="CA188" s="171" t="str">
        <f t="array" ref="CA188">IFERROR(IF(BU188="ac"+ISNUMBER(SEARCH("'",BZ188))+BY188="","", IF(ISNUMBER(SEARCH("lw",BZ188)), BM188 + SUBSTITUTE(BZ188,"lw+",""), MROUND(SWITCH(BU188,"sq",BY$7,"bn",BZ$7,"dl",CA$7,"")*IF(BZ188&gt;10, BZ188/100, VLOOKUP(BZ188, _rpe,SUBSTITUTE(BY188,"+","")+1,0)), IF( SWITCH(BU188,"sq",BY$7,"bn",BZ$7,"dl", CA$7,"")&lt; IF(_uom="lbs", 175, 80), 1.25, IF(_uom="lbs",5,2.5))))), "")</f>
        <v/>
      </c>
      <c r="CB188" s="148"/>
      <c r="CC188" s="33"/>
      <c r="CD188" s="171"/>
      <c r="CE188" s="124" t="str">
        <f>IFERROR(__xludf.DUMMYFUNCTION("IF(CA188=MAX(FILTER(CA$10:CA$199,LOOKUP(ROW(BU$10:BU$199),FILTER(ROW(BU$10:BU$199),BU$10:BU$199&lt;&gt;BU$9:BU$198))=LOOKUP(ROW(BU188),FILTER(ROW(BU$10:BU$199),BU$10:BU$199&lt;&gt;BU$9:BU$198)))),CB188,)"),"")</f>
        <v/>
      </c>
      <c r="CF188" s="122"/>
      <c r="CG188" s="33"/>
      <c r="CH188" s="143" t="str">
        <f t="shared" si="21"/>
        <v/>
      </c>
      <c r="CI188" s="38" t="str">
        <f>IFERROR(__xludf.DUMMYFUNCTION("""COMPUTED_VALUE"""),"")</f>
        <v/>
      </c>
      <c r="CJ188" s="144">
        <v>46153.0</v>
      </c>
      <c r="CK188" s="167" t="str">
        <f t="shared" si="27"/>
        <v/>
      </c>
      <c r="CL188" s="168" t="str">
        <f t="shared" si="334"/>
        <v/>
      </c>
      <c r="CM188" s="169" t="str">
        <f t="shared" si="335"/>
        <v/>
      </c>
      <c r="CN188" s="172" t="str">
        <f t="shared" si="336"/>
        <v/>
      </c>
      <c r="CO188" s="171" t="str">
        <f t="array" ref="CO188">IFERROR(IF(CI188="ac"+ISNUMBER(SEARCH("'",CN188))+CM188="","", IF(ISNUMBER(SEARCH("lw",CN188)), CA188 + SUBSTITUTE(CN188,"lw+",""), MROUND(SWITCH(CI188,"sq",CM$7,"bn",CN$7,"dl",CO$7,"")*IF(CN188&gt;10, CN188/100, VLOOKUP(CN188, _rpe,SUBSTITUTE(CM188,"+","")+1,0)), IF( SWITCH(CI188,"sq",CM$7,"bn",CN$7,"dl", CO$7,"")&lt; IF(_uom="lbs", 175, 80), 1.25, IF(_uom="lbs",5,2.5))))), "")</f>
        <v/>
      </c>
      <c r="CP188" s="148"/>
      <c r="CQ188" s="33"/>
      <c r="CR188" s="171"/>
      <c r="CS188" s="124" t="str">
        <f>IFERROR(__xludf.DUMMYFUNCTION("IF(CO188=MAX(FILTER(CO$10:CO$199,LOOKUP(ROW(CI$10:CI$199),FILTER(ROW(CI$10:CI$199),CI$10:CI$199&lt;&gt;CI$9:CI$198))=LOOKUP(ROW(CI188),FILTER(ROW(CI$10:CI$199),CI$10:CI$199&lt;&gt;CI$9:CI$198)))),CP188,)"),"")</f>
        <v/>
      </c>
      <c r="CT188" s="122"/>
      <c r="CU188" s="33"/>
      <c r="CV188" s="143" t="str">
        <f t="shared" si="22"/>
        <v/>
      </c>
      <c r="CW188" s="38" t="str">
        <f>IFERROR(__xludf.DUMMYFUNCTION("""COMPUTED_VALUE"""),"")</f>
        <v/>
      </c>
      <c r="CX188" s="144">
        <v>46160.0</v>
      </c>
      <c r="CY188" s="167" t="str">
        <f t="shared" si="28"/>
        <v/>
      </c>
      <c r="CZ188" s="168" t="str">
        <f t="shared" si="337"/>
        <v/>
      </c>
      <c r="DA188" s="169" t="str">
        <f t="shared" si="338"/>
        <v/>
      </c>
      <c r="DB188" s="172" t="str">
        <f t="shared" si="339"/>
        <v/>
      </c>
      <c r="DC188" s="171" t="str">
        <f t="array" ref="DC188">IFERROR(IF(CW188="ac"+ISNUMBER(SEARCH("'",DB188))+DA188="","", IF(ISNUMBER(SEARCH("lw",DB188)), CO188 + SUBSTITUTE(DB188,"lw+",""), MROUND(SWITCH(CW188,"sq",DA$7,"bn",DB$7,"dl",DC$7,"")*IF(DB188&gt;10, DB188/100, VLOOKUP(DB188, _rpe,SUBSTITUTE(DA188,"+","")+1,0)), IF( SWITCH(CW188,"sq",DA$7,"bn",DB$7,"dl", DC$7,"")&lt; IF(_uom="lbs", 175, 80), 1.25, IF(_uom="lbs",5,2.5))))), "")</f>
        <v/>
      </c>
      <c r="DD188" s="148"/>
      <c r="DE188" s="33"/>
      <c r="DF188" s="171"/>
      <c r="DG188" s="124" t="str">
        <f>IFERROR(__xludf.DUMMYFUNCTION("IF(DC188=MAX(FILTER(DC$10:DC$199,LOOKUP(ROW(CW$10:CW$199),FILTER(ROW(CW$10:CW$199),CW$10:CW$199&lt;&gt;CW$9:CW$198))=LOOKUP(ROW(CW188),FILTER(ROW(CW$10:CW$199),CW$10:CW$199&lt;&gt;CW$9:CW$198)))),DD188,)"),"")</f>
        <v/>
      </c>
      <c r="DH188" s="122"/>
      <c r="DI188" s="33"/>
      <c r="DJ188" s="143" t="str">
        <f t="shared" si="23"/>
        <v/>
      </c>
      <c r="DK188" s="38" t="str">
        <f>IFERROR(__xludf.DUMMYFUNCTION("""COMPUTED_VALUE"""),"")</f>
        <v/>
      </c>
      <c r="DL188" s="144">
        <v>46167.0</v>
      </c>
      <c r="DM188" s="167" t="str">
        <f t="shared" ref="DM188:DN188" si="440">IF(ISBLANK(CY188),"",CY188)</f>
        <v/>
      </c>
      <c r="DN188" s="168" t="str">
        <f t="shared" si="440"/>
        <v/>
      </c>
      <c r="DO188" s="169" t="str">
        <f t="shared" si="341"/>
        <v/>
      </c>
      <c r="DP188" s="172" t="str">
        <f t="shared" si="342"/>
        <v/>
      </c>
      <c r="DQ188" s="171" t="str">
        <f t="array" ref="DQ188">IFERROR(IF(DK188="ac"+ISNUMBER(SEARCH("'",DP188))+DO188="","", IF(ISNUMBER(SEARCH("lw",DP188)), DC188 + SUBSTITUTE(DP188,"lw+",""), MROUND(SWITCH(DK188,"sq",DO$7,"bn",DP$7,"dl",DQ$7,"")*IF(DP188&gt;10, DP188/100, VLOOKUP(DP188, _rpe,SUBSTITUTE(DO188,"+","")+1,0)), IF( SWITCH(DK188,"sq",DO$7,"bn",DP$7,"dl", DQ$7,"")&lt; IF(_uom="lbs", 175, 80), 1.25, IF(_uom="lbs",5,2.5))))), "")</f>
        <v/>
      </c>
      <c r="DR188" s="148"/>
      <c r="DS188" s="33"/>
      <c r="DT188" s="171"/>
      <c r="DU188" s="124" t="str">
        <f>IFERROR(__xludf.DUMMYFUNCTION("IF(DQ188=MAX(FILTER(DQ$10:DQ$199,LOOKUP(ROW(DK$10:DK$199),FILTER(ROW(DK$10:DK$199),DK$10:DK$199&lt;&gt;DK$9:DK$198))=LOOKUP(ROW(DK188),FILTER(ROW(DK$10:DK$199),DK$10:DK$199&lt;&gt;DK$9:DK$198)))),DR188,)"),"")</f>
        <v/>
      </c>
      <c r="DV188" s="122"/>
      <c r="DW188" s="33"/>
      <c r="DX188" s="143"/>
      <c r="DY188" s="38"/>
      <c r="DZ188" s="144"/>
      <c r="EA188" s="150"/>
      <c r="EB188" s="174"/>
      <c r="EC188" s="175"/>
      <c r="ED188" s="176"/>
      <c r="EE188" s="155"/>
      <c r="EF188" s="148"/>
      <c r="EG188" s="33"/>
      <c r="EH188" s="155"/>
      <c r="EI188" s="148"/>
      <c r="EJ188" s="33"/>
      <c r="EK188" s="33"/>
      <c r="EL188" s="143"/>
      <c r="EM188" s="38"/>
      <c r="EN188" s="144"/>
      <c r="EO188" s="150"/>
      <c r="EP188" s="174"/>
      <c r="EQ188" s="175"/>
      <c r="ER188" s="176"/>
      <c r="ES188" s="155"/>
      <c r="ET188" s="148"/>
      <c r="EU188" s="33"/>
      <c r="EV188" s="155"/>
      <c r="EW188" s="148"/>
      <c r="EX188" s="33"/>
      <c r="EY188" s="33"/>
      <c r="EZ188" s="143"/>
      <c r="FA188" s="38"/>
      <c r="FB188" s="144"/>
      <c r="FC188" s="150"/>
      <c r="FD188" s="174"/>
      <c r="FE188" s="175"/>
      <c r="FF188" s="176"/>
      <c r="FG188" s="155"/>
      <c r="FH188" s="148"/>
      <c r="FI188" s="33"/>
      <c r="FJ188" s="155"/>
      <c r="FK188" s="148"/>
      <c r="FL188" s="33"/>
      <c r="FM188" s="33"/>
      <c r="FN188" s="143"/>
      <c r="FO188" s="38"/>
      <c r="FP188" s="144"/>
      <c r="FQ188" s="150"/>
      <c r="FR188" s="174"/>
      <c r="FS188" s="175"/>
      <c r="FT188" s="176"/>
      <c r="FU188" s="155"/>
      <c r="FV188" s="148"/>
      <c r="FW188" s="33"/>
      <c r="FX188" s="155"/>
      <c r="FY188" s="148"/>
      <c r="FZ188" s="33"/>
      <c r="GA188" s="33"/>
      <c r="GB188" s="143"/>
      <c r="GC188" s="38"/>
      <c r="GD188" s="144"/>
      <c r="GE188" s="150"/>
      <c r="GF188" s="174"/>
      <c r="GG188" s="175"/>
      <c r="GH188" s="176"/>
      <c r="GI188" s="155"/>
      <c r="GJ188" s="148"/>
      <c r="GK188" s="33"/>
      <c r="GL188" s="155"/>
      <c r="GM188" s="148"/>
      <c r="GN188" s="33"/>
      <c r="GO188" s="33"/>
      <c r="GP188" s="143"/>
      <c r="GQ188" s="38"/>
      <c r="GR188" s="144"/>
      <c r="GS188" s="150"/>
      <c r="GT188" s="174"/>
      <c r="GU188" s="175"/>
      <c r="GV188" s="176"/>
      <c r="GW188" s="155"/>
      <c r="GX188" s="148"/>
      <c r="GY188" s="33"/>
      <c r="GZ188" s="155"/>
      <c r="HA188" s="148"/>
      <c r="HB188" s="33"/>
      <c r="HC188" s="33"/>
      <c r="HD188" s="143"/>
      <c r="HE188" s="38"/>
      <c r="HF188" s="144"/>
      <c r="HG188" s="150"/>
      <c r="HH188" s="174"/>
      <c r="HI188" s="175"/>
      <c r="HJ188" s="176"/>
      <c r="HK188" s="155"/>
      <c r="HL188" s="148"/>
      <c r="HM188" s="33"/>
      <c r="HN188" s="155"/>
      <c r="HO188" s="148"/>
      <c r="HP188" s="33"/>
      <c r="HQ188" s="33"/>
      <c r="HR188" s="143"/>
      <c r="HS188" s="38"/>
      <c r="HT188" s="144"/>
      <c r="HU188" s="150"/>
      <c r="HV188" s="174"/>
      <c r="HW188" s="175"/>
      <c r="HX188" s="176"/>
      <c r="HY188" s="155"/>
      <c r="HZ188" s="148"/>
      <c r="IA188" s="33"/>
      <c r="IB188" s="155"/>
      <c r="IC188" s="148"/>
      <c r="ID188" s="33"/>
      <c r="IE188" s="33"/>
      <c r="IF188" s="143"/>
      <c r="IG188" s="38"/>
      <c r="IH188" s="144"/>
      <c r="II188" s="150"/>
      <c r="IJ188" s="174"/>
      <c r="IK188" s="175"/>
      <c r="IL188" s="176"/>
      <c r="IM188" s="155"/>
      <c r="IN188" s="148"/>
      <c r="IO188" s="33"/>
      <c r="IP188" s="155"/>
      <c r="IQ188" s="148"/>
      <c r="IR188" s="33"/>
      <c r="IS188" s="33"/>
      <c r="IT188" s="143"/>
      <c r="IU188" s="38"/>
      <c r="IV188" s="144"/>
      <c r="IW188" s="143"/>
      <c r="IX188" s="38"/>
      <c r="IY188" s="144" t="e">
        <v>#REF!</v>
      </c>
    </row>
    <row r="189">
      <c r="A189" s="33"/>
      <c r="B189" s="181"/>
      <c r="C189" s="38" t="str">
        <f>IFERROR(__xludf.DUMMYFUNCTION("""COMPUTED_VALUE"""),"")</f>
        <v/>
      </c>
      <c r="D189" s="144">
        <v>46111.0</v>
      </c>
      <c r="E189" s="182"/>
      <c r="F189" s="168"/>
      <c r="G189" s="169"/>
      <c r="H189" s="170"/>
      <c r="I189" s="171" t="str">
        <f t="array" ref="I189">IFERROR(IF(C189="ac"+ISNUMBER(SEARCH("'",H189))+G189="","", MROUND(SWITCH(C189,"sq",'Personal Info'!$O$15,"bn",'Personal Info'!$S$15,"dl",'Personal Info'!$W$15,"")*IF(H189&gt;10, H189/100, VLOOKUP(H189, _rpe,SUBSTITUTE(G189,"+","")+1,0)), IF( SWITCH(C189:C210,"sq",'Personal Info'!$O$15,"bn",'Personal Info'!$S$15,"dl", 'Personal Info'!$W$15,"")&lt; IF(_uom="lbs", 175, 80), 1.25, IF(_uom="lbs",5,2.5)))),"")</f>
        <v/>
      </c>
      <c r="J189" s="148"/>
      <c r="K189" s="33"/>
      <c r="L189" s="171"/>
      <c r="M189" s="124" t="str">
        <f>IFERROR(__xludf.DUMMYFUNCTION("IF(I189=MAX(FILTER(I$10:I$199,LOOKUP(ROW(C$10:C$199),FILTER(ROW(C$10:C$199),C$10:C$199&lt;&gt;C$9:C$198))=LOOKUP(ROW(C189),FILTER(ROW(C$10:C$199),C$10:C$199&lt;&gt;C$9:C$198)))),J189,)"),"")</f>
        <v/>
      </c>
      <c r="N189" s="122"/>
      <c r="O189" s="33"/>
      <c r="P189" s="143" t="str">
        <f t="shared" si="12"/>
        <v/>
      </c>
      <c r="Q189" s="38" t="str">
        <f>IFERROR(__xludf.DUMMYFUNCTION("""COMPUTED_VALUE"""),"")</f>
        <v/>
      </c>
      <c r="R189" s="144">
        <v>46118.0</v>
      </c>
      <c r="S189" s="167" t="str">
        <f t="shared" si="13"/>
        <v/>
      </c>
      <c r="T189" s="168" t="str">
        <f t="shared" si="319"/>
        <v/>
      </c>
      <c r="U189" s="169" t="str">
        <f t="shared" si="320"/>
        <v/>
      </c>
      <c r="V189" s="172" t="str">
        <f t="shared" si="321"/>
        <v/>
      </c>
      <c r="W189" s="171" t="str">
        <f t="array" ref="W189">IFERROR(IF(Q189="ac"+ISNUMBER(SEARCH("'",V189))+U189="","", IF(ISNUMBER(SEARCH("lw",V189)), I189 + SUBSTITUTE(V189,"lw+",""), MROUND(SWITCH(Q189,"sq",U$7,"bn",V$7,"dl",W$7,"")*IF(V189&gt;10, V189/100, VLOOKUP(V189, _rpe,SUBSTITUTE(U189,"+","")+1,0)), IF( SWITCH(Q189,"sq",U$7,"bn",V$7,"dl", W$7,"")&lt; IF(_uom="lbs", 175, 80), 1.25, IF(_uom="lbs",5,2.5))))), "")</f>
        <v/>
      </c>
      <c r="X189" s="148"/>
      <c r="Y189" s="33"/>
      <c r="Z189" s="171"/>
      <c r="AA189" s="124" t="str">
        <f>IFERROR(__xludf.DUMMYFUNCTION("IF(W189=MAX(FILTER(W$10:W$199,LOOKUP(ROW(Q$10:Q$199),FILTER(ROW(Q$10:Q$199),Q$10:Q$199&lt;&gt;Q$9:Q$198))=LOOKUP(ROW(Q189),FILTER(ROW(Q$10:Q$199),Q$10:Q$199&lt;&gt;Q$9:Q$198)))),X189,)"),"")</f>
        <v/>
      </c>
      <c r="AB189" s="122"/>
      <c r="AC189" s="33"/>
      <c r="AD189" s="143" t="str">
        <f t="shared" si="14"/>
        <v/>
      </c>
      <c r="AE189" s="38" t="str">
        <f>IFERROR(__xludf.DUMMYFUNCTION("""COMPUTED_VALUE"""),"")</f>
        <v/>
      </c>
      <c r="AF189" s="144">
        <v>46125.0</v>
      </c>
      <c r="AG189" s="167" t="str">
        <f t="shared" si="54"/>
        <v/>
      </c>
      <c r="AH189" s="168" t="str">
        <f t="shared" si="322"/>
        <v/>
      </c>
      <c r="AI189" s="169" t="str">
        <f t="shared" si="323"/>
        <v/>
      </c>
      <c r="AJ189" s="172" t="str">
        <f t="shared" si="324"/>
        <v/>
      </c>
      <c r="AK189" s="171" t="str">
        <f t="array" ref="AK189">IFERROR(IF(AE189="ac"+ISNUMBER(SEARCH("'",AJ189))+AI189="","", IF(ISNUMBER(SEARCH("lw",AJ189)), W189 + SUBSTITUTE(AJ189,"lw+",""), MROUND(SWITCH(AE189,"sq",AI$7,"bn",AJ$7,"dl",AK$7,"")*IF(AJ189&gt;10, AJ189/100, VLOOKUP(AJ189, _rpe,SUBSTITUTE(AI189,"+","")+1,0)), IF( SWITCH(AE189,"sq",AI$7,"bn",AJ$7,"dl", AK$7,"")&lt; IF(_uom="lbs", 175, 80), 1.25, IF(_uom="lbs",5,2.5))))), "")</f>
        <v/>
      </c>
      <c r="AL189" s="148"/>
      <c r="AM189" s="33"/>
      <c r="AN189" s="171"/>
      <c r="AO189" s="124" t="str">
        <f>IFERROR(__xludf.DUMMYFUNCTION("IF(AK189=MAX(FILTER(AK$10:AK$199,LOOKUP(ROW(AE$10:AE$199),FILTER(ROW(AE$10:AE$199),AE$10:AE$199&lt;&gt;AE$9:AE$198))=LOOKUP(ROW(AE189),FILTER(ROW(AE$10:AE$199),AE$10:AE$199&lt;&gt;AE$9:AE$198)))),AL189,)"),"")</f>
        <v/>
      </c>
      <c r="AP189" s="122"/>
      <c r="AQ189" s="33"/>
      <c r="AR189" s="143" t="str">
        <f t="shared" si="16"/>
        <v/>
      </c>
      <c r="AS189" s="38" t="str">
        <f>IFERROR(__xludf.DUMMYFUNCTION("""COMPUTED_VALUE"""),"")</f>
        <v/>
      </c>
      <c r="AT189" s="144">
        <v>46132.0</v>
      </c>
      <c r="AU189" s="167" t="str">
        <f t="shared" si="26"/>
        <v/>
      </c>
      <c r="AV189" s="168" t="str">
        <f t="shared" si="325"/>
        <v/>
      </c>
      <c r="AW189" s="169" t="str">
        <f t="shared" si="326"/>
        <v/>
      </c>
      <c r="AX189" s="172" t="str">
        <f t="shared" si="327"/>
        <v/>
      </c>
      <c r="AY189" s="171" t="str">
        <f t="array" ref="AY189">IFERROR(IF(AS189="ac"+ISNUMBER(SEARCH("'",AX189))+AW189="","", IF(ISNUMBER(SEARCH("lw",AX189)), AK189 + SUBSTITUTE(AX189,"lw+",""), MROUND(SWITCH(AS189,"sq",AW$7,"bn",AX$7,"dl",AY$7,"")*IF(AX189&gt;10, AX189/100, VLOOKUP(AX189, _rpe,SUBSTITUTE(AW189,"+","")+1,0)), IF( SWITCH(AS189,"sq",AW$7,"bn",AX$7,"dl", AY$7,"")&lt; IF(_uom="lbs", 175, 80), 1.25, IF(_uom="lbs",5,2.5))))), "")</f>
        <v/>
      </c>
      <c r="AZ189" s="148"/>
      <c r="BA189" s="33"/>
      <c r="BB189" s="171"/>
      <c r="BC189" s="124" t="str">
        <f>IFERROR(__xludf.DUMMYFUNCTION("IF(AY189=MAX(FILTER(AY$10:AY$199,LOOKUP(ROW(AS$10:AS$199),FILTER(ROW(AS$10:AS$199),AS$10:AS$199&lt;&gt;AS$9:AS$198))=LOOKUP(ROW(AS189),FILTER(ROW(AS$10:AS$199),AS$10:AS$199&lt;&gt;AS$9:AS$198)))),AZ189,)"),"")</f>
        <v/>
      </c>
      <c r="BD189" s="122"/>
      <c r="BE189" s="33"/>
      <c r="BF189" s="143" t="str">
        <f t="shared" si="17"/>
        <v/>
      </c>
      <c r="BG189" s="38" t="str">
        <f>IFERROR(__xludf.DUMMYFUNCTION("""COMPUTED_VALUE"""),"")</f>
        <v/>
      </c>
      <c r="BH189" s="144">
        <v>46139.0</v>
      </c>
      <c r="BI189" s="167" t="str">
        <f t="shared" si="18"/>
        <v/>
      </c>
      <c r="BJ189" s="168" t="str">
        <f t="shared" si="328"/>
        <v/>
      </c>
      <c r="BK189" s="169" t="str">
        <f t="shared" si="329"/>
        <v/>
      </c>
      <c r="BL189" s="172" t="str">
        <f t="shared" si="330"/>
        <v/>
      </c>
      <c r="BM189" s="171" t="str">
        <f t="array" ref="BM189">IFERROR(IF(BG189="ac"+ISNUMBER(SEARCH("'",BL189))+BK189="","", IF(ISNUMBER(SEARCH("lw",BL189)), AY189 + SUBSTITUTE(BL189,"lw+",""), MROUND(SWITCH(BG189,"sq",BK$7,"bn",BL$7,"dl",BM$7,"")*IF(BL189&gt;10, BL189/100, VLOOKUP(BL189, _rpe,SUBSTITUTE(BK189,"+","")+1,0)), IF( SWITCH(BG189,"sq",BK$7,"bn",BL$7,"dl", BM$7,"")&lt; IF(_uom="lbs", 175, 80), 1.25, IF(_uom="lbs",5,2.5))))), "")</f>
        <v/>
      </c>
      <c r="BN189" s="148"/>
      <c r="BO189" s="33"/>
      <c r="BP189" s="171"/>
      <c r="BQ189" s="124" t="str">
        <f>IFERROR(__xludf.DUMMYFUNCTION("IF(BM189=MAX(FILTER(BM$10:BM$199,LOOKUP(ROW(BG$10:BG$199),FILTER(ROW(BG$10:BG$199),BG$10:BG$199&lt;&gt;BG$9:BG$198))=LOOKUP(ROW(BG189),FILTER(ROW(BG$10:BG$199),BG$10:BG$199&lt;&gt;BG$9:BG$198)))),BN189,)"),"")</f>
        <v/>
      </c>
      <c r="BR189" s="122"/>
      <c r="BS189" s="33"/>
      <c r="BT189" s="143" t="str">
        <f t="shared" si="19"/>
        <v/>
      </c>
      <c r="BU189" s="38" t="str">
        <f>IFERROR(__xludf.DUMMYFUNCTION("""COMPUTED_VALUE"""),"")</f>
        <v/>
      </c>
      <c r="BV189" s="144">
        <v>46146.0</v>
      </c>
      <c r="BW189" s="167" t="str">
        <f t="shared" si="20"/>
        <v/>
      </c>
      <c r="BX189" s="168" t="str">
        <f t="shared" si="331"/>
        <v/>
      </c>
      <c r="BY189" s="169" t="str">
        <f t="shared" si="332"/>
        <v/>
      </c>
      <c r="BZ189" s="172" t="str">
        <f t="shared" si="333"/>
        <v/>
      </c>
      <c r="CA189" s="171" t="str">
        <f t="array" ref="CA189">IFERROR(IF(BU189="ac"+ISNUMBER(SEARCH("'",BZ189))+BY189="","", IF(ISNUMBER(SEARCH("lw",BZ189)), BM189 + SUBSTITUTE(BZ189,"lw+",""), MROUND(SWITCH(BU189,"sq",BY$7,"bn",BZ$7,"dl",CA$7,"")*IF(BZ189&gt;10, BZ189/100, VLOOKUP(BZ189, _rpe,SUBSTITUTE(BY189,"+","")+1,0)), IF( SWITCH(BU189,"sq",BY$7,"bn",BZ$7,"dl", CA$7,"")&lt; IF(_uom="lbs", 175, 80), 1.25, IF(_uom="lbs",5,2.5))))), "")</f>
        <v/>
      </c>
      <c r="CB189" s="148"/>
      <c r="CC189" s="33"/>
      <c r="CD189" s="171"/>
      <c r="CE189" s="124" t="str">
        <f>IFERROR(__xludf.DUMMYFUNCTION("IF(CA189=MAX(FILTER(CA$10:CA$199,LOOKUP(ROW(BU$10:BU$199),FILTER(ROW(BU$10:BU$199),BU$10:BU$199&lt;&gt;BU$9:BU$198))=LOOKUP(ROW(BU189),FILTER(ROW(BU$10:BU$199),BU$10:BU$199&lt;&gt;BU$9:BU$198)))),CB189,)"),"")</f>
        <v/>
      </c>
      <c r="CF189" s="122"/>
      <c r="CG189" s="33"/>
      <c r="CH189" s="143" t="str">
        <f t="shared" si="21"/>
        <v/>
      </c>
      <c r="CI189" s="38" t="str">
        <f>IFERROR(__xludf.DUMMYFUNCTION("""COMPUTED_VALUE"""),"")</f>
        <v/>
      </c>
      <c r="CJ189" s="144">
        <v>46153.0</v>
      </c>
      <c r="CK189" s="167" t="str">
        <f t="shared" si="27"/>
        <v/>
      </c>
      <c r="CL189" s="168" t="str">
        <f t="shared" si="334"/>
        <v/>
      </c>
      <c r="CM189" s="169" t="str">
        <f t="shared" si="335"/>
        <v/>
      </c>
      <c r="CN189" s="172" t="str">
        <f t="shared" si="336"/>
        <v/>
      </c>
      <c r="CO189" s="171" t="str">
        <f t="array" ref="CO189">IFERROR(IF(CI189="ac"+ISNUMBER(SEARCH("'",CN189))+CM189="","", IF(ISNUMBER(SEARCH("lw",CN189)), CA189 + SUBSTITUTE(CN189,"lw+",""), MROUND(SWITCH(CI189,"sq",CM$7,"bn",CN$7,"dl",CO$7,"")*IF(CN189&gt;10, CN189/100, VLOOKUP(CN189, _rpe,SUBSTITUTE(CM189,"+","")+1,0)), IF( SWITCH(CI189,"sq",CM$7,"bn",CN$7,"dl", CO$7,"")&lt; IF(_uom="lbs", 175, 80), 1.25, IF(_uom="lbs",5,2.5))))), "")</f>
        <v/>
      </c>
      <c r="CP189" s="148"/>
      <c r="CQ189" s="33"/>
      <c r="CR189" s="171"/>
      <c r="CS189" s="124" t="str">
        <f>IFERROR(__xludf.DUMMYFUNCTION("IF(CO189=MAX(FILTER(CO$10:CO$199,LOOKUP(ROW(CI$10:CI$199),FILTER(ROW(CI$10:CI$199),CI$10:CI$199&lt;&gt;CI$9:CI$198))=LOOKUP(ROW(CI189),FILTER(ROW(CI$10:CI$199),CI$10:CI$199&lt;&gt;CI$9:CI$198)))),CP189,)"),"")</f>
        <v/>
      </c>
      <c r="CT189" s="122"/>
      <c r="CU189" s="33"/>
      <c r="CV189" s="143" t="str">
        <f t="shared" si="22"/>
        <v/>
      </c>
      <c r="CW189" s="38" t="str">
        <f>IFERROR(__xludf.DUMMYFUNCTION("""COMPUTED_VALUE"""),"")</f>
        <v/>
      </c>
      <c r="CX189" s="144">
        <v>46160.0</v>
      </c>
      <c r="CY189" s="167" t="str">
        <f t="shared" si="28"/>
        <v/>
      </c>
      <c r="CZ189" s="168" t="str">
        <f t="shared" si="337"/>
        <v/>
      </c>
      <c r="DA189" s="169" t="str">
        <f t="shared" si="338"/>
        <v/>
      </c>
      <c r="DB189" s="172" t="str">
        <f t="shared" si="339"/>
        <v/>
      </c>
      <c r="DC189" s="171" t="str">
        <f t="array" ref="DC189">IFERROR(IF(CW189="ac"+ISNUMBER(SEARCH("'",DB189))+DA189="","", IF(ISNUMBER(SEARCH("lw",DB189)), CO189 + SUBSTITUTE(DB189,"lw+",""), MROUND(SWITCH(CW189,"sq",DA$7,"bn",DB$7,"dl",DC$7,"")*IF(DB189&gt;10, DB189/100, VLOOKUP(DB189, _rpe,SUBSTITUTE(DA189,"+","")+1,0)), IF( SWITCH(CW189,"sq",DA$7,"bn",DB$7,"dl", DC$7,"")&lt; IF(_uom="lbs", 175, 80), 1.25, IF(_uom="lbs",5,2.5))))), "")</f>
        <v/>
      </c>
      <c r="DD189" s="148"/>
      <c r="DE189" s="33"/>
      <c r="DF189" s="171"/>
      <c r="DG189" s="124" t="str">
        <f>IFERROR(__xludf.DUMMYFUNCTION("IF(DC189=MAX(FILTER(DC$10:DC$199,LOOKUP(ROW(CW$10:CW$199),FILTER(ROW(CW$10:CW$199),CW$10:CW$199&lt;&gt;CW$9:CW$198))=LOOKUP(ROW(CW189),FILTER(ROW(CW$10:CW$199),CW$10:CW$199&lt;&gt;CW$9:CW$198)))),DD189,)"),"")</f>
        <v/>
      </c>
      <c r="DH189" s="122"/>
      <c r="DI189" s="33"/>
      <c r="DJ189" s="143" t="str">
        <f t="shared" si="23"/>
        <v/>
      </c>
      <c r="DK189" s="38" t="str">
        <f>IFERROR(__xludf.DUMMYFUNCTION("""COMPUTED_VALUE"""),"")</f>
        <v/>
      </c>
      <c r="DL189" s="144">
        <v>46167.0</v>
      </c>
      <c r="DM189" s="167" t="str">
        <f t="shared" ref="DM189:DN189" si="441">IF(ISBLANK(CY189),"",CY189)</f>
        <v/>
      </c>
      <c r="DN189" s="168" t="str">
        <f t="shared" si="441"/>
        <v/>
      </c>
      <c r="DO189" s="169" t="str">
        <f t="shared" si="341"/>
        <v/>
      </c>
      <c r="DP189" s="172" t="str">
        <f t="shared" si="342"/>
        <v/>
      </c>
      <c r="DQ189" s="171" t="str">
        <f t="array" ref="DQ189">IFERROR(IF(DK189="ac"+ISNUMBER(SEARCH("'",DP189))+DO189="","", IF(ISNUMBER(SEARCH("lw",DP189)), DC189 + SUBSTITUTE(DP189,"lw+",""), MROUND(SWITCH(DK189,"sq",DO$7,"bn",DP$7,"dl",DQ$7,"")*IF(DP189&gt;10, DP189/100, VLOOKUP(DP189, _rpe,SUBSTITUTE(DO189,"+","")+1,0)), IF( SWITCH(DK189,"sq",DO$7,"bn",DP$7,"dl", DQ$7,"")&lt; IF(_uom="lbs", 175, 80), 1.25, IF(_uom="lbs",5,2.5))))), "")</f>
        <v/>
      </c>
      <c r="DR189" s="148"/>
      <c r="DS189" s="33"/>
      <c r="DT189" s="171"/>
      <c r="DU189" s="124" t="str">
        <f>IFERROR(__xludf.DUMMYFUNCTION("IF(DQ189=MAX(FILTER(DQ$10:DQ$199,LOOKUP(ROW(DK$10:DK$199),FILTER(ROW(DK$10:DK$199),DK$10:DK$199&lt;&gt;DK$9:DK$198))=LOOKUP(ROW(DK189),FILTER(ROW(DK$10:DK$199),DK$10:DK$199&lt;&gt;DK$9:DK$198)))),DR189,)"),"")</f>
        <v/>
      </c>
      <c r="DV189" s="122"/>
      <c r="DW189" s="33"/>
      <c r="DX189" s="143"/>
      <c r="DY189" s="38"/>
      <c r="DZ189" s="144"/>
      <c r="EA189" s="150"/>
      <c r="EB189" s="174"/>
      <c r="EC189" s="175"/>
      <c r="ED189" s="176"/>
      <c r="EE189" s="155"/>
      <c r="EF189" s="148"/>
      <c r="EG189" s="33"/>
      <c r="EH189" s="155"/>
      <c r="EI189" s="148"/>
      <c r="EJ189" s="33"/>
      <c r="EK189" s="33"/>
      <c r="EL189" s="143"/>
      <c r="EM189" s="38"/>
      <c r="EN189" s="144"/>
      <c r="EO189" s="150"/>
      <c r="EP189" s="174"/>
      <c r="EQ189" s="175"/>
      <c r="ER189" s="176"/>
      <c r="ES189" s="155"/>
      <c r="ET189" s="148"/>
      <c r="EU189" s="33"/>
      <c r="EV189" s="155"/>
      <c r="EW189" s="148"/>
      <c r="EX189" s="33"/>
      <c r="EY189" s="33"/>
      <c r="EZ189" s="143"/>
      <c r="FA189" s="38"/>
      <c r="FB189" s="144"/>
      <c r="FC189" s="150"/>
      <c r="FD189" s="174"/>
      <c r="FE189" s="175"/>
      <c r="FF189" s="176"/>
      <c r="FG189" s="155"/>
      <c r="FH189" s="148"/>
      <c r="FI189" s="33"/>
      <c r="FJ189" s="155"/>
      <c r="FK189" s="148"/>
      <c r="FL189" s="33"/>
      <c r="FM189" s="33"/>
      <c r="FN189" s="143"/>
      <c r="FO189" s="38"/>
      <c r="FP189" s="144"/>
      <c r="FQ189" s="150"/>
      <c r="FR189" s="174"/>
      <c r="FS189" s="175"/>
      <c r="FT189" s="176"/>
      <c r="FU189" s="155"/>
      <c r="FV189" s="148"/>
      <c r="FW189" s="33"/>
      <c r="FX189" s="155"/>
      <c r="FY189" s="148"/>
      <c r="FZ189" s="33"/>
      <c r="GA189" s="33"/>
      <c r="GB189" s="143"/>
      <c r="GC189" s="38"/>
      <c r="GD189" s="144"/>
      <c r="GE189" s="150"/>
      <c r="GF189" s="174"/>
      <c r="GG189" s="175"/>
      <c r="GH189" s="176"/>
      <c r="GI189" s="155"/>
      <c r="GJ189" s="148"/>
      <c r="GK189" s="33"/>
      <c r="GL189" s="155"/>
      <c r="GM189" s="148"/>
      <c r="GN189" s="33"/>
      <c r="GO189" s="33"/>
      <c r="GP189" s="143"/>
      <c r="GQ189" s="38"/>
      <c r="GR189" s="144"/>
      <c r="GS189" s="150"/>
      <c r="GT189" s="174"/>
      <c r="GU189" s="175"/>
      <c r="GV189" s="176"/>
      <c r="GW189" s="155"/>
      <c r="GX189" s="148"/>
      <c r="GY189" s="33"/>
      <c r="GZ189" s="155"/>
      <c r="HA189" s="148"/>
      <c r="HB189" s="33"/>
      <c r="HC189" s="33"/>
      <c r="HD189" s="143"/>
      <c r="HE189" s="38"/>
      <c r="HF189" s="144"/>
      <c r="HG189" s="150"/>
      <c r="HH189" s="174"/>
      <c r="HI189" s="175"/>
      <c r="HJ189" s="176"/>
      <c r="HK189" s="155"/>
      <c r="HL189" s="148"/>
      <c r="HM189" s="33"/>
      <c r="HN189" s="155"/>
      <c r="HO189" s="148"/>
      <c r="HP189" s="33"/>
      <c r="HQ189" s="33"/>
      <c r="HR189" s="143"/>
      <c r="HS189" s="38"/>
      <c r="HT189" s="144"/>
      <c r="HU189" s="150"/>
      <c r="HV189" s="174"/>
      <c r="HW189" s="175"/>
      <c r="HX189" s="176"/>
      <c r="HY189" s="155"/>
      <c r="HZ189" s="148"/>
      <c r="IA189" s="33"/>
      <c r="IB189" s="155"/>
      <c r="IC189" s="148"/>
      <c r="ID189" s="33"/>
      <c r="IE189" s="33"/>
      <c r="IF189" s="143"/>
      <c r="IG189" s="38"/>
      <c r="IH189" s="144"/>
      <c r="II189" s="150"/>
      <c r="IJ189" s="174"/>
      <c r="IK189" s="175"/>
      <c r="IL189" s="176"/>
      <c r="IM189" s="155"/>
      <c r="IN189" s="148"/>
      <c r="IO189" s="33"/>
      <c r="IP189" s="155"/>
      <c r="IQ189" s="148"/>
      <c r="IR189" s="33"/>
      <c r="IS189" s="33"/>
      <c r="IT189" s="143"/>
      <c r="IU189" s="38"/>
      <c r="IV189" s="144"/>
      <c r="IW189" s="143"/>
      <c r="IX189" s="38"/>
      <c r="IY189" s="144" t="e">
        <v>#REF!</v>
      </c>
    </row>
    <row r="190">
      <c r="A190" s="33"/>
      <c r="B190" s="181"/>
      <c r="C190" s="38" t="str">
        <f>IFERROR(__xludf.DUMMYFUNCTION("""COMPUTED_VALUE"""),"")</f>
        <v/>
      </c>
      <c r="D190" s="144">
        <v>46111.0</v>
      </c>
      <c r="E190" s="182"/>
      <c r="F190" s="168"/>
      <c r="G190" s="169"/>
      <c r="H190" s="170"/>
      <c r="I190" s="171" t="str">
        <f t="array" ref="I190">IFERROR(IF(C190="ac"+ISNUMBER(SEARCH("'",H190))+G190="","", MROUND(SWITCH(C190,"sq",'Personal Info'!$O$15,"bn",'Personal Info'!$S$15,"dl",'Personal Info'!$W$15,"")*IF(H190&gt;10, H190/100, VLOOKUP(H190, _rpe,SUBSTITUTE(G190,"+","")+1,0)), IF( SWITCH(C190:C210,"sq",'Personal Info'!$O$15,"bn",'Personal Info'!$S$15,"dl", 'Personal Info'!$W$15,"")&lt; IF(_uom="lbs", 175, 80), 1.25, IF(_uom="lbs",5,2.5)))),"")</f>
        <v/>
      </c>
      <c r="J190" s="148"/>
      <c r="K190" s="33"/>
      <c r="L190" s="171"/>
      <c r="M190" s="124" t="str">
        <f>IFERROR(__xludf.DUMMYFUNCTION("IF(I190=MAX(FILTER(I$10:I$199,LOOKUP(ROW(C$10:C$199),FILTER(ROW(C$10:C$199),C$10:C$199&lt;&gt;C$9:C$198))=LOOKUP(ROW(C190),FILTER(ROW(C$10:C$199),C$10:C$199&lt;&gt;C$9:C$198)))),J190,)"),"")</f>
        <v/>
      </c>
      <c r="N190" s="122"/>
      <c r="O190" s="33"/>
      <c r="P190" s="143" t="str">
        <f t="shared" si="12"/>
        <v/>
      </c>
      <c r="Q190" s="38" t="str">
        <f>IFERROR(__xludf.DUMMYFUNCTION("""COMPUTED_VALUE"""),"")</f>
        <v/>
      </c>
      <c r="R190" s="144">
        <v>46118.0</v>
      </c>
      <c r="S190" s="167" t="str">
        <f t="shared" si="13"/>
        <v/>
      </c>
      <c r="T190" s="168" t="str">
        <f t="shared" si="319"/>
        <v/>
      </c>
      <c r="U190" s="169" t="str">
        <f t="shared" si="320"/>
        <v/>
      </c>
      <c r="V190" s="172" t="str">
        <f t="shared" si="321"/>
        <v/>
      </c>
      <c r="W190" s="171" t="str">
        <f t="array" ref="W190">IFERROR(IF(Q190="ac"+ISNUMBER(SEARCH("'",V190))+U190="","", IF(ISNUMBER(SEARCH("lw",V190)), I190 + SUBSTITUTE(V190,"lw+",""), MROUND(SWITCH(Q190,"sq",U$7,"bn",V$7,"dl",W$7,"")*IF(V190&gt;10, V190/100, VLOOKUP(V190, _rpe,SUBSTITUTE(U190,"+","")+1,0)), IF( SWITCH(Q190,"sq",U$7,"bn",V$7,"dl", W$7,"")&lt; IF(_uom="lbs", 175, 80), 1.25, IF(_uom="lbs",5,2.5))))), "")</f>
        <v/>
      </c>
      <c r="X190" s="148"/>
      <c r="Y190" s="33"/>
      <c r="Z190" s="171"/>
      <c r="AA190" s="124" t="str">
        <f>IFERROR(__xludf.DUMMYFUNCTION("IF(W190=MAX(FILTER(W$10:W$199,LOOKUP(ROW(Q$10:Q$199),FILTER(ROW(Q$10:Q$199),Q$10:Q$199&lt;&gt;Q$9:Q$198))=LOOKUP(ROW(Q190),FILTER(ROW(Q$10:Q$199),Q$10:Q$199&lt;&gt;Q$9:Q$198)))),X190,)"),"")</f>
        <v/>
      </c>
      <c r="AB190" s="122"/>
      <c r="AC190" s="33"/>
      <c r="AD190" s="143" t="str">
        <f t="shared" si="14"/>
        <v/>
      </c>
      <c r="AE190" s="38" t="str">
        <f>IFERROR(__xludf.DUMMYFUNCTION("""COMPUTED_VALUE"""),"")</f>
        <v/>
      </c>
      <c r="AF190" s="144">
        <v>46125.0</v>
      </c>
      <c r="AG190" s="167" t="str">
        <f t="shared" si="54"/>
        <v/>
      </c>
      <c r="AH190" s="168" t="str">
        <f t="shared" si="322"/>
        <v/>
      </c>
      <c r="AI190" s="169" t="str">
        <f t="shared" si="323"/>
        <v/>
      </c>
      <c r="AJ190" s="172" t="str">
        <f t="shared" si="324"/>
        <v/>
      </c>
      <c r="AK190" s="171" t="str">
        <f t="array" ref="AK190">IFERROR(IF(AE190="ac"+ISNUMBER(SEARCH("'",AJ190))+AI190="","", IF(ISNUMBER(SEARCH("lw",AJ190)), W190 + SUBSTITUTE(AJ190,"lw+",""), MROUND(SWITCH(AE190,"sq",AI$7,"bn",AJ$7,"dl",AK$7,"")*IF(AJ190&gt;10, AJ190/100, VLOOKUP(AJ190, _rpe,SUBSTITUTE(AI190,"+","")+1,0)), IF( SWITCH(AE190,"sq",AI$7,"bn",AJ$7,"dl", AK$7,"")&lt; IF(_uom="lbs", 175, 80), 1.25, IF(_uom="lbs",5,2.5))))), "")</f>
        <v/>
      </c>
      <c r="AL190" s="148"/>
      <c r="AM190" s="33"/>
      <c r="AN190" s="171"/>
      <c r="AO190" s="124" t="str">
        <f>IFERROR(__xludf.DUMMYFUNCTION("IF(AK190=MAX(FILTER(AK$10:AK$199,LOOKUP(ROW(AE$10:AE$199),FILTER(ROW(AE$10:AE$199),AE$10:AE$199&lt;&gt;AE$9:AE$198))=LOOKUP(ROW(AE190),FILTER(ROW(AE$10:AE$199),AE$10:AE$199&lt;&gt;AE$9:AE$198)))),AL190,)"),"")</f>
        <v/>
      </c>
      <c r="AP190" s="122"/>
      <c r="AQ190" s="33"/>
      <c r="AR190" s="143" t="str">
        <f t="shared" si="16"/>
        <v/>
      </c>
      <c r="AS190" s="38" t="str">
        <f>IFERROR(__xludf.DUMMYFUNCTION("""COMPUTED_VALUE"""),"")</f>
        <v/>
      </c>
      <c r="AT190" s="144">
        <v>46132.0</v>
      </c>
      <c r="AU190" s="167" t="str">
        <f t="shared" si="26"/>
        <v/>
      </c>
      <c r="AV190" s="168" t="str">
        <f t="shared" si="325"/>
        <v/>
      </c>
      <c r="AW190" s="169" t="str">
        <f t="shared" si="326"/>
        <v/>
      </c>
      <c r="AX190" s="172" t="str">
        <f t="shared" si="327"/>
        <v/>
      </c>
      <c r="AY190" s="171" t="str">
        <f t="array" ref="AY190">IFERROR(IF(AS190="ac"+ISNUMBER(SEARCH("'",AX190))+AW190="","", IF(ISNUMBER(SEARCH("lw",AX190)), AK190 + SUBSTITUTE(AX190,"lw+",""), MROUND(SWITCH(AS190,"sq",AW$7,"bn",AX$7,"dl",AY$7,"")*IF(AX190&gt;10, AX190/100, VLOOKUP(AX190, _rpe,SUBSTITUTE(AW190,"+","")+1,0)), IF( SWITCH(AS190,"sq",AW$7,"bn",AX$7,"dl", AY$7,"")&lt; IF(_uom="lbs", 175, 80), 1.25, IF(_uom="lbs",5,2.5))))), "")</f>
        <v/>
      </c>
      <c r="AZ190" s="148"/>
      <c r="BA190" s="33"/>
      <c r="BB190" s="171"/>
      <c r="BC190" s="124" t="str">
        <f>IFERROR(__xludf.DUMMYFUNCTION("IF(AY190=MAX(FILTER(AY$10:AY$199,LOOKUP(ROW(AS$10:AS$199),FILTER(ROW(AS$10:AS$199),AS$10:AS$199&lt;&gt;AS$9:AS$198))=LOOKUP(ROW(AS190),FILTER(ROW(AS$10:AS$199),AS$10:AS$199&lt;&gt;AS$9:AS$198)))),AZ190,)"),"")</f>
        <v/>
      </c>
      <c r="BD190" s="122"/>
      <c r="BE190" s="33"/>
      <c r="BF190" s="143" t="str">
        <f t="shared" si="17"/>
        <v/>
      </c>
      <c r="BG190" s="38" t="str">
        <f>IFERROR(__xludf.DUMMYFUNCTION("""COMPUTED_VALUE"""),"")</f>
        <v/>
      </c>
      <c r="BH190" s="144">
        <v>46139.0</v>
      </c>
      <c r="BI190" s="167" t="str">
        <f t="shared" si="18"/>
        <v/>
      </c>
      <c r="BJ190" s="168" t="str">
        <f t="shared" si="328"/>
        <v/>
      </c>
      <c r="BK190" s="169" t="str">
        <f t="shared" si="329"/>
        <v/>
      </c>
      <c r="BL190" s="172" t="str">
        <f t="shared" si="330"/>
        <v/>
      </c>
      <c r="BM190" s="171" t="str">
        <f t="array" ref="BM190">IFERROR(IF(BG190="ac"+ISNUMBER(SEARCH("'",BL190))+BK190="","", IF(ISNUMBER(SEARCH("lw",BL190)), AY190 + SUBSTITUTE(BL190,"lw+",""), MROUND(SWITCH(BG190,"sq",BK$7,"bn",BL$7,"dl",BM$7,"")*IF(BL190&gt;10, BL190/100, VLOOKUP(BL190, _rpe,SUBSTITUTE(BK190,"+","")+1,0)), IF( SWITCH(BG190,"sq",BK$7,"bn",BL$7,"dl", BM$7,"")&lt; IF(_uom="lbs", 175, 80), 1.25, IF(_uom="lbs",5,2.5))))), "")</f>
        <v/>
      </c>
      <c r="BN190" s="148"/>
      <c r="BO190" s="33"/>
      <c r="BP190" s="171"/>
      <c r="BQ190" s="124" t="str">
        <f>IFERROR(__xludf.DUMMYFUNCTION("IF(BM190=MAX(FILTER(BM$10:BM$199,LOOKUP(ROW(BG$10:BG$199),FILTER(ROW(BG$10:BG$199),BG$10:BG$199&lt;&gt;BG$9:BG$198))=LOOKUP(ROW(BG190),FILTER(ROW(BG$10:BG$199),BG$10:BG$199&lt;&gt;BG$9:BG$198)))),BN190,)"),"")</f>
        <v/>
      </c>
      <c r="BR190" s="122"/>
      <c r="BS190" s="33"/>
      <c r="BT190" s="143" t="str">
        <f t="shared" si="19"/>
        <v/>
      </c>
      <c r="BU190" s="38" t="str">
        <f>IFERROR(__xludf.DUMMYFUNCTION("""COMPUTED_VALUE"""),"")</f>
        <v/>
      </c>
      <c r="BV190" s="144">
        <v>46146.0</v>
      </c>
      <c r="BW190" s="167" t="str">
        <f t="shared" si="20"/>
        <v/>
      </c>
      <c r="BX190" s="168" t="str">
        <f t="shared" si="331"/>
        <v/>
      </c>
      <c r="BY190" s="169" t="str">
        <f t="shared" si="332"/>
        <v/>
      </c>
      <c r="BZ190" s="172" t="str">
        <f t="shared" si="333"/>
        <v/>
      </c>
      <c r="CA190" s="171" t="str">
        <f t="array" ref="CA190">IFERROR(IF(BU190="ac"+ISNUMBER(SEARCH("'",BZ190))+BY190="","", IF(ISNUMBER(SEARCH("lw",BZ190)), BM190 + SUBSTITUTE(BZ190,"lw+",""), MROUND(SWITCH(BU190,"sq",BY$7,"bn",BZ$7,"dl",CA$7,"")*IF(BZ190&gt;10, BZ190/100, VLOOKUP(BZ190, _rpe,SUBSTITUTE(BY190,"+","")+1,0)), IF( SWITCH(BU190,"sq",BY$7,"bn",BZ$7,"dl", CA$7,"")&lt; IF(_uom="lbs", 175, 80), 1.25, IF(_uom="lbs",5,2.5))))), "")</f>
        <v/>
      </c>
      <c r="CB190" s="148"/>
      <c r="CC190" s="33"/>
      <c r="CD190" s="171"/>
      <c r="CE190" s="124" t="str">
        <f>IFERROR(__xludf.DUMMYFUNCTION("IF(CA190=MAX(FILTER(CA$10:CA$199,LOOKUP(ROW(BU$10:BU$199),FILTER(ROW(BU$10:BU$199),BU$10:BU$199&lt;&gt;BU$9:BU$198))=LOOKUP(ROW(BU190),FILTER(ROW(BU$10:BU$199),BU$10:BU$199&lt;&gt;BU$9:BU$198)))),CB190,)"),"")</f>
        <v/>
      </c>
      <c r="CF190" s="122"/>
      <c r="CG190" s="33"/>
      <c r="CH190" s="143" t="str">
        <f t="shared" si="21"/>
        <v/>
      </c>
      <c r="CI190" s="38" t="str">
        <f>IFERROR(__xludf.DUMMYFUNCTION("""COMPUTED_VALUE"""),"")</f>
        <v/>
      </c>
      <c r="CJ190" s="144">
        <v>46153.0</v>
      </c>
      <c r="CK190" s="167" t="str">
        <f t="shared" si="27"/>
        <v/>
      </c>
      <c r="CL190" s="168" t="str">
        <f t="shared" si="334"/>
        <v/>
      </c>
      <c r="CM190" s="169" t="str">
        <f t="shared" si="335"/>
        <v/>
      </c>
      <c r="CN190" s="172" t="str">
        <f t="shared" si="336"/>
        <v/>
      </c>
      <c r="CO190" s="171" t="str">
        <f t="array" ref="CO190">IFERROR(IF(CI190="ac"+ISNUMBER(SEARCH("'",CN190))+CM190="","", IF(ISNUMBER(SEARCH("lw",CN190)), CA190 + SUBSTITUTE(CN190,"lw+",""), MROUND(SWITCH(CI190,"sq",CM$7,"bn",CN$7,"dl",CO$7,"")*IF(CN190&gt;10, CN190/100, VLOOKUP(CN190, _rpe,SUBSTITUTE(CM190,"+","")+1,0)), IF( SWITCH(CI190,"sq",CM$7,"bn",CN$7,"dl", CO$7,"")&lt; IF(_uom="lbs", 175, 80), 1.25, IF(_uom="lbs",5,2.5))))), "")</f>
        <v/>
      </c>
      <c r="CP190" s="148"/>
      <c r="CQ190" s="33"/>
      <c r="CR190" s="171"/>
      <c r="CS190" s="124" t="str">
        <f>IFERROR(__xludf.DUMMYFUNCTION("IF(CO190=MAX(FILTER(CO$10:CO$199,LOOKUP(ROW(CI$10:CI$199),FILTER(ROW(CI$10:CI$199),CI$10:CI$199&lt;&gt;CI$9:CI$198))=LOOKUP(ROW(CI190),FILTER(ROW(CI$10:CI$199),CI$10:CI$199&lt;&gt;CI$9:CI$198)))),CP190,)"),"")</f>
        <v/>
      </c>
      <c r="CT190" s="122"/>
      <c r="CU190" s="33"/>
      <c r="CV190" s="143" t="str">
        <f t="shared" si="22"/>
        <v/>
      </c>
      <c r="CW190" s="38" t="str">
        <f>IFERROR(__xludf.DUMMYFUNCTION("""COMPUTED_VALUE"""),"")</f>
        <v/>
      </c>
      <c r="CX190" s="144">
        <v>46160.0</v>
      </c>
      <c r="CY190" s="167" t="str">
        <f t="shared" si="28"/>
        <v/>
      </c>
      <c r="CZ190" s="168" t="str">
        <f t="shared" si="337"/>
        <v/>
      </c>
      <c r="DA190" s="169" t="str">
        <f t="shared" si="338"/>
        <v/>
      </c>
      <c r="DB190" s="172" t="str">
        <f t="shared" si="339"/>
        <v/>
      </c>
      <c r="DC190" s="171" t="str">
        <f t="array" ref="DC190">IFERROR(IF(CW190="ac"+ISNUMBER(SEARCH("'",DB190))+DA190="","", IF(ISNUMBER(SEARCH("lw",DB190)), CO190 + SUBSTITUTE(DB190,"lw+",""), MROUND(SWITCH(CW190,"sq",DA$7,"bn",DB$7,"dl",DC$7,"")*IF(DB190&gt;10, DB190/100, VLOOKUP(DB190, _rpe,SUBSTITUTE(DA190,"+","")+1,0)), IF( SWITCH(CW190,"sq",DA$7,"bn",DB$7,"dl", DC$7,"")&lt; IF(_uom="lbs", 175, 80), 1.25, IF(_uom="lbs",5,2.5))))), "")</f>
        <v/>
      </c>
      <c r="DD190" s="148"/>
      <c r="DE190" s="33"/>
      <c r="DF190" s="171"/>
      <c r="DG190" s="124" t="str">
        <f>IFERROR(__xludf.DUMMYFUNCTION("IF(DC190=MAX(FILTER(DC$10:DC$199,LOOKUP(ROW(CW$10:CW$199),FILTER(ROW(CW$10:CW$199),CW$10:CW$199&lt;&gt;CW$9:CW$198))=LOOKUP(ROW(CW190),FILTER(ROW(CW$10:CW$199),CW$10:CW$199&lt;&gt;CW$9:CW$198)))),DD190,)"),"")</f>
        <v/>
      </c>
      <c r="DH190" s="122"/>
      <c r="DI190" s="33"/>
      <c r="DJ190" s="143" t="str">
        <f t="shared" si="23"/>
        <v/>
      </c>
      <c r="DK190" s="38" t="str">
        <f>IFERROR(__xludf.DUMMYFUNCTION("""COMPUTED_VALUE"""),"")</f>
        <v/>
      </c>
      <c r="DL190" s="144">
        <v>46167.0</v>
      </c>
      <c r="DM190" s="167" t="str">
        <f t="shared" ref="DM190:DN190" si="442">IF(ISBLANK(CY190),"",CY190)</f>
        <v/>
      </c>
      <c r="DN190" s="168" t="str">
        <f t="shared" si="442"/>
        <v/>
      </c>
      <c r="DO190" s="169" t="str">
        <f t="shared" si="341"/>
        <v/>
      </c>
      <c r="DP190" s="172" t="str">
        <f t="shared" si="342"/>
        <v/>
      </c>
      <c r="DQ190" s="171" t="str">
        <f t="array" ref="DQ190">IFERROR(IF(DK190="ac"+ISNUMBER(SEARCH("'",DP190))+DO190="","", IF(ISNUMBER(SEARCH("lw",DP190)), DC190 + SUBSTITUTE(DP190,"lw+",""), MROUND(SWITCH(DK190,"sq",DO$7,"bn",DP$7,"dl",DQ$7,"")*IF(DP190&gt;10, DP190/100, VLOOKUP(DP190, _rpe,SUBSTITUTE(DO190,"+","")+1,0)), IF( SWITCH(DK190,"sq",DO$7,"bn",DP$7,"dl", DQ$7,"")&lt; IF(_uom="lbs", 175, 80), 1.25, IF(_uom="lbs",5,2.5))))), "")</f>
        <v/>
      </c>
      <c r="DR190" s="148"/>
      <c r="DS190" s="33"/>
      <c r="DT190" s="171"/>
      <c r="DU190" s="124" t="str">
        <f>IFERROR(__xludf.DUMMYFUNCTION("IF(DQ190=MAX(FILTER(DQ$10:DQ$199,LOOKUP(ROW(DK$10:DK$199),FILTER(ROW(DK$10:DK$199),DK$10:DK$199&lt;&gt;DK$9:DK$198))=LOOKUP(ROW(DK190),FILTER(ROW(DK$10:DK$199),DK$10:DK$199&lt;&gt;DK$9:DK$198)))),DR190,)"),"")</f>
        <v/>
      </c>
      <c r="DV190" s="122"/>
      <c r="DW190" s="33"/>
      <c r="DX190" s="143"/>
      <c r="DY190" s="38"/>
      <c r="DZ190" s="144"/>
      <c r="EA190" s="150"/>
      <c r="EB190" s="174"/>
      <c r="EC190" s="175"/>
      <c r="ED190" s="176"/>
      <c r="EE190" s="155"/>
      <c r="EF190" s="148"/>
      <c r="EG190" s="33"/>
      <c r="EH190" s="155"/>
      <c r="EI190" s="148"/>
      <c r="EJ190" s="33"/>
      <c r="EK190" s="33"/>
      <c r="EL190" s="143"/>
      <c r="EM190" s="38"/>
      <c r="EN190" s="144"/>
      <c r="EO190" s="150"/>
      <c r="EP190" s="174"/>
      <c r="EQ190" s="175"/>
      <c r="ER190" s="176"/>
      <c r="ES190" s="155"/>
      <c r="ET190" s="148"/>
      <c r="EU190" s="33"/>
      <c r="EV190" s="155"/>
      <c r="EW190" s="148"/>
      <c r="EX190" s="33"/>
      <c r="EY190" s="33"/>
      <c r="EZ190" s="143"/>
      <c r="FA190" s="38"/>
      <c r="FB190" s="144"/>
      <c r="FC190" s="150"/>
      <c r="FD190" s="174"/>
      <c r="FE190" s="175"/>
      <c r="FF190" s="176"/>
      <c r="FG190" s="155"/>
      <c r="FH190" s="148"/>
      <c r="FI190" s="33"/>
      <c r="FJ190" s="155"/>
      <c r="FK190" s="148"/>
      <c r="FL190" s="33"/>
      <c r="FM190" s="33"/>
      <c r="FN190" s="143"/>
      <c r="FO190" s="38"/>
      <c r="FP190" s="144"/>
      <c r="FQ190" s="150"/>
      <c r="FR190" s="174"/>
      <c r="FS190" s="175"/>
      <c r="FT190" s="176"/>
      <c r="FU190" s="155"/>
      <c r="FV190" s="148"/>
      <c r="FW190" s="33"/>
      <c r="FX190" s="155"/>
      <c r="FY190" s="148"/>
      <c r="FZ190" s="33"/>
      <c r="GA190" s="33"/>
      <c r="GB190" s="143"/>
      <c r="GC190" s="38"/>
      <c r="GD190" s="144"/>
      <c r="GE190" s="150"/>
      <c r="GF190" s="174"/>
      <c r="GG190" s="175"/>
      <c r="GH190" s="176"/>
      <c r="GI190" s="155"/>
      <c r="GJ190" s="148"/>
      <c r="GK190" s="33"/>
      <c r="GL190" s="155"/>
      <c r="GM190" s="148"/>
      <c r="GN190" s="33"/>
      <c r="GO190" s="33"/>
      <c r="GP190" s="143"/>
      <c r="GQ190" s="38"/>
      <c r="GR190" s="144"/>
      <c r="GS190" s="150"/>
      <c r="GT190" s="174"/>
      <c r="GU190" s="175"/>
      <c r="GV190" s="176"/>
      <c r="GW190" s="155"/>
      <c r="GX190" s="148"/>
      <c r="GY190" s="33"/>
      <c r="GZ190" s="155"/>
      <c r="HA190" s="148"/>
      <c r="HB190" s="33"/>
      <c r="HC190" s="33"/>
      <c r="HD190" s="143"/>
      <c r="HE190" s="38"/>
      <c r="HF190" s="144"/>
      <c r="HG190" s="150"/>
      <c r="HH190" s="174"/>
      <c r="HI190" s="175"/>
      <c r="HJ190" s="176"/>
      <c r="HK190" s="155"/>
      <c r="HL190" s="148"/>
      <c r="HM190" s="33"/>
      <c r="HN190" s="155"/>
      <c r="HO190" s="148"/>
      <c r="HP190" s="33"/>
      <c r="HQ190" s="33"/>
      <c r="HR190" s="143"/>
      <c r="HS190" s="38"/>
      <c r="HT190" s="144"/>
      <c r="HU190" s="150"/>
      <c r="HV190" s="174"/>
      <c r="HW190" s="175"/>
      <c r="HX190" s="176"/>
      <c r="HY190" s="155"/>
      <c r="HZ190" s="148"/>
      <c r="IA190" s="33"/>
      <c r="IB190" s="155"/>
      <c r="IC190" s="148"/>
      <c r="ID190" s="33"/>
      <c r="IE190" s="33"/>
      <c r="IF190" s="143"/>
      <c r="IG190" s="38"/>
      <c r="IH190" s="144"/>
      <c r="II190" s="150"/>
      <c r="IJ190" s="174"/>
      <c r="IK190" s="175"/>
      <c r="IL190" s="176"/>
      <c r="IM190" s="155"/>
      <c r="IN190" s="148"/>
      <c r="IO190" s="33"/>
      <c r="IP190" s="155"/>
      <c r="IQ190" s="148"/>
      <c r="IR190" s="33"/>
      <c r="IS190" s="33"/>
      <c r="IT190" s="143"/>
      <c r="IU190" s="38"/>
      <c r="IV190" s="144"/>
      <c r="IW190" s="143"/>
      <c r="IX190" s="38"/>
      <c r="IY190" s="144" t="e">
        <v>#REF!</v>
      </c>
    </row>
    <row r="191">
      <c r="A191" s="33"/>
      <c r="B191" s="181"/>
      <c r="C191" s="38" t="str">
        <f>IFERROR(__xludf.DUMMYFUNCTION("""COMPUTED_VALUE"""),"")</f>
        <v/>
      </c>
      <c r="D191" s="144">
        <v>46111.0</v>
      </c>
      <c r="E191" s="182"/>
      <c r="F191" s="168"/>
      <c r="G191" s="169"/>
      <c r="H191" s="170"/>
      <c r="I191" s="171" t="str">
        <f t="array" ref="I191">IFERROR(IF(C191="ac"+ISNUMBER(SEARCH("'",H191))+G191="","", MROUND(SWITCH(C191,"sq",'Personal Info'!$O$15,"bn",'Personal Info'!$S$15,"dl",'Personal Info'!$W$15,"")*IF(H191&gt;10, H191/100, VLOOKUP(H191, _rpe,SUBSTITUTE(G191,"+","")+1,0)), IF( SWITCH(C191:C210,"sq",'Personal Info'!$O$15,"bn",'Personal Info'!$S$15,"dl", 'Personal Info'!$W$15,"")&lt; IF(_uom="lbs", 175, 80), 1.25, IF(_uom="lbs",5,2.5)))),"")</f>
        <v/>
      </c>
      <c r="J191" s="148"/>
      <c r="K191" s="33"/>
      <c r="L191" s="171"/>
      <c r="M191" s="124" t="str">
        <f>IFERROR(__xludf.DUMMYFUNCTION("IF(I191=MAX(FILTER(I$10:I$199,LOOKUP(ROW(C$10:C$199),FILTER(ROW(C$10:C$199),C$10:C$199&lt;&gt;C$9:C$198))=LOOKUP(ROW(C191),FILTER(ROW(C$10:C$199),C$10:C$199&lt;&gt;C$9:C$198)))),J191,)"),"")</f>
        <v/>
      </c>
      <c r="N191" s="122"/>
      <c r="O191" s="33"/>
      <c r="P191" s="143" t="str">
        <f t="shared" si="12"/>
        <v/>
      </c>
      <c r="Q191" s="38" t="str">
        <f>IFERROR(__xludf.DUMMYFUNCTION("""COMPUTED_VALUE"""),"")</f>
        <v/>
      </c>
      <c r="R191" s="144">
        <v>46118.0</v>
      </c>
      <c r="S191" s="167" t="str">
        <f t="shared" si="13"/>
        <v/>
      </c>
      <c r="T191" s="168" t="str">
        <f t="shared" si="319"/>
        <v/>
      </c>
      <c r="U191" s="169" t="str">
        <f t="shared" si="320"/>
        <v/>
      </c>
      <c r="V191" s="172" t="str">
        <f t="shared" si="321"/>
        <v/>
      </c>
      <c r="W191" s="171" t="str">
        <f t="array" ref="W191">IFERROR(IF(Q191="ac"+ISNUMBER(SEARCH("'",V191))+U191="","", IF(ISNUMBER(SEARCH("lw",V191)), I191 + SUBSTITUTE(V191,"lw+",""), MROUND(SWITCH(Q191,"sq",U$7,"bn",V$7,"dl",W$7,"")*IF(V191&gt;10, V191/100, VLOOKUP(V191, _rpe,SUBSTITUTE(U191,"+","")+1,0)), IF( SWITCH(Q191,"sq",U$7,"bn",V$7,"dl", W$7,"")&lt; IF(_uom="lbs", 175, 80), 1.25, IF(_uom="lbs",5,2.5))))), "")</f>
        <v/>
      </c>
      <c r="X191" s="148"/>
      <c r="Y191" s="33"/>
      <c r="Z191" s="171"/>
      <c r="AA191" s="124" t="str">
        <f>IFERROR(__xludf.DUMMYFUNCTION("IF(W191=MAX(FILTER(W$10:W$199,LOOKUP(ROW(Q$10:Q$199),FILTER(ROW(Q$10:Q$199),Q$10:Q$199&lt;&gt;Q$9:Q$198))=LOOKUP(ROW(Q191),FILTER(ROW(Q$10:Q$199),Q$10:Q$199&lt;&gt;Q$9:Q$198)))),X191,)"),"")</f>
        <v/>
      </c>
      <c r="AB191" s="122"/>
      <c r="AC191" s="33"/>
      <c r="AD191" s="143" t="str">
        <f t="shared" si="14"/>
        <v/>
      </c>
      <c r="AE191" s="38" t="str">
        <f>IFERROR(__xludf.DUMMYFUNCTION("""COMPUTED_VALUE"""),"")</f>
        <v/>
      </c>
      <c r="AF191" s="144">
        <v>46125.0</v>
      </c>
      <c r="AG191" s="167" t="str">
        <f t="shared" si="54"/>
        <v/>
      </c>
      <c r="AH191" s="168" t="str">
        <f t="shared" si="322"/>
        <v/>
      </c>
      <c r="AI191" s="169" t="str">
        <f t="shared" si="323"/>
        <v/>
      </c>
      <c r="AJ191" s="172" t="str">
        <f t="shared" si="324"/>
        <v/>
      </c>
      <c r="AK191" s="171" t="str">
        <f t="array" ref="AK191">IFERROR(IF(AE191="ac"+ISNUMBER(SEARCH("'",AJ191))+AI191="","", IF(ISNUMBER(SEARCH("lw",AJ191)), W191 + SUBSTITUTE(AJ191,"lw+",""), MROUND(SWITCH(AE191,"sq",AI$7,"bn",AJ$7,"dl",AK$7,"")*IF(AJ191&gt;10, AJ191/100, VLOOKUP(AJ191, _rpe,SUBSTITUTE(AI191,"+","")+1,0)), IF( SWITCH(AE191,"sq",AI$7,"bn",AJ$7,"dl", AK$7,"")&lt; IF(_uom="lbs", 175, 80), 1.25, IF(_uom="lbs",5,2.5))))), "")</f>
        <v/>
      </c>
      <c r="AL191" s="148"/>
      <c r="AM191" s="33"/>
      <c r="AN191" s="171"/>
      <c r="AO191" s="124" t="str">
        <f>IFERROR(__xludf.DUMMYFUNCTION("IF(AK191=MAX(FILTER(AK$10:AK$199,LOOKUP(ROW(AE$10:AE$199),FILTER(ROW(AE$10:AE$199),AE$10:AE$199&lt;&gt;AE$9:AE$198))=LOOKUP(ROW(AE191),FILTER(ROW(AE$10:AE$199),AE$10:AE$199&lt;&gt;AE$9:AE$198)))),AL191,)"),"")</f>
        <v/>
      </c>
      <c r="AP191" s="122"/>
      <c r="AQ191" s="33"/>
      <c r="AR191" s="143" t="str">
        <f t="shared" si="16"/>
        <v/>
      </c>
      <c r="AS191" s="38" t="str">
        <f>IFERROR(__xludf.DUMMYFUNCTION("""COMPUTED_VALUE"""),"")</f>
        <v/>
      </c>
      <c r="AT191" s="144">
        <v>46132.0</v>
      </c>
      <c r="AU191" s="167" t="str">
        <f t="shared" si="26"/>
        <v/>
      </c>
      <c r="AV191" s="168" t="str">
        <f t="shared" si="325"/>
        <v/>
      </c>
      <c r="AW191" s="169" t="str">
        <f t="shared" si="326"/>
        <v/>
      </c>
      <c r="AX191" s="172" t="str">
        <f t="shared" si="327"/>
        <v/>
      </c>
      <c r="AY191" s="171" t="str">
        <f t="array" ref="AY191">IFERROR(IF(AS191="ac"+ISNUMBER(SEARCH("'",AX191))+AW191="","", IF(ISNUMBER(SEARCH("lw",AX191)), AK191 + SUBSTITUTE(AX191,"lw+",""), MROUND(SWITCH(AS191,"sq",AW$7,"bn",AX$7,"dl",AY$7,"")*IF(AX191&gt;10, AX191/100, VLOOKUP(AX191, _rpe,SUBSTITUTE(AW191,"+","")+1,0)), IF( SWITCH(AS191,"sq",AW$7,"bn",AX$7,"dl", AY$7,"")&lt; IF(_uom="lbs", 175, 80), 1.25, IF(_uom="lbs",5,2.5))))), "")</f>
        <v/>
      </c>
      <c r="AZ191" s="148"/>
      <c r="BA191" s="33"/>
      <c r="BB191" s="171"/>
      <c r="BC191" s="124" t="str">
        <f>IFERROR(__xludf.DUMMYFUNCTION("IF(AY191=MAX(FILTER(AY$10:AY$199,LOOKUP(ROW(AS$10:AS$199),FILTER(ROW(AS$10:AS$199),AS$10:AS$199&lt;&gt;AS$9:AS$198))=LOOKUP(ROW(AS191),FILTER(ROW(AS$10:AS$199),AS$10:AS$199&lt;&gt;AS$9:AS$198)))),AZ191,)"),"")</f>
        <v/>
      </c>
      <c r="BD191" s="122"/>
      <c r="BE191" s="33"/>
      <c r="BF191" s="143" t="str">
        <f t="shared" si="17"/>
        <v/>
      </c>
      <c r="BG191" s="38" t="str">
        <f>IFERROR(__xludf.DUMMYFUNCTION("""COMPUTED_VALUE"""),"")</f>
        <v/>
      </c>
      <c r="BH191" s="144">
        <v>46139.0</v>
      </c>
      <c r="BI191" s="167" t="str">
        <f t="shared" si="18"/>
        <v/>
      </c>
      <c r="BJ191" s="168" t="str">
        <f t="shared" si="328"/>
        <v/>
      </c>
      <c r="BK191" s="169" t="str">
        <f t="shared" si="329"/>
        <v/>
      </c>
      <c r="BL191" s="172" t="str">
        <f t="shared" si="330"/>
        <v/>
      </c>
      <c r="BM191" s="171" t="str">
        <f t="array" ref="BM191">IFERROR(IF(BG191="ac"+ISNUMBER(SEARCH("'",BL191))+BK191="","", IF(ISNUMBER(SEARCH("lw",BL191)), AY191 + SUBSTITUTE(BL191,"lw+",""), MROUND(SWITCH(BG191,"sq",BK$7,"bn",BL$7,"dl",BM$7,"")*IF(BL191&gt;10, BL191/100, VLOOKUP(BL191, _rpe,SUBSTITUTE(BK191,"+","")+1,0)), IF( SWITCH(BG191,"sq",BK$7,"bn",BL$7,"dl", BM$7,"")&lt; IF(_uom="lbs", 175, 80), 1.25, IF(_uom="lbs",5,2.5))))), "")</f>
        <v/>
      </c>
      <c r="BN191" s="148"/>
      <c r="BO191" s="33"/>
      <c r="BP191" s="171"/>
      <c r="BQ191" s="124" t="str">
        <f>IFERROR(__xludf.DUMMYFUNCTION("IF(BM191=MAX(FILTER(BM$10:BM$199,LOOKUP(ROW(BG$10:BG$199),FILTER(ROW(BG$10:BG$199),BG$10:BG$199&lt;&gt;BG$9:BG$198))=LOOKUP(ROW(BG191),FILTER(ROW(BG$10:BG$199),BG$10:BG$199&lt;&gt;BG$9:BG$198)))),BN191,)"),"")</f>
        <v/>
      </c>
      <c r="BR191" s="122"/>
      <c r="BS191" s="33"/>
      <c r="BT191" s="143" t="str">
        <f t="shared" si="19"/>
        <v/>
      </c>
      <c r="BU191" s="38" t="str">
        <f>IFERROR(__xludf.DUMMYFUNCTION("""COMPUTED_VALUE"""),"")</f>
        <v/>
      </c>
      <c r="BV191" s="144">
        <v>46146.0</v>
      </c>
      <c r="BW191" s="167" t="str">
        <f t="shared" si="20"/>
        <v/>
      </c>
      <c r="BX191" s="168" t="str">
        <f t="shared" si="331"/>
        <v/>
      </c>
      <c r="BY191" s="169" t="str">
        <f t="shared" si="332"/>
        <v/>
      </c>
      <c r="BZ191" s="172" t="str">
        <f t="shared" si="333"/>
        <v/>
      </c>
      <c r="CA191" s="171" t="str">
        <f t="array" ref="CA191">IFERROR(IF(BU191="ac"+ISNUMBER(SEARCH("'",BZ191))+BY191="","", IF(ISNUMBER(SEARCH("lw",BZ191)), BM191 + SUBSTITUTE(BZ191,"lw+",""), MROUND(SWITCH(BU191,"sq",BY$7,"bn",BZ$7,"dl",CA$7,"")*IF(BZ191&gt;10, BZ191/100, VLOOKUP(BZ191, _rpe,SUBSTITUTE(BY191,"+","")+1,0)), IF( SWITCH(BU191,"sq",BY$7,"bn",BZ$7,"dl", CA$7,"")&lt; IF(_uom="lbs", 175, 80), 1.25, IF(_uom="lbs",5,2.5))))), "")</f>
        <v/>
      </c>
      <c r="CB191" s="148"/>
      <c r="CC191" s="33"/>
      <c r="CD191" s="171"/>
      <c r="CE191" s="124" t="str">
        <f>IFERROR(__xludf.DUMMYFUNCTION("IF(CA191=MAX(FILTER(CA$10:CA$199,LOOKUP(ROW(BU$10:BU$199),FILTER(ROW(BU$10:BU$199),BU$10:BU$199&lt;&gt;BU$9:BU$198))=LOOKUP(ROW(BU191),FILTER(ROW(BU$10:BU$199),BU$10:BU$199&lt;&gt;BU$9:BU$198)))),CB191,)"),"")</f>
        <v/>
      </c>
      <c r="CF191" s="122"/>
      <c r="CG191" s="33"/>
      <c r="CH191" s="143" t="str">
        <f t="shared" si="21"/>
        <v/>
      </c>
      <c r="CI191" s="38" t="str">
        <f>IFERROR(__xludf.DUMMYFUNCTION("""COMPUTED_VALUE"""),"")</f>
        <v/>
      </c>
      <c r="CJ191" s="144">
        <v>46153.0</v>
      </c>
      <c r="CK191" s="167" t="str">
        <f t="shared" si="27"/>
        <v/>
      </c>
      <c r="CL191" s="168" t="str">
        <f t="shared" si="334"/>
        <v/>
      </c>
      <c r="CM191" s="169" t="str">
        <f t="shared" si="335"/>
        <v/>
      </c>
      <c r="CN191" s="172" t="str">
        <f t="shared" si="336"/>
        <v/>
      </c>
      <c r="CO191" s="171" t="str">
        <f t="array" ref="CO191">IFERROR(IF(CI191="ac"+ISNUMBER(SEARCH("'",CN191))+CM191="","", IF(ISNUMBER(SEARCH("lw",CN191)), CA191 + SUBSTITUTE(CN191,"lw+",""), MROUND(SWITCH(CI191,"sq",CM$7,"bn",CN$7,"dl",CO$7,"")*IF(CN191&gt;10, CN191/100, VLOOKUP(CN191, _rpe,SUBSTITUTE(CM191,"+","")+1,0)), IF( SWITCH(CI191,"sq",CM$7,"bn",CN$7,"dl", CO$7,"")&lt; IF(_uom="lbs", 175, 80), 1.25, IF(_uom="lbs",5,2.5))))), "")</f>
        <v/>
      </c>
      <c r="CP191" s="148"/>
      <c r="CQ191" s="33"/>
      <c r="CR191" s="171"/>
      <c r="CS191" s="124" t="str">
        <f>IFERROR(__xludf.DUMMYFUNCTION("IF(CO191=MAX(FILTER(CO$10:CO$199,LOOKUP(ROW(CI$10:CI$199),FILTER(ROW(CI$10:CI$199),CI$10:CI$199&lt;&gt;CI$9:CI$198))=LOOKUP(ROW(CI191),FILTER(ROW(CI$10:CI$199),CI$10:CI$199&lt;&gt;CI$9:CI$198)))),CP191,)"),"")</f>
        <v/>
      </c>
      <c r="CT191" s="122"/>
      <c r="CU191" s="33"/>
      <c r="CV191" s="143" t="str">
        <f t="shared" si="22"/>
        <v/>
      </c>
      <c r="CW191" s="38" t="str">
        <f>IFERROR(__xludf.DUMMYFUNCTION("""COMPUTED_VALUE"""),"")</f>
        <v/>
      </c>
      <c r="CX191" s="144">
        <v>46160.0</v>
      </c>
      <c r="CY191" s="167" t="str">
        <f t="shared" si="28"/>
        <v/>
      </c>
      <c r="CZ191" s="168" t="str">
        <f t="shared" si="337"/>
        <v/>
      </c>
      <c r="DA191" s="169" t="str">
        <f t="shared" si="338"/>
        <v/>
      </c>
      <c r="DB191" s="172" t="str">
        <f t="shared" si="339"/>
        <v/>
      </c>
      <c r="DC191" s="171" t="str">
        <f t="array" ref="DC191">IFERROR(IF(CW191="ac"+ISNUMBER(SEARCH("'",DB191))+DA191="","", IF(ISNUMBER(SEARCH("lw",DB191)), CO191 + SUBSTITUTE(DB191,"lw+",""), MROUND(SWITCH(CW191,"sq",DA$7,"bn",DB$7,"dl",DC$7,"")*IF(DB191&gt;10, DB191/100, VLOOKUP(DB191, _rpe,SUBSTITUTE(DA191,"+","")+1,0)), IF( SWITCH(CW191,"sq",DA$7,"bn",DB$7,"dl", DC$7,"")&lt; IF(_uom="lbs", 175, 80), 1.25, IF(_uom="lbs",5,2.5))))), "")</f>
        <v/>
      </c>
      <c r="DD191" s="148"/>
      <c r="DE191" s="33"/>
      <c r="DF191" s="171"/>
      <c r="DG191" s="124" t="str">
        <f>IFERROR(__xludf.DUMMYFUNCTION("IF(DC191=MAX(FILTER(DC$10:DC$199,LOOKUP(ROW(CW$10:CW$199),FILTER(ROW(CW$10:CW$199),CW$10:CW$199&lt;&gt;CW$9:CW$198))=LOOKUP(ROW(CW191),FILTER(ROW(CW$10:CW$199),CW$10:CW$199&lt;&gt;CW$9:CW$198)))),DD191,)"),"")</f>
        <v/>
      </c>
      <c r="DH191" s="122"/>
      <c r="DI191" s="33"/>
      <c r="DJ191" s="143" t="str">
        <f t="shared" si="23"/>
        <v/>
      </c>
      <c r="DK191" s="38" t="str">
        <f>IFERROR(__xludf.DUMMYFUNCTION("""COMPUTED_VALUE"""),"")</f>
        <v/>
      </c>
      <c r="DL191" s="144">
        <v>46167.0</v>
      </c>
      <c r="DM191" s="167" t="str">
        <f t="shared" ref="DM191:DN191" si="443">IF(ISBLANK(CY191),"",CY191)</f>
        <v/>
      </c>
      <c r="DN191" s="168" t="str">
        <f t="shared" si="443"/>
        <v/>
      </c>
      <c r="DO191" s="169" t="str">
        <f t="shared" si="341"/>
        <v/>
      </c>
      <c r="DP191" s="172" t="str">
        <f t="shared" si="342"/>
        <v/>
      </c>
      <c r="DQ191" s="171" t="str">
        <f t="array" ref="DQ191">IFERROR(IF(DK191="ac"+ISNUMBER(SEARCH("'",DP191))+DO191="","", IF(ISNUMBER(SEARCH("lw",DP191)), DC191 + SUBSTITUTE(DP191,"lw+",""), MROUND(SWITCH(DK191,"sq",DO$7,"bn",DP$7,"dl",DQ$7,"")*IF(DP191&gt;10, DP191/100, VLOOKUP(DP191, _rpe,SUBSTITUTE(DO191,"+","")+1,0)), IF( SWITCH(DK191,"sq",DO$7,"bn",DP$7,"dl", DQ$7,"")&lt; IF(_uom="lbs", 175, 80), 1.25, IF(_uom="lbs",5,2.5))))), "")</f>
        <v/>
      </c>
      <c r="DR191" s="148"/>
      <c r="DS191" s="33"/>
      <c r="DT191" s="171"/>
      <c r="DU191" s="124" t="str">
        <f>IFERROR(__xludf.DUMMYFUNCTION("IF(DQ191=MAX(FILTER(DQ$10:DQ$199,LOOKUP(ROW(DK$10:DK$199),FILTER(ROW(DK$10:DK$199),DK$10:DK$199&lt;&gt;DK$9:DK$198))=LOOKUP(ROW(DK191),FILTER(ROW(DK$10:DK$199),DK$10:DK$199&lt;&gt;DK$9:DK$198)))),DR191,)"),"")</f>
        <v/>
      </c>
      <c r="DV191" s="122"/>
      <c r="DW191" s="33"/>
      <c r="DX191" s="143"/>
      <c r="DY191" s="38"/>
      <c r="DZ191" s="144"/>
      <c r="EA191" s="150"/>
      <c r="EB191" s="174"/>
      <c r="EC191" s="175"/>
      <c r="ED191" s="176"/>
      <c r="EE191" s="155"/>
      <c r="EF191" s="148"/>
      <c r="EG191" s="33"/>
      <c r="EH191" s="155"/>
      <c r="EI191" s="148"/>
      <c r="EJ191" s="33"/>
      <c r="EK191" s="33"/>
      <c r="EL191" s="143"/>
      <c r="EM191" s="38"/>
      <c r="EN191" s="144"/>
      <c r="EO191" s="150"/>
      <c r="EP191" s="174"/>
      <c r="EQ191" s="175"/>
      <c r="ER191" s="176"/>
      <c r="ES191" s="155"/>
      <c r="ET191" s="148"/>
      <c r="EU191" s="33"/>
      <c r="EV191" s="155"/>
      <c r="EW191" s="148"/>
      <c r="EX191" s="33"/>
      <c r="EY191" s="33"/>
      <c r="EZ191" s="143"/>
      <c r="FA191" s="38"/>
      <c r="FB191" s="144"/>
      <c r="FC191" s="150"/>
      <c r="FD191" s="174"/>
      <c r="FE191" s="175"/>
      <c r="FF191" s="176"/>
      <c r="FG191" s="155"/>
      <c r="FH191" s="148"/>
      <c r="FI191" s="33"/>
      <c r="FJ191" s="155"/>
      <c r="FK191" s="148"/>
      <c r="FL191" s="33"/>
      <c r="FM191" s="33"/>
      <c r="FN191" s="143"/>
      <c r="FO191" s="38"/>
      <c r="FP191" s="144"/>
      <c r="FQ191" s="150"/>
      <c r="FR191" s="174"/>
      <c r="FS191" s="175"/>
      <c r="FT191" s="176"/>
      <c r="FU191" s="155"/>
      <c r="FV191" s="148"/>
      <c r="FW191" s="33"/>
      <c r="FX191" s="155"/>
      <c r="FY191" s="148"/>
      <c r="FZ191" s="33"/>
      <c r="GA191" s="33"/>
      <c r="GB191" s="143"/>
      <c r="GC191" s="38"/>
      <c r="GD191" s="144"/>
      <c r="GE191" s="150"/>
      <c r="GF191" s="174"/>
      <c r="GG191" s="175"/>
      <c r="GH191" s="176"/>
      <c r="GI191" s="155"/>
      <c r="GJ191" s="148"/>
      <c r="GK191" s="33"/>
      <c r="GL191" s="155"/>
      <c r="GM191" s="148"/>
      <c r="GN191" s="33"/>
      <c r="GO191" s="33"/>
      <c r="GP191" s="143"/>
      <c r="GQ191" s="38"/>
      <c r="GR191" s="144"/>
      <c r="GS191" s="150"/>
      <c r="GT191" s="174"/>
      <c r="GU191" s="175"/>
      <c r="GV191" s="176"/>
      <c r="GW191" s="155"/>
      <c r="GX191" s="148"/>
      <c r="GY191" s="33"/>
      <c r="GZ191" s="155"/>
      <c r="HA191" s="148"/>
      <c r="HB191" s="33"/>
      <c r="HC191" s="33"/>
      <c r="HD191" s="143"/>
      <c r="HE191" s="38"/>
      <c r="HF191" s="144"/>
      <c r="HG191" s="150"/>
      <c r="HH191" s="174"/>
      <c r="HI191" s="175"/>
      <c r="HJ191" s="176"/>
      <c r="HK191" s="155"/>
      <c r="HL191" s="148"/>
      <c r="HM191" s="33"/>
      <c r="HN191" s="155"/>
      <c r="HO191" s="148"/>
      <c r="HP191" s="33"/>
      <c r="HQ191" s="33"/>
      <c r="HR191" s="143"/>
      <c r="HS191" s="38"/>
      <c r="HT191" s="144"/>
      <c r="HU191" s="150"/>
      <c r="HV191" s="174"/>
      <c r="HW191" s="175"/>
      <c r="HX191" s="176"/>
      <c r="HY191" s="155"/>
      <c r="HZ191" s="148"/>
      <c r="IA191" s="33"/>
      <c r="IB191" s="155"/>
      <c r="IC191" s="148"/>
      <c r="ID191" s="33"/>
      <c r="IE191" s="33"/>
      <c r="IF191" s="143"/>
      <c r="IG191" s="38"/>
      <c r="IH191" s="144"/>
      <c r="II191" s="150"/>
      <c r="IJ191" s="174"/>
      <c r="IK191" s="175"/>
      <c r="IL191" s="176"/>
      <c r="IM191" s="155"/>
      <c r="IN191" s="148"/>
      <c r="IO191" s="33"/>
      <c r="IP191" s="155"/>
      <c r="IQ191" s="148"/>
      <c r="IR191" s="33"/>
      <c r="IS191" s="33"/>
      <c r="IT191" s="143"/>
      <c r="IU191" s="38"/>
      <c r="IV191" s="144"/>
      <c r="IW191" s="143"/>
      <c r="IX191" s="38"/>
      <c r="IY191" s="144" t="e">
        <v>#REF!</v>
      </c>
    </row>
    <row r="192">
      <c r="A192" s="33"/>
      <c r="B192" s="181"/>
      <c r="C192" s="38" t="str">
        <f>IFERROR(__xludf.DUMMYFUNCTION("""COMPUTED_VALUE"""),"")</f>
        <v/>
      </c>
      <c r="D192" s="144">
        <v>46111.0</v>
      </c>
      <c r="E192" s="182"/>
      <c r="F192" s="168"/>
      <c r="G192" s="169"/>
      <c r="H192" s="170"/>
      <c r="I192" s="171" t="str">
        <f t="array" ref="I192">IFERROR(IF(C192="ac"+ISNUMBER(SEARCH("'",H192))+G192="","", MROUND(SWITCH(C192,"sq",'Personal Info'!$O$15,"bn",'Personal Info'!$S$15,"dl",'Personal Info'!$W$15,"")*IF(H192&gt;10, H192/100, VLOOKUP(H192, _rpe,SUBSTITUTE(G192,"+","")+1,0)), IF( SWITCH(C192:C210,"sq",'Personal Info'!$O$15,"bn",'Personal Info'!$S$15,"dl", 'Personal Info'!$W$15,"")&lt; IF(_uom="lbs", 175, 80), 1.25, IF(_uom="lbs",5,2.5)))),"")</f>
        <v/>
      </c>
      <c r="J192" s="148"/>
      <c r="K192" s="33"/>
      <c r="L192" s="171"/>
      <c r="M192" s="124" t="str">
        <f>IFERROR(__xludf.DUMMYFUNCTION("IF(I192=MAX(FILTER(I$10:I$199,LOOKUP(ROW(C$10:C$199),FILTER(ROW(C$10:C$199),C$10:C$199&lt;&gt;C$9:C$198))=LOOKUP(ROW(C192),FILTER(ROW(C$10:C$199),C$10:C$199&lt;&gt;C$9:C$198)))),J192,)"),"")</f>
        <v/>
      </c>
      <c r="N192" s="122"/>
      <c r="O192" s="33"/>
      <c r="P192" s="143" t="str">
        <f t="shared" si="12"/>
        <v/>
      </c>
      <c r="Q192" s="38" t="str">
        <f>IFERROR(__xludf.DUMMYFUNCTION("""COMPUTED_VALUE"""),"")</f>
        <v/>
      </c>
      <c r="R192" s="144">
        <v>46118.0</v>
      </c>
      <c r="S192" s="167" t="str">
        <f t="shared" si="13"/>
        <v/>
      </c>
      <c r="T192" s="168" t="str">
        <f t="shared" si="319"/>
        <v/>
      </c>
      <c r="U192" s="169" t="str">
        <f t="shared" si="320"/>
        <v/>
      </c>
      <c r="V192" s="172" t="str">
        <f t="shared" si="321"/>
        <v/>
      </c>
      <c r="W192" s="171" t="str">
        <f t="array" ref="W192">IFERROR(IF(Q192="ac"+ISNUMBER(SEARCH("'",V192))+U192="","", IF(ISNUMBER(SEARCH("lw",V192)), I192 + SUBSTITUTE(V192,"lw+",""), MROUND(SWITCH(Q192,"sq",U$7,"bn",V$7,"dl",W$7,"")*IF(V192&gt;10, V192/100, VLOOKUP(V192, _rpe,SUBSTITUTE(U192,"+","")+1,0)), IF( SWITCH(Q192,"sq",U$7,"bn",V$7,"dl", W$7,"")&lt; IF(_uom="lbs", 175, 80), 1.25, IF(_uom="lbs",5,2.5))))), "")</f>
        <v/>
      </c>
      <c r="X192" s="148"/>
      <c r="Y192" s="33"/>
      <c r="Z192" s="171"/>
      <c r="AA192" s="124" t="str">
        <f>IFERROR(__xludf.DUMMYFUNCTION("IF(W192=MAX(FILTER(W$10:W$199,LOOKUP(ROW(Q$10:Q$199),FILTER(ROW(Q$10:Q$199),Q$10:Q$199&lt;&gt;Q$9:Q$198))=LOOKUP(ROW(Q192),FILTER(ROW(Q$10:Q$199),Q$10:Q$199&lt;&gt;Q$9:Q$198)))),X192,)"),"")</f>
        <v/>
      </c>
      <c r="AB192" s="122"/>
      <c r="AC192" s="33"/>
      <c r="AD192" s="143" t="str">
        <f t="shared" si="14"/>
        <v/>
      </c>
      <c r="AE192" s="38" t="str">
        <f>IFERROR(__xludf.DUMMYFUNCTION("""COMPUTED_VALUE"""),"")</f>
        <v/>
      </c>
      <c r="AF192" s="144">
        <v>46125.0</v>
      </c>
      <c r="AG192" s="167" t="str">
        <f t="shared" si="54"/>
        <v/>
      </c>
      <c r="AH192" s="168" t="str">
        <f t="shared" si="322"/>
        <v/>
      </c>
      <c r="AI192" s="169" t="str">
        <f t="shared" si="323"/>
        <v/>
      </c>
      <c r="AJ192" s="172" t="str">
        <f t="shared" si="324"/>
        <v/>
      </c>
      <c r="AK192" s="171" t="str">
        <f t="array" ref="AK192">IFERROR(IF(AE192="ac"+ISNUMBER(SEARCH("'",AJ192))+AI192="","", IF(ISNUMBER(SEARCH("lw",AJ192)), W192 + SUBSTITUTE(AJ192,"lw+",""), MROUND(SWITCH(AE192,"sq",AI$7,"bn",AJ$7,"dl",AK$7,"")*IF(AJ192&gt;10, AJ192/100, VLOOKUP(AJ192, _rpe,SUBSTITUTE(AI192,"+","")+1,0)), IF( SWITCH(AE192,"sq",AI$7,"bn",AJ$7,"dl", AK$7,"")&lt; IF(_uom="lbs", 175, 80), 1.25, IF(_uom="lbs",5,2.5))))), "")</f>
        <v/>
      </c>
      <c r="AL192" s="148"/>
      <c r="AM192" s="33"/>
      <c r="AN192" s="171"/>
      <c r="AO192" s="124" t="str">
        <f>IFERROR(__xludf.DUMMYFUNCTION("IF(AK192=MAX(FILTER(AK$10:AK$199,LOOKUP(ROW(AE$10:AE$199),FILTER(ROW(AE$10:AE$199),AE$10:AE$199&lt;&gt;AE$9:AE$198))=LOOKUP(ROW(AE192),FILTER(ROW(AE$10:AE$199),AE$10:AE$199&lt;&gt;AE$9:AE$198)))),AL192,)"),"")</f>
        <v/>
      </c>
      <c r="AP192" s="122"/>
      <c r="AQ192" s="33"/>
      <c r="AR192" s="143" t="str">
        <f t="shared" si="16"/>
        <v/>
      </c>
      <c r="AS192" s="38" t="str">
        <f>IFERROR(__xludf.DUMMYFUNCTION("""COMPUTED_VALUE"""),"")</f>
        <v/>
      </c>
      <c r="AT192" s="144">
        <v>46132.0</v>
      </c>
      <c r="AU192" s="167" t="str">
        <f t="shared" si="26"/>
        <v/>
      </c>
      <c r="AV192" s="168" t="str">
        <f t="shared" si="325"/>
        <v/>
      </c>
      <c r="AW192" s="169" t="str">
        <f t="shared" si="326"/>
        <v/>
      </c>
      <c r="AX192" s="172" t="str">
        <f t="shared" si="327"/>
        <v/>
      </c>
      <c r="AY192" s="171" t="str">
        <f t="array" ref="AY192">IFERROR(IF(AS192="ac"+ISNUMBER(SEARCH("'",AX192))+AW192="","", IF(ISNUMBER(SEARCH("lw",AX192)), AK192 + SUBSTITUTE(AX192,"lw+",""), MROUND(SWITCH(AS192,"sq",AW$7,"bn",AX$7,"dl",AY$7,"")*IF(AX192&gt;10, AX192/100, VLOOKUP(AX192, _rpe,SUBSTITUTE(AW192,"+","")+1,0)), IF( SWITCH(AS192,"sq",AW$7,"bn",AX$7,"dl", AY$7,"")&lt; IF(_uom="lbs", 175, 80), 1.25, IF(_uom="lbs",5,2.5))))), "")</f>
        <v/>
      </c>
      <c r="AZ192" s="148"/>
      <c r="BA192" s="33"/>
      <c r="BB192" s="171"/>
      <c r="BC192" s="124" t="str">
        <f>IFERROR(__xludf.DUMMYFUNCTION("IF(AY192=MAX(FILTER(AY$10:AY$199,LOOKUP(ROW(AS$10:AS$199),FILTER(ROW(AS$10:AS$199),AS$10:AS$199&lt;&gt;AS$9:AS$198))=LOOKUP(ROW(AS192),FILTER(ROW(AS$10:AS$199),AS$10:AS$199&lt;&gt;AS$9:AS$198)))),AZ192,)"),"")</f>
        <v/>
      </c>
      <c r="BD192" s="122"/>
      <c r="BE192" s="33"/>
      <c r="BF192" s="143" t="str">
        <f t="shared" si="17"/>
        <v/>
      </c>
      <c r="BG192" s="38" t="str">
        <f>IFERROR(__xludf.DUMMYFUNCTION("""COMPUTED_VALUE"""),"")</f>
        <v/>
      </c>
      <c r="BH192" s="144">
        <v>46139.0</v>
      </c>
      <c r="BI192" s="167" t="str">
        <f t="shared" si="18"/>
        <v/>
      </c>
      <c r="BJ192" s="168" t="str">
        <f t="shared" si="328"/>
        <v/>
      </c>
      <c r="BK192" s="169" t="str">
        <f t="shared" si="329"/>
        <v/>
      </c>
      <c r="BL192" s="172" t="str">
        <f t="shared" si="330"/>
        <v/>
      </c>
      <c r="BM192" s="171" t="str">
        <f t="array" ref="BM192">IFERROR(IF(BG192="ac"+ISNUMBER(SEARCH("'",BL192))+BK192="","", IF(ISNUMBER(SEARCH("lw",BL192)), AY192 + SUBSTITUTE(BL192,"lw+",""), MROUND(SWITCH(BG192,"sq",BK$7,"bn",BL$7,"dl",BM$7,"")*IF(BL192&gt;10, BL192/100, VLOOKUP(BL192, _rpe,SUBSTITUTE(BK192,"+","")+1,0)), IF( SWITCH(BG192,"sq",BK$7,"bn",BL$7,"dl", BM$7,"")&lt; IF(_uom="lbs", 175, 80), 1.25, IF(_uom="lbs",5,2.5))))), "")</f>
        <v/>
      </c>
      <c r="BN192" s="148"/>
      <c r="BO192" s="33"/>
      <c r="BP192" s="171"/>
      <c r="BQ192" s="124" t="str">
        <f>IFERROR(__xludf.DUMMYFUNCTION("IF(BM192=MAX(FILTER(BM$10:BM$199,LOOKUP(ROW(BG$10:BG$199),FILTER(ROW(BG$10:BG$199),BG$10:BG$199&lt;&gt;BG$9:BG$198))=LOOKUP(ROW(BG192),FILTER(ROW(BG$10:BG$199),BG$10:BG$199&lt;&gt;BG$9:BG$198)))),BN192,)"),"")</f>
        <v/>
      </c>
      <c r="BR192" s="122"/>
      <c r="BS192" s="33"/>
      <c r="BT192" s="143" t="str">
        <f t="shared" si="19"/>
        <v/>
      </c>
      <c r="BU192" s="38" t="str">
        <f>IFERROR(__xludf.DUMMYFUNCTION("""COMPUTED_VALUE"""),"")</f>
        <v/>
      </c>
      <c r="BV192" s="144">
        <v>46146.0</v>
      </c>
      <c r="BW192" s="167" t="str">
        <f t="shared" si="20"/>
        <v/>
      </c>
      <c r="BX192" s="168" t="str">
        <f t="shared" si="331"/>
        <v/>
      </c>
      <c r="BY192" s="169" t="str">
        <f t="shared" si="332"/>
        <v/>
      </c>
      <c r="BZ192" s="172" t="str">
        <f t="shared" si="333"/>
        <v/>
      </c>
      <c r="CA192" s="171" t="str">
        <f t="array" ref="CA192">IFERROR(IF(BU192="ac"+ISNUMBER(SEARCH("'",BZ192))+BY192="","", IF(ISNUMBER(SEARCH("lw",BZ192)), BM192 + SUBSTITUTE(BZ192,"lw+",""), MROUND(SWITCH(BU192,"sq",BY$7,"bn",BZ$7,"dl",CA$7,"")*IF(BZ192&gt;10, BZ192/100, VLOOKUP(BZ192, _rpe,SUBSTITUTE(BY192,"+","")+1,0)), IF( SWITCH(BU192,"sq",BY$7,"bn",BZ$7,"dl", CA$7,"")&lt; IF(_uom="lbs", 175, 80), 1.25, IF(_uom="lbs",5,2.5))))), "")</f>
        <v/>
      </c>
      <c r="CB192" s="148"/>
      <c r="CC192" s="33"/>
      <c r="CD192" s="171"/>
      <c r="CE192" s="124" t="str">
        <f>IFERROR(__xludf.DUMMYFUNCTION("IF(CA192=MAX(FILTER(CA$10:CA$199,LOOKUP(ROW(BU$10:BU$199),FILTER(ROW(BU$10:BU$199),BU$10:BU$199&lt;&gt;BU$9:BU$198))=LOOKUP(ROW(BU192),FILTER(ROW(BU$10:BU$199),BU$10:BU$199&lt;&gt;BU$9:BU$198)))),CB192,)"),"")</f>
        <v/>
      </c>
      <c r="CF192" s="122"/>
      <c r="CG192" s="33"/>
      <c r="CH192" s="143" t="str">
        <f t="shared" si="21"/>
        <v/>
      </c>
      <c r="CI192" s="38" t="str">
        <f>IFERROR(__xludf.DUMMYFUNCTION("""COMPUTED_VALUE"""),"")</f>
        <v/>
      </c>
      <c r="CJ192" s="144">
        <v>46153.0</v>
      </c>
      <c r="CK192" s="167" t="str">
        <f t="shared" si="27"/>
        <v/>
      </c>
      <c r="CL192" s="168" t="str">
        <f t="shared" si="334"/>
        <v/>
      </c>
      <c r="CM192" s="169" t="str">
        <f t="shared" si="335"/>
        <v/>
      </c>
      <c r="CN192" s="172" t="str">
        <f t="shared" si="336"/>
        <v/>
      </c>
      <c r="CO192" s="171" t="str">
        <f t="array" ref="CO192">IFERROR(IF(CI192="ac"+ISNUMBER(SEARCH("'",CN192))+CM192="","", IF(ISNUMBER(SEARCH("lw",CN192)), CA192 + SUBSTITUTE(CN192,"lw+",""), MROUND(SWITCH(CI192,"sq",CM$7,"bn",CN$7,"dl",CO$7,"")*IF(CN192&gt;10, CN192/100, VLOOKUP(CN192, _rpe,SUBSTITUTE(CM192,"+","")+1,0)), IF( SWITCH(CI192,"sq",CM$7,"bn",CN$7,"dl", CO$7,"")&lt; IF(_uom="lbs", 175, 80), 1.25, IF(_uom="lbs",5,2.5))))), "")</f>
        <v/>
      </c>
      <c r="CP192" s="148"/>
      <c r="CQ192" s="33"/>
      <c r="CR192" s="171"/>
      <c r="CS192" s="124" t="str">
        <f>IFERROR(__xludf.DUMMYFUNCTION("IF(CO192=MAX(FILTER(CO$10:CO$199,LOOKUP(ROW(CI$10:CI$199),FILTER(ROW(CI$10:CI$199),CI$10:CI$199&lt;&gt;CI$9:CI$198))=LOOKUP(ROW(CI192),FILTER(ROW(CI$10:CI$199),CI$10:CI$199&lt;&gt;CI$9:CI$198)))),CP192,)"),"")</f>
        <v/>
      </c>
      <c r="CT192" s="122"/>
      <c r="CU192" s="33"/>
      <c r="CV192" s="143" t="str">
        <f t="shared" si="22"/>
        <v/>
      </c>
      <c r="CW192" s="38" t="str">
        <f>IFERROR(__xludf.DUMMYFUNCTION("""COMPUTED_VALUE"""),"")</f>
        <v/>
      </c>
      <c r="CX192" s="144">
        <v>46160.0</v>
      </c>
      <c r="CY192" s="167" t="str">
        <f t="shared" si="28"/>
        <v/>
      </c>
      <c r="CZ192" s="168" t="str">
        <f t="shared" si="337"/>
        <v/>
      </c>
      <c r="DA192" s="169" t="str">
        <f t="shared" si="338"/>
        <v/>
      </c>
      <c r="DB192" s="172" t="str">
        <f t="shared" si="339"/>
        <v/>
      </c>
      <c r="DC192" s="171" t="str">
        <f t="array" ref="DC192">IFERROR(IF(CW192="ac"+ISNUMBER(SEARCH("'",DB192))+DA192="","", IF(ISNUMBER(SEARCH("lw",DB192)), CO192 + SUBSTITUTE(DB192,"lw+",""), MROUND(SWITCH(CW192,"sq",DA$7,"bn",DB$7,"dl",DC$7,"")*IF(DB192&gt;10, DB192/100, VLOOKUP(DB192, _rpe,SUBSTITUTE(DA192,"+","")+1,0)), IF( SWITCH(CW192,"sq",DA$7,"bn",DB$7,"dl", DC$7,"")&lt; IF(_uom="lbs", 175, 80), 1.25, IF(_uom="lbs",5,2.5))))), "")</f>
        <v/>
      </c>
      <c r="DD192" s="148"/>
      <c r="DE192" s="33"/>
      <c r="DF192" s="171"/>
      <c r="DG192" s="124" t="str">
        <f>IFERROR(__xludf.DUMMYFUNCTION("IF(DC192=MAX(FILTER(DC$10:DC$199,LOOKUP(ROW(CW$10:CW$199),FILTER(ROW(CW$10:CW$199),CW$10:CW$199&lt;&gt;CW$9:CW$198))=LOOKUP(ROW(CW192),FILTER(ROW(CW$10:CW$199),CW$10:CW$199&lt;&gt;CW$9:CW$198)))),DD192,)"),"")</f>
        <v/>
      </c>
      <c r="DH192" s="122"/>
      <c r="DI192" s="33"/>
      <c r="DJ192" s="143" t="str">
        <f t="shared" si="23"/>
        <v/>
      </c>
      <c r="DK192" s="38" t="str">
        <f>IFERROR(__xludf.DUMMYFUNCTION("""COMPUTED_VALUE"""),"")</f>
        <v/>
      </c>
      <c r="DL192" s="144">
        <v>46167.0</v>
      </c>
      <c r="DM192" s="167" t="str">
        <f t="shared" ref="DM192:DN192" si="444">IF(ISBLANK(CY192),"",CY192)</f>
        <v/>
      </c>
      <c r="DN192" s="168" t="str">
        <f t="shared" si="444"/>
        <v/>
      </c>
      <c r="DO192" s="169" t="str">
        <f t="shared" si="341"/>
        <v/>
      </c>
      <c r="DP192" s="172" t="str">
        <f t="shared" si="342"/>
        <v/>
      </c>
      <c r="DQ192" s="171" t="str">
        <f t="array" ref="DQ192">IFERROR(IF(DK192="ac"+ISNUMBER(SEARCH("'",DP192))+DO192="","", IF(ISNUMBER(SEARCH("lw",DP192)), DC192 + SUBSTITUTE(DP192,"lw+",""), MROUND(SWITCH(DK192,"sq",DO$7,"bn",DP$7,"dl",DQ$7,"")*IF(DP192&gt;10, DP192/100, VLOOKUP(DP192, _rpe,SUBSTITUTE(DO192,"+","")+1,0)), IF( SWITCH(DK192,"sq",DO$7,"bn",DP$7,"dl", DQ$7,"")&lt; IF(_uom="lbs", 175, 80), 1.25, IF(_uom="lbs",5,2.5))))), "")</f>
        <v/>
      </c>
      <c r="DR192" s="148"/>
      <c r="DS192" s="33"/>
      <c r="DT192" s="171"/>
      <c r="DU192" s="124" t="str">
        <f>IFERROR(__xludf.DUMMYFUNCTION("IF(DQ192=MAX(FILTER(DQ$10:DQ$199,LOOKUP(ROW(DK$10:DK$199),FILTER(ROW(DK$10:DK$199),DK$10:DK$199&lt;&gt;DK$9:DK$198))=LOOKUP(ROW(DK192),FILTER(ROW(DK$10:DK$199),DK$10:DK$199&lt;&gt;DK$9:DK$198)))),DR192,)"),"")</f>
        <v/>
      </c>
      <c r="DV192" s="122"/>
      <c r="DW192" s="33"/>
      <c r="DX192" s="143"/>
      <c r="DY192" s="38"/>
      <c r="DZ192" s="144"/>
      <c r="EA192" s="150"/>
      <c r="EB192" s="174"/>
      <c r="EC192" s="175"/>
      <c r="ED192" s="176"/>
      <c r="EE192" s="155"/>
      <c r="EF192" s="148"/>
      <c r="EG192" s="33"/>
      <c r="EH192" s="155"/>
      <c r="EI192" s="148"/>
      <c r="EJ192" s="33"/>
      <c r="EK192" s="33"/>
      <c r="EL192" s="143"/>
      <c r="EM192" s="38"/>
      <c r="EN192" s="144"/>
      <c r="EO192" s="150"/>
      <c r="EP192" s="174"/>
      <c r="EQ192" s="175"/>
      <c r="ER192" s="176"/>
      <c r="ES192" s="155"/>
      <c r="ET192" s="148"/>
      <c r="EU192" s="33"/>
      <c r="EV192" s="155"/>
      <c r="EW192" s="148"/>
      <c r="EX192" s="33"/>
      <c r="EY192" s="33"/>
      <c r="EZ192" s="143"/>
      <c r="FA192" s="38"/>
      <c r="FB192" s="144"/>
      <c r="FC192" s="150"/>
      <c r="FD192" s="174"/>
      <c r="FE192" s="175"/>
      <c r="FF192" s="176"/>
      <c r="FG192" s="155"/>
      <c r="FH192" s="148"/>
      <c r="FI192" s="33"/>
      <c r="FJ192" s="155"/>
      <c r="FK192" s="148"/>
      <c r="FL192" s="33"/>
      <c r="FM192" s="33"/>
      <c r="FN192" s="143"/>
      <c r="FO192" s="38"/>
      <c r="FP192" s="144"/>
      <c r="FQ192" s="150"/>
      <c r="FR192" s="174"/>
      <c r="FS192" s="175"/>
      <c r="FT192" s="176"/>
      <c r="FU192" s="155"/>
      <c r="FV192" s="148"/>
      <c r="FW192" s="33"/>
      <c r="FX192" s="155"/>
      <c r="FY192" s="148"/>
      <c r="FZ192" s="33"/>
      <c r="GA192" s="33"/>
      <c r="GB192" s="143"/>
      <c r="GC192" s="38"/>
      <c r="GD192" s="144"/>
      <c r="GE192" s="150"/>
      <c r="GF192" s="174"/>
      <c r="GG192" s="175"/>
      <c r="GH192" s="176"/>
      <c r="GI192" s="155"/>
      <c r="GJ192" s="148"/>
      <c r="GK192" s="33"/>
      <c r="GL192" s="155"/>
      <c r="GM192" s="148"/>
      <c r="GN192" s="33"/>
      <c r="GO192" s="33"/>
      <c r="GP192" s="143"/>
      <c r="GQ192" s="38"/>
      <c r="GR192" s="144"/>
      <c r="GS192" s="150"/>
      <c r="GT192" s="174"/>
      <c r="GU192" s="175"/>
      <c r="GV192" s="176"/>
      <c r="GW192" s="155"/>
      <c r="GX192" s="148"/>
      <c r="GY192" s="33"/>
      <c r="GZ192" s="155"/>
      <c r="HA192" s="148"/>
      <c r="HB192" s="33"/>
      <c r="HC192" s="33"/>
      <c r="HD192" s="143"/>
      <c r="HE192" s="38"/>
      <c r="HF192" s="144"/>
      <c r="HG192" s="150"/>
      <c r="HH192" s="174"/>
      <c r="HI192" s="175"/>
      <c r="HJ192" s="176"/>
      <c r="HK192" s="155"/>
      <c r="HL192" s="148"/>
      <c r="HM192" s="33"/>
      <c r="HN192" s="155"/>
      <c r="HO192" s="148"/>
      <c r="HP192" s="33"/>
      <c r="HQ192" s="33"/>
      <c r="HR192" s="143"/>
      <c r="HS192" s="38"/>
      <c r="HT192" s="144"/>
      <c r="HU192" s="150"/>
      <c r="HV192" s="174"/>
      <c r="HW192" s="175"/>
      <c r="HX192" s="176"/>
      <c r="HY192" s="155"/>
      <c r="HZ192" s="148"/>
      <c r="IA192" s="33"/>
      <c r="IB192" s="155"/>
      <c r="IC192" s="148"/>
      <c r="ID192" s="33"/>
      <c r="IE192" s="33"/>
      <c r="IF192" s="143"/>
      <c r="IG192" s="38"/>
      <c r="IH192" s="144"/>
      <c r="II192" s="150"/>
      <c r="IJ192" s="174"/>
      <c r="IK192" s="175"/>
      <c r="IL192" s="176"/>
      <c r="IM192" s="155"/>
      <c r="IN192" s="148"/>
      <c r="IO192" s="33"/>
      <c r="IP192" s="155"/>
      <c r="IQ192" s="148"/>
      <c r="IR192" s="33"/>
      <c r="IS192" s="33"/>
      <c r="IT192" s="143"/>
      <c r="IU192" s="38"/>
      <c r="IV192" s="144"/>
      <c r="IW192" s="143"/>
      <c r="IX192" s="38"/>
      <c r="IY192" s="144" t="e">
        <v>#REF!</v>
      </c>
    </row>
    <row r="193">
      <c r="A193" s="33"/>
      <c r="B193" s="181"/>
      <c r="C193" s="38" t="str">
        <f>IFERROR(__xludf.DUMMYFUNCTION("""COMPUTED_VALUE"""),"")</f>
        <v/>
      </c>
      <c r="D193" s="144">
        <v>46111.0</v>
      </c>
      <c r="E193" s="182"/>
      <c r="F193" s="168"/>
      <c r="G193" s="169"/>
      <c r="H193" s="170"/>
      <c r="I193" s="171" t="str">
        <f t="array" ref="I193">IFERROR(IF(C193="ac"+ISNUMBER(SEARCH("'",H193))+G193="","", MROUND(SWITCH(C193,"sq",'Personal Info'!$O$15,"bn",'Personal Info'!$S$15,"dl",'Personal Info'!$W$15,"")*IF(H193&gt;10, H193/100, VLOOKUP(H193, _rpe,SUBSTITUTE(G193,"+","")+1,0)), IF( SWITCH(C193:C210,"sq",'Personal Info'!$O$15,"bn",'Personal Info'!$S$15,"dl", 'Personal Info'!$W$15,"")&lt; IF(_uom="lbs", 175, 80), 1.25, IF(_uom="lbs",5,2.5)))),"")</f>
        <v/>
      </c>
      <c r="J193" s="148"/>
      <c r="K193" s="33"/>
      <c r="L193" s="171"/>
      <c r="M193" s="124" t="str">
        <f>IFERROR(__xludf.DUMMYFUNCTION("IF(I193=MAX(FILTER(I$10:I$199,LOOKUP(ROW(C$10:C$199),FILTER(ROW(C$10:C$199),C$10:C$199&lt;&gt;C$9:C$198))=LOOKUP(ROW(C193),FILTER(ROW(C$10:C$199),C$10:C$199&lt;&gt;C$9:C$198)))),J193,)"),"")</f>
        <v/>
      </c>
      <c r="N193" s="122"/>
      <c r="O193" s="33"/>
      <c r="P193" s="143" t="str">
        <f t="shared" si="12"/>
        <v/>
      </c>
      <c r="Q193" s="38" t="str">
        <f>IFERROR(__xludf.DUMMYFUNCTION("""COMPUTED_VALUE"""),"")</f>
        <v/>
      </c>
      <c r="R193" s="144">
        <v>46118.0</v>
      </c>
      <c r="S193" s="167" t="str">
        <f t="shared" si="13"/>
        <v/>
      </c>
      <c r="T193" s="168" t="str">
        <f t="shared" si="319"/>
        <v/>
      </c>
      <c r="U193" s="169" t="str">
        <f t="shared" si="320"/>
        <v/>
      </c>
      <c r="V193" s="172" t="str">
        <f t="shared" si="321"/>
        <v/>
      </c>
      <c r="W193" s="171" t="str">
        <f t="array" ref="W193">IFERROR(IF(Q193="ac"+ISNUMBER(SEARCH("'",V193))+U193="","", IF(ISNUMBER(SEARCH("lw",V193)), I193 + SUBSTITUTE(V193,"lw+",""), MROUND(SWITCH(Q193,"sq",U$7,"bn",V$7,"dl",W$7,"")*IF(V193&gt;10, V193/100, VLOOKUP(V193, _rpe,SUBSTITUTE(U193,"+","")+1,0)), IF( SWITCH(Q193,"sq",U$7,"bn",V$7,"dl", W$7,"")&lt; IF(_uom="lbs", 175, 80), 1.25, IF(_uom="lbs",5,2.5))))), "")</f>
        <v/>
      </c>
      <c r="X193" s="148"/>
      <c r="Y193" s="33"/>
      <c r="Z193" s="171"/>
      <c r="AA193" s="124" t="str">
        <f>IFERROR(__xludf.DUMMYFUNCTION("IF(W193=MAX(FILTER(W$10:W$199,LOOKUP(ROW(Q$10:Q$199),FILTER(ROW(Q$10:Q$199),Q$10:Q$199&lt;&gt;Q$9:Q$198))=LOOKUP(ROW(Q193),FILTER(ROW(Q$10:Q$199),Q$10:Q$199&lt;&gt;Q$9:Q$198)))),X193,)"),"")</f>
        <v/>
      </c>
      <c r="AB193" s="122"/>
      <c r="AC193" s="33"/>
      <c r="AD193" s="143" t="str">
        <f t="shared" si="14"/>
        <v/>
      </c>
      <c r="AE193" s="38" t="str">
        <f>IFERROR(__xludf.DUMMYFUNCTION("""COMPUTED_VALUE"""),"")</f>
        <v/>
      </c>
      <c r="AF193" s="144">
        <v>46125.0</v>
      </c>
      <c r="AG193" s="167" t="str">
        <f t="shared" si="54"/>
        <v/>
      </c>
      <c r="AH193" s="168" t="str">
        <f t="shared" si="322"/>
        <v/>
      </c>
      <c r="AI193" s="169" t="str">
        <f t="shared" si="323"/>
        <v/>
      </c>
      <c r="AJ193" s="172" t="str">
        <f t="shared" si="324"/>
        <v/>
      </c>
      <c r="AK193" s="171" t="str">
        <f t="array" ref="AK193">IFERROR(IF(AE193="ac"+ISNUMBER(SEARCH("'",AJ193))+AI193="","", IF(ISNUMBER(SEARCH("lw",AJ193)), W193 + SUBSTITUTE(AJ193,"lw+",""), MROUND(SWITCH(AE193,"sq",AI$7,"bn",AJ$7,"dl",AK$7,"")*IF(AJ193&gt;10, AJ193/100, VLOOKUP(AJ193, _rpe,SUBSTITUTE(AI193,"+","")+1,0)), IF( SWITCH(AE193,"sq",AI$7,"bn",AJ$7,"dl", AK$7,"")&lt; IF(_uom="lbs", 175, 80), 1.25, IF(_uom="lbs",5,2.5))))), "")</f>
        <v/>
      </c>
      <c r="AL193" s="148"/>
      <c r="AM193" s="33"/>
      <c r="AN193" s="171"/>
      <c r="AO193" s="124" t="str">
        <f>IFERROR(__xludf.DUMMYFUNCTION("IF(AK193=MAX(FILTER(AK$10:AK$199,LOOKUP(ROW(AE$10:AE$199),FILTER(ROW(AE$10:AE$199),AE$10:AE$199&lt;&gt;AE$9:AE$198))=LOOKUP(ROW(AE193),FILTER(ROW(AE$10:AE$199),AE$10:AE$199&lt;&gt;AE$9:AE$198)))),AL193,)"),"")</f>
        <v/>
      </c>
      <c r="AP193" s="122"/>
      <c r="AQ193" s="33"/>
      <c r="AR193" s="143" t="str">
        <f t="shared" si="16"/>
        <v/>
      </c>
      <c r="AS193" s="38" t="str">
        <f>IFERROR(__xludf.DUMMYFUNCTION("""COMPUTED_VALUE"""),"")</f>
        <v/>
      </c>
      <c r="AT193" s="144">
        <v>46132.0</v>
      </c>
      <c r="AU193" s="167" t="str">
        <f t="shared" si="26"/>
        <v/>
      </c>
      <c r="AV193" s="168" t="str">
        <f t="shared" si="325"/>
        <v/>
      </c>
      <c r="AW193" s="169" t="str">
        <f t="shared" si="326"/>
        <v/>
      </c>
      <c r="AX193" s="172" t="str">
        <f t="shared" si="327"/>
        <v/>
      </c>
      <c r="AY193" s="171" t="str">
        <f t="array" ref="AY193">IFERROR(IF(AS193="ac"+ISNUMBER(SEARCH("'",AX193))+AW193="","", IF(ISNUMBER(SEARCH("lw",AX193)), AK193 + SUBSTITUTE(AX193,"lw+",""), MROUND(SWITCH(AS193,"sq",AW$7,"bn",AX$7,"dl",AY$7,"")*IF(AX193&gt;10, AX193/100, VLOOKUP(AX193, _rpe,SUBSTITUTE(AW193,"+","")+1,0)), IF( SWITCH(AS193,"sq",AW$7,"bn",AX$7,"dl", AY$7,"")&lt; IF(_uom="lbs", 175, 80), 1.25, IF(_uom="lbs",5,2.5))))), "")</f>
        <v/>
      </c>
      <c r="AZ193" s="148"/>
      <c r="BA193" s="33"/>
      <c r="BB193" s="171"/>
      <c r="BC193" s="124" t="str">
        <f>IFERROR(__xludf.DUMMYFUNCTION("IF(AY193=MAX(FILTER(AY$10:AY$199,LOOKUP(ROW(AS$10:AS$199),FILTER(ROW(AS$10:AS$199),AS$10:AS$199&lt;&gt;AS$9:AS$198))=LOOKUP(ROW(AS193),FILTER(ROW(AS$10:AS$199),AS$10:AS$199&lt;&gt;AS$9:AS$198)))),AZ193,)"),"")</f>
        <v/>
      </c>
      <c r="BD193" s="122"/>
      <c r="BE193" s="33"/>
      <c r="BF193" s="143" t="str">
        <f t="shared" si="17"/>
        <v/>
      </c>
      <c r="BG193" s="38" t="str">
        <f>IFERROR(__xludf.DUMMYFUNCTION("""COMPUTED_VALUE"""),"")</f>
        <v/>
      </c>
      <c r="BH193" s="144">
        <v>46139.0</v>
      </c>
      <c r="BI193" s="167" t="str">
        <f t="shared" si="18"/>
        <v/>
      </c>
      <c r="BJ193" s="168" t="str">
        <f t="shared" si="328"/>
        <v/>
      </c>
      <c r="BK193" s="169" t="str">
        <f t="shared" si="329"/>
        <v/>
      </c>
      <c r="BL193" s="172" t="str">
        <f t="shared" si="330"/>
        <v/>
      </c>
      <c r="BM193" s="171" t="str">
        <f t="array" ref="BM193">IFERROR(IF(BG193="ac"+ISNUMBER(SEARCH("'",BL193))+BK193="","", IF(ISNUMBER(SEARCH("lw",BL193)), AY193 + SUBSTITUTE(BL193,"lw+",""), MROUND(SWITCH(BG193,"sq",BK$7,"bn",BL$7,"dl",BM$7,"")*IF(BL193&gt;10, BL193/100, VLOOKUP(BL193, _rpe,SUBSTITUTE(BK193,"+","")+1,0)), IF( SWITCH(BG193,"sq",BK$7,"bn",BL$7,"dl", BM$7,"")&lt; IF(_uom="lbs", 175, 80), 1.25, IF(_uom="lbs",5,2.5))))), "")</f>
        <v/>
      </c>
      <c r="BN193" s="148"/>
      <c r="BO193" s="33"/>
      <c r="BP193" s="171"/>
      <c r="BQ193" s="124" t="str">
        <f>IFERROR(__xludf.DUMMYFUNCTION("IF(BM193=MAX(FILTER(BM$10:BM$199,LOOKUP(ROW(BG$10:BG$199),FILTER(ROW(BG$10:BG$199),BG$10:BG$199&lt;&gt;BG$9:BG$198))=LOOKUP(ROW(BG193),FILTER(ROW(BG$10:BG$199),BG$10:BG$199&lt;&gt;BG$9:BG$198)))),BN193,)"),"")</f>
        <v/>
      </c>
      <c r="BR193" s="122"/>
      <c r="BS193" s="33"/>
      <c r="BT193" s="143" t="str">
        <f t="shared" si="19"/>
        <v/>
      </c>
      <c r="BU193" s="38" t="str">
        <f>IFERROR(__xludf.DUMMYFUNCTION("""COMPUTED_VALUE"""),"")</f>
        <v/>
      </c>
      <c r="BV193" s="144">
        <v>46146.0</v>
      </c>
      <c r="BW193" s="167" t="str">
        <f t="shared" si="20"/>
        <v/>
      </c>
      <c r="BX193" s="168" t="str">
        <f t="shared" si="331"/>
        <v/>
      </c>
      <c r="BY193" s="169" t="str">
        <f t="shared" si="332"/>
        <v/>
      </c>
      <c r="BZ193" s="172" t="str">
        <f t="shared" si="333"/>
        <v/>
      </c>
      <c r="CA193" s="171" t="str">
        <f t="array" ref="CA193">IFERROR(IF(BU193="ac"+ISNUMBER(SEARCH("'",BZ193))+BY193="","", IF(ISNUMBER(SEARCH("lw",BZ193)), BM193 + SUBSTITUTE(BZ193,"lw+",""), MROUND(SWITCH(BU193,"sq",BY$7,"bn",BZ$7,"dl",CA$7,"")*IF(BZ193&gt;10, BZ193/100, VLOOKUP(BZ193, _rpe,SUBSTITUTE(BY193,"+","")+1,0)), IF( SWITCH(BU193,"sq",BY$7,"bn",BZ$7,"dl", CA$7,"")&lt; IF(_uom="lbs", 175, 80), 1.25, IF(_uom="lbs",5,2.5))))), "")</f>
        <v/>
      </c>
      <c r="CB193" s="148"/>
      <c r="CC193" s="33"/>
      <c r="CD193" s="171"/>
      <c r="CE193" s="124" t="str">
        <f>IFERROR(__xludf.DUMMYFUNCTION("IF(CA193=MAX(FILTER(CA$10:CA$199,LOOKUP(ROW(BU$10:BU$199),FILTER(ROW(BU$10:BU$199),BU$10:BU$199&lt;&gt;BU$9:BU$198))=LOOKUP(ROW(BU193),FILTER(ROW(BU$10:BU$199),BU$10:BU$199&lt;&gt;BU$9:BU$198)))),CB193,)"),"")</f>
        <v/>
      </c>
      <c r="CF193" s="122"/>
      <c r="CG193" s="33"/>
      <c r="CH193" s="143" t="str">
        <f t="shared" si="21"/>
        <v/>
      </c>
      <c r="CI193" s="38" t="str">
        <f>IFERROR(__xludf.DUMMYFUNCTION("""COMPUTED_VALUE"""),"")</f>
        <v/>
      </c>
      <c r="CJ193" s="144">
        <v>46153.0</v>
      </c>
      <c r="CK193" s="167" t="str">
        <f t="shared" si="27"/>
        <v/>
      </c>
      <c r="CL193" s="168" t="str">
        <f t="shared" si="334"/>
        <v/>
      </c>
      <c r="CM193" s="169" t="str">
        <f t="shared" si="335"/>
        <v/>
      </c>
      <c r="CN193" s="172" t="str">
        <f t="shared" si="336"/>
        <v/>
      </c>
      <c r="CO193" s="171" t="str">
        <f t="array" ref="CO193">IFERROR(IF(CI193="ac"+ISNUMBER(SEARCH("'",CN193))+CM193="","", IF(ISNUMBER(SEARCH("lw",CN193)), CA193 + SUBSTITUTE(CN193,"lw+",""), MROUND(SWITCH(CI193,"sq",CM$7,"bn",CN$7,"dl",CO$7,"")*IF(CN193&gt;10, CN193/100, VLOOKUP(CN193, _rpe,SUBSTITUTE(CM193,"+","")+1,0)), IF( SWITCH(CI193,"sq",CM$7,"bn",CN$7,"dl", CO$7,"")&lt; IF(_uom="lbs", 175, 80), 1.25, IF(_uom="lbs",5,2.5))))), "")</f>
        <v/>
      </c>
      <c r="CP193" s="148"/>
      <c r="CQ193" s="33"/>
      <c r="CR193" s="171"/>
      <c r="CS193" s="124" t="str">
        <f>IFERROR(__xludf.DUMMYFUNCTION("IF(CO193=MAX(FILTER(CO$10:CO$199,LOOKUP(ROW(CI$10:CI$199),FILTER(ROW(CI$10:CI$199),CI$10:CI$199&lt;&gt;CI$9:CI$198))=LOOKUP(ROW(CI193),FILTER(ROW(CI$10:CI$199),CI$10:CI$199&lt;&gt;CI$9:CI$198)))),CP193,)"),"")</f>
        <v/>
      </c>
      <c r="CT193" s="122"/>
      <c r="CU193" s="33"/>
      <c r="CV193" s="143" t="str">
        <f t="shared" si="22"/>
        <v/>
      </c>
      <c r="CW193" s="38" t="str">
        <f>IFERROR(__xludf.DUMMYFUNCTION("""COMPUTED_VALUE"""),"")</f>
        <v/>
      </c>
      <c r="CX193" s="144">
        <v>46160.0</v>
      </c>
      <c r="CY193" s="167" t="str">
        <f t="shared" si="28"/>
        <v/>
      </c>
      <c r="CZ193" s="168" t="str">
        <f t="shared" si="337"/>
        <v/>
      </c>
      <c r="DA193" s="169" t="str">
        <f t="shared" si="338"/>
        <v/>
      </c>
      <c r="DB193" s="172" t="str">
        <f t="shared" si="339"/>
        <v/>
      </c>
      <c r="DC193" s="171" t="str">
        <f t="array" ref="DC193">IFERROR(IF(CW193="ac"+ISNUMBER(SEARCH("'",DB193))+DA193="","", IF(ISNUMBER(SEARCH("lw",DB193)), CO193 + SUBSTITUTE(DB193,"lw+",""), MROUND(SWITCH(CW193,"sq",DA$7,"bn",DB$7,"dl",DC$7,"")*IF(DB193&gt;10, DB193/100, VLOOKUP(DB193, _rpe,SUBSTITUTE(DA193,"+","")+1,0)), IF( SWITCH(CW193,"sq",DA$7,"bn",DB$7,"dl", DC$7,"")&lt; IF(_uom="lbs", 175, 80), 1.25, IF(_uom="lbs",5,2.5))))), "")</f>
        <v/>
      </c>
      <c r="DD193" s="148"/>
      <c r="DE193" s="33"/>
      <c r="DF193" s="171"/>
      <c r="DG193" s="124" t="str">
        <f>IFERROR(__xludf.DUMMYFUNCTION("IF(DC193=MAX(FILTER(DC$10:DC$199,LOOKUP(ROW(CW$10:CW$199),FILTER(ROW(CW$10:CW$199),CW$10:CW$199&lt;&gt;CW$9:CW$198))=LOOKUP(ROW(CW193),FILTER(ROW(CW$10:CW$199),CW$10:CW$199&lt;&gt;CW$9:CW$198)))),DD193,)"),"")</f>
        <v/>
      </c>
      <c r="DH193" s="122"/>
      <c r="DI193" s="33"/>
      <c r="DJ193" s="143" t="str">
        <f t="shared" si="23"/>
        <v/>
      </c>
      <c r="DK193" s="38" t="str">
        <f>IFERROR(__xludf.DUMMYFUNCTION("""COMPUTED_VALUE"""),"")</f>
        <v/>
      </c>
      <c r="DL193" s="144">
        <v>46167.0</v>
      </c>
      <c r="DM193" s="167" t="str">
        <f t="shared" ref="DM193:DN193" si="445">IF(ISBLANK(CY193),"",CY193)</f>
        <v/>
      </c>
      <c r="DN193" s="168" t="str">
        <f t="shared" si="445"/>
        <v/>
      </c>
      <c r="DO193" s="169" t="str">
        <f t="shared" si="341"/>
        <v/>
      </c>
      <c r="DP193" s="172" t="str">
        <f t="shared" si="342"/>
        <v/>
      </c>
      <c r="DQ193" s="171" t="str">
        <f t="array" ref="DQ193">IFERROR(IF(DK193="ac"+ISNUMBER(SEARCH("'",DP193))+DO193="","", IF(ISNUMBER(SEARCH("lw",DP193)), DC193 + SUBSTITUTE(DP193,"lw+",""), MROUND(SWITCH(DK193,"sq",DO$7,"bn",DP$7,"dl",DQ$7,"")*IF(DP193&gt;10, DP193/100, VLOOKUP(DP193, _rpe,SUBSTITUTE(DO193,"+","")+1,0)), IF( SWITCH(DK193,"sq",DO$7,"bn",DP$7,"dl", DQ$7,"")&lt; IF(_uom="lbs", 175, 80), 1.25, IF(_uom="lbs",5,2.5))))), "")</f>
        <v/>
      </c>
      <c r="DR193" s="148"/>
      <c r="DS193" s="33"/>
      <c r="DT193" s="171"/>
      <c r="DU193" s="124" t="str">
        <f>IFERROR(__xludf.DUMMYFUNCTION("IF(DQ193=MAX(FILTER(DQ$10:DQ$199,LOOKUP(ROW(DK$10:DK$199),FILTER(ROW(DK$10:DK$199),DK$10:DK$199&lt;&gt;DK$9:DK$198))=LOOKUP(ROW(DK193),FILTER(ROW(DK$10:DK$199),DK$10:DK$199&lt;&gt;DK$9:DK$198)))),DR193,)"),"")</f>
        <v/>
      </c>
      <c r="DV193" s="122"/>
      <c r="DW193" s="33"/>
      <c r="DX193" s="143"/>
      <c r="DY193" s="38"/>
      <c r="DZ193" s="144"/>
      <c r="EA193" s="150"/>
      <c r="EB193" s="174"/>
      <c r="EC193" s="175"/>
      <c r="ED193" s="176"/>
      <c r="EE193" s="155"/>
      <c r="EF193" s="148"/>
      <c r="EG193" s="33"/>
      <c r="EH193" s="155"/>
      <c r="EI193" s="148"/>
      <c r="EJ193" s="33"/>
      <c r="EK193" s="33"/>
      <c r="EL193" s="143"/>
      <c r="EM193" s="38"/>
      <c r="EN193" s="144"/>
      <c r="EO193" s="150"/>
      <c r="EP193" s="174"/>
      <c r="EQ193" s="175"/>
      <c r="ER193" s="176"/>
      <c r="ES193" s="155"/>
      <c r="ET193" s="148"/>
      <c r="EU193" s="33"/>
      <c r="EV193" s="155"/>
      <c r="EW193" s="148"/>
      <c r="EX193" s="33"/>
      <c r="EY193" s="33"/>
      <c r="EZ193" s="143"/>
      <c r="FA193" s="38"/>
      <c r="FB193" s="144"/>
      <c r="FC193" s="150"/>
      <c r="FD193" s="174"/>
      <c r="FE193" s="175"/>
      <c r="FF193" s="176"/>
      <c r="FG193" s="155"/>
      <c r="FH193" s="148"/>
      <c r="FI193" s="33"/>
      <c r="FJ193" s="155"/>
      <c r="FK193" s="148"/>
      <c r="FL193" s="33"/>
      <c r="FM193" s="33"/>
      <c r="FN193" s="143"/>
      <c r="FO193" s="38"/>
      <c r="FP193" s="144"/>
      <c r="FQ193" s="150"/>
      <c r="FR193" s="174"/>
      <c r="FS193" s="175"/>
      <c r="FT193" s="176"/>
      <c r="FU193" s="155"/>
      <c r="FV193" s="148"/>
      <c r="FW193" s="33"/>
      <c r="FX193" s="155"/>
      <c r="FY193" s="148"/>
      <c r="FZ193" s="33"/>
      <c r="GA193" s="33"/>
      <c r="GB193" s="143"/>
      <c r="GC193" s="38"/>
      <c r="GD193" s="144"/>
      <c r="GE193" s="150"/>
      <c r="GF193" s="174"/>
      <c r="GG193" s="175"/>
      <c r="GH193" s="176"/>
      <c r="GI193" s="155"/>
      <c r="GJ193" s="148"/>
      <c r="GK193" s="33"/>
      <c r="GL193" s="155"/>
      <c r="GM193" s="148"/>
      <c r="GN193" s="33"/>
      <c r="GO193" s="33"/>
      <c r="GP193" s="143"/>
      <c r="GQ193" s="38"/>
      <c r="GR193" s="144"/>
      <c r="GS193" s="150"/>
      <c r="GT193" s="174"/>
      <c r="GU193" s="175"/>
      <c r="GV193" s="176"/>
      <c r="GW193" s="155"/>
      <c r="GX193" s="148"/>
      <c r="GY193" s="33"/>
      <c r="GZ193" s="155"/>
      <c r="HA193" s="148"/>
      <c r="HB193" s="33"/>
      <c r="HC193" s="33"/>
      <c r="HD193" s="143"/>
      <c r="HE193" s="38"/>
      <c r="HF193" s="144"/>
      <c r="HG193" s="150"/>
      <c r="HH193" s="174"/>
      <c r="HI193" s="175"/>
      <c r="HJ193" s="176"/>
      <c r="HK193" s="155"/>
      <c r="HL193" s="148"/>
      <c r="HM193" s="33"/>
      <c r="HN193" s="155"/>
      <c r="HO193" s="148"/>
      <c r="HP193" s="33"/>
      <c r="HQ193" s="33"/>
      <c r="HR193" s="143"/>
      <c r="HS193" s="38"/>
      <c r="HT193" s="144"/>
      <c r="HU193" s="150"/>
      <c r="HV193" s="174"/>
      <c r="HW193" s="175"/>
      <c r="HX193" s="176"/>
      <c r="HY193" s="155"/>
      <c r="HZ193" s="148"/>
      <c r="IA193" s="33"/>
      <c r="IB193" s="155"/>
      <c r="IC193" s="148"/>
      <c r="ID193" s="33"/>
      <c r="IE193" s="33"/>
      <c r="IF193" s="143"/>
      <c r="IG193" s="38"/>
      <c r="IH193" s="144"/>
      <c r="II193" s="150"/>
      <c r="IJ193" s="174"/>
      <c r="IK193" s="175"/>
      <c r="IL193" s="176"/>
      <c r="IM193" s="155"/>
      <c r="IN193" s="148"/>
      <c r="IO193" s="33"/>
      <c r="IP193" s="155"/>
      <c r="IQ193" s="148"/>
      <c r="IR193" s="33"/>
      <c r="IS193" s="33"/>
      <c r="IT193" s="143"/>
      <c r="IU193" s="38"/>
      <c r="IV193" s="144"/>
      <c r="IW193" s="143"/>
      <c r="IX193" s="38"/>
      <c r="IY193" s="144" t="e">
        <v>#REF!</v>
      </c>
    </row>
    <row r="194">
      <c r="A194" s="33"/>
      <c r="B194" s="181"/>
      <c r="C194" s="38" t="str">
        <f>IFERROR(__xludf.DUMMYFUNCTION("""COMPUTED_VALUE"""),"")</f>
        <v/>
      </c>
      <c r="D194" s="144">
        <v>46111.0</v>
      </c>
      <c r="E194" s="182"/>
      <c r="F194" s="168"/>
      <c r="G194" s="169"/>
      <c r="H194" s="170"/>
      <c r="I194" s="171" t="str">
        <f t="array" ref="I194">IFERROR(IF(C194="ac"+ISNUMBER(SEARCH("'",H194))+G194="","", MROUND(SWITCH(C194,"sq",'Personal Info'!$O$15,"bn",'Personal Info'!$S$15,"dl",'Personal Info'!$W$15,"")*IF(H194&gt;10, H194/100, VLOOKUP(H194, _rpe,SUBSTITUTE(G194,"+","")+1,0)), IF( SWITCH(C194:C210,"sq",'Personal Info'!$O$15,"bn",'Personal Info'!$S$15,"dl", 'Personal Info'!$W$15,"")&lt; IF(_uom="lbs", 175, 80), 1.25, IF(_uom="lbs",5,2.5)))),"")</f>
        <v/>
      </c>
      <c r="J194" s="148"/>
      <c r="K194" s="33"/>
      <c r="L194" s="171"/>
      <c r="M194" s="124" t="str">
        <f>IFERROR(__xludf.DUMMYFUNCTION("IF(I194=MAX(FILTER(I$10:I$199,LOOKUP(ROW(C$10:C$199),FILTER(ROW(C$10:C$199),C$10:C$199&lt;&gt;C$9:C$198))=LOOKUP(ROW(C194),FILTER(ROW(C$10:C$199),C$10:C$199&lt;&gt;C$9:C$198)))),J194,)"),"")</f>
        <v/>
      </c>
      <c r="N194" s="122"/>
      <c r="O194" s="33"/>
      <c r="P194" s="143" t="str">
        <f t="shared" si="12"/>
        <v/>
      </c>
      <c r="Q194" s="38" t="str">
        <f>IFERROR(__xludf.DUMMYFUNCTION("""COMPUTED_VALUE"""),"")</f>
        <v/>
      </c>
      <c r="R194" s="144">
        <v>46118.0</v>
      </c>
      <c r="S194" s="167" t="str">
        <f t="shared" si="13"/>
        <v/>
      </c>
      <c r="T194" s="168" t="str">
        <f t="shared" si="319"/>
        <v/>
      </c>
      <c r="U194" s="169" t="str">
        <f t="shared" si="320"/>
        <v/>
      </c>
      <c r="V194" s="172" t="str">
        <f t="shared" si="321"/>
        <v/>
      </c>
      <c r="W194" s="171" t="str">
        <f t="array" ref="W194">IFERROR(IF(Q194="ac"+ISNUMBER(SEARCH("'",V194))+U194="","", IF(ISNUMBER(SEARCH("lw",V194)), I194 + SUBSTITUTE(V194,"lw+",""), MROUND(SWITCH(Q194,"sq",U$7,"bn",V$7,"dl",W$7,"")*IF(V194&gt;10, V194/100, VLOOKUP(V194, _rpe,SUBSTITUTE(U194,"+","")+1,0)), IF( SWITCH(Q194,"sq",U$7,"bn",V$7,"dl", W$7,"")&lt; IF(_uom="lbs", 175, 80), 1.25, IF(_uom="lbs",5,2.5))))), "")</f>
        <v/>
      </c>
      <c r="X194" s="148"/>
      <c r="Y194" s="33"/>
      <c r="Z194" s="171"/>
      <c r="AA194" s="124" t="str">
        <f>IFERROR(__xludf.DUMMYFUNCTION("IF(W194=MAX(FILTER(W$10:W$199,LOOKUP(ROW(Q$10:Q$199),FILTER(ROW(Q$10:Q$199),Q$10:Q$199&lt;&gt;Q$9:Q$198))=LOOKUP(ROW(Q194),FILTER(ROW(Q$10:Q$199),Q$10:Q$199&lt;&gt;Q$9:Q$198)))),X194,)"),"")</f>
        <v/>
      </c>
      <c r="AB194" s="122"/>
      <c r="AC194" s="33"/>
      <c r="AD194" s="143" t="str">
        <f t="shared" si="14"/>
        <v/>
      </c>
      <c r="AE194" s="38" t="str">
        <f>IFERROR(__xludf.DUMMYFUNCTION("""COMPUTED_VALUE"""),"")</f>
        <v/>
      </c>
      <c r="AF194" s="144">
        <v>46125.0</v>
      </c>
      <c r="AG194" s="167" t="str">
        <f t="shared" si="54"/>
        <v/>
      </c>
      <c r="AH194" s="168" t="str">
        <f t="shared" si="322"/>
        <v/>
      </c>
      <c r="AI194" s="169" t="str">
        <f t="shared" si="323"/>
        <v/>
      </c>
      <c r="AJ194" s="172" t="str">
        <f t="shared" si="324"/>
        <v/>
      </c>
      <c r="AK194" s="171" t="str">
        <f t="array" ref="AK194">IFERROR(IF(AE194="ac"+ISNUMBER(SEARCH("'",AJ194))+AI194="","", IF(ISNUMBER(SEARCH("lw",AJ194)), W194 + SUBSTITUTE(AJ194,"lw+",""), MROUND(SWITCH(AE194,"sq",AI$7,"bn",AJ$7,"dl",AK$7,"")*IF(AJ194&gt;10, AJ194/100, VLOOKUP(AJ194, _rpe,SUBSTITUTE(AI194,"+","")+1,0)), IF( SWITCH(AE194,"sq",AI$7,"bn",AJ$7,"dl", AK$7,"")&lt; IF(_uom="lbs", 175, 80), 1.25, IF(_uom="lbs",5,2.5))))), "")</f>
        <v/>
      </c>
      <c r="AL194" s="148"/>
      <c r="AM194" s="33"/>
      <c r="AN194" s="171"/>
      <c r="AO194" s="124" t="str">
        <f>IFERROR(__xludf.DUMMYFUNCTION("IF(AK194=MAX(FILTER(AK$10:AK$199,LOOKUP(ROW(AE$10:AE$199),FILTER(ROW(AE$10:AE$199),AE$10:AE$199&lt;&gt;AE$9:AE$198))=LOOKUP(ROW(AE194),FILTER(ROW(AE$10:AE$199),AE$10:AE$199&lt;&gt;AE$9:AE$198)))),AL194,)"),"")</f>
        <v/>
      </c>
      <c r="AP194" s="122"/>
      <c r="AQ194" s="33"/>
      <c r="AR194" s="143" t="str">
        <f t="shared" si="16"/>
        <v/>
      </c>
      <c r="AS194" s="38" t="str">
        <f>IFERROR(__xludf.DUMMYFUNCTION("""COMPUTED_VALUE"""),"")</f>
        <v/>
      </c>
      <c r="AT194" s="144">
        <v>46132.0</v>
      </c>
      <c r="AU194" s="167" t="str">
        <f t="shared" si="26"/>
        <v/>
      </c>
      <c r="AV194" s="168" t="str">
        <f t="shared" si="325"/>
        <v/>
      </c>
      <c r="AW194" s="169" t="str">
        <f t="shared" si="326"/>
        <v/>
      </c>
      <c r="AX194" s="172" t="str">
        <f t="shared" si="327"/>
        <v/>
      </c>
      <c r="AY194" s="171" t="str">
        <f t="array" ref="AY194">IFERROR(IF(AS194="ac"+ISNUMBER(SEARCH("'",AX194))+AW194="","", IF(ISNUMBER(SEARCH("lw",AX194)), AK194 + SUBSTITUTE(AX194,"lw+",""), MROUND(SWITCH(AS194,"sq",AW$7,"bn",AX$7,"dl",AY$7,"")*IF(AX194&gt;10, AX194/100, VLOOKUP(AX194, _rpe,SUBSTITUTE(AW194,"+","")+1,0)), IF( SWITCH(AS194,"sq",AW$7,"bn",AX$7,"dl", AY$7,"")&lt; IF(_uom="lbs", 175, 80), 1.25, IF(_uom="lbs",5,2.5))))), "")</f>
        <v/>
      </c>
      <c r="AZ194" s="148"/>
      <c r="BA194" s="33"/>
      <c r="BB194" s="171"/>
      <c r="BC194" s="124" t="str">
        <f>IFERROR(__xludf.DUMMYFUNCTION("IF(AY194=MAX(FILTER(AY$10:AY$199,LOOKUP(ROW(AS$10:AS$199),FILTER(ROW(AS$10:AS$199),AS$10:AS$199&lt;&gt;AS$9:AS$198))=LOOKUP(ROW(AS194),FILTER(ROW(AS$10:AS$199),AS$10:AS$199&lt;&gt;AS$9:AS$198)))),AZ194,)"),"")</f>
        <v/>
      </c>
      <c r="BD194" s="122"/>
      <c r="BE194" s="33"/>
      <c r="BF194" s="143" t="str">
        <f t="shared" si="17"/>
        <v/>
      </c>
      <c r="BG194" s="38" t="str">
        <f>IFERROR(__xludf.DUMMYFUNCTION("""COMPUTED_VALUE"""),"")</f>
        <v/>
      </c>
      <c r="BH194" s="144">
        <v>46139.0</v>
      </c>
      <c r="BI194" s="167" t="str">
        <f t="shared" si="18"/>
        <v/>
      </c>
      <c r="BJ194" s="168" t="str">
        <f t="shared" si="328"/>
        <v/>
      </c>
      <c r="BK194" s="169" t="str">
        <f t="shared" si="329"/>
        <v/>
      </c>
      <c r="BL194" s="172" t="str">
        <f t="shared" si="330"/>
        <v/>
      </c>
      <c r="BM194" s="171" t="str">
        <f t="array" ref="BM194">IFERROR(IF(BG194="ac"+ISNUMBER(SEARCH("'",BL194))+BK194="","", IF(ISNUMBER(SEARCH("lw",BL194)), AY194 + SUBSTITUTE(BL194,"lw+",""), MROUND(SWITCH(BG194,"sq",BK$7,"bn",BL$7,"dl",BM$7,"")*IF(BL194&gt;10, BL194/100, VLOOKUP(BL194, _rpe,SUBSTITUTE(BK194,"+","")+1,0)), IF( SWITCH(BG194,"sq",BK$7,"bn",BL$7,"dl", BM$7,"")&lt; IF(_uom="lbs", 175, 80), 1.25, IF(_uom="lbs",5,2.5))))), "")</f>
        <v/>
      </c>
      <c r="BN194" s="148"/>
      <c r="BO194" s="33"/>
      <c r="BP194" s="171"/>
      <c r="BQ194" s="124" t="str">
        <f>IFERROR(__xludf.DUMMYFUNCTION("IF(BM194=MAX(FILTER(BM$10:BM$199,LOOKUP(ROW(BG$10:BG$199),FILTER(ROW(BG$10:BG$199),BG$10:BG$199&lt;&gt;BG$9:BG$198))=LOOKUP(ROW(BG194),FILTER(ROW(BG$10:BG$199),BG$10:BG$199&lt;&gt;BG$9:BG$198)))),BN194,)"),"")</f>
        <v/>
      </c>
      <c r="BR194" s="122"/>
      <c r="BS194" s="33"/>
      <c r="BT194" s="143" t="str">
        <f t="shared" si="19"/>
        <v/>
      </c>
      <c r="BU194" s="38" t="str">
        <f>IFERROR(__xludf.DUMMYFUNCTION("""COMPUTED_VALUE"""),"")</f>
        <v/>
      </c>
      <c r="BV194" s="144">
        <v>46146.0</v>
      </c>
      <c r="BW194" s="167" t="str">
        <f t="shared" si="20"/>
        <v/>
      </c>
      <c r="BX194" s="168" t="str">
        <f t="shared" si="331"/>
        <v/>
      </c>
      <c r="BY194" s="169" t="str">
        <f t="shared" si="332"/>
        <v/>
      </c>
      <c r="BZ194" s="172" t="str">
        <f t="shared" si="333"/>
        <v/>
      </c>
      <c r="CA194" s="171" t="str">
        <f t="array" ref="CA194">IFERROR(IF(BU194="ac"+ISNUMBER(SEARCH("'",BZ194))+BY194="","", IF(ISNUMBER(SEARCH("lw",BZ194)), BM194 + SUBSTITUTE(BZ194,"lw+",""), MROUND(SWITCH(BU194,"sq",BY$7,"bn",BZ$7,"dl",CA$7,"")*IF(BZ194&gt;10, BZ194/100, VLOOKUP(BZ194, _rpe,SUBSTITUTE(BY194,"+","")+1,0)), IF( SWITCH(BU194,"sq",BY$7,"bn",BZ$7,"dl", CA$7,"")&lt; IF(_uom="lbs", 175, 80), 1.25, IF(_uom="lbs",5,2.5))))), "")</f>
        <v/>
      </c>
      <c r="CB194" s="148"/>
      <c r="CC194" s="33"/>
      <c r="CD194" s="171"/>
      <c r="CE194" s="124" t="str">
        <f>IFERROR(__xludf.DUMMYFUNCTION("IF(CA194=MAX(FILTER(CA$10:CA$199,LOOKUP(ROW(BU$10:BU$199),FILTER(ROW(BU$10:BU$199),BU$10:BU$199&lt;&gt;BU$9:BU$198))=LOOKUP(ROW(BU194),FILTER(ROW(BU$10:BU$199),BU$10:BU$199&lt;&gt;BU$9:BU$198)))),CB194,)"),"")</f>
        <v/>
      </c>
      <c r="CF194" s="122"/>
      <c r="CG194" s="33"/>
      <c r="CH194" s="143" t="str">
        <f t="shared" si="21"/>
        <v/>
      </c>
      <c r="CI194" s="38" t="str">
        <f>IFERROR(__xludf.DUMMYFUNCTION("""COMPUTED_VALUE"""),"")</f>
        <v/>
      </c>
      <c r="CJ194" s="144">
        <v>46153.0</v>
      </c>
      <c r="CK194" s="167" t="str">
        <f t="shared" si="27"/>
        <v/>
      </c>
      <c r="CL194" s="168" t="str">
        <f t="shared" si="334"/>
        <v/>
      </c>
      <c r="CM194" s="169" t="str">
        <f t="shared" si="335"/>
        <v/>
      </c>
      <c r="CN194" s="172" t="str">
        <f t="shared" si="336"/>
        <v/>
      </c>
      <c r="CO194" s="171" t="str">
        <f t="array" ref="CO194">IFERROR(IF(CI194="ac"+ISNUMBER(SEARCH("'",CN194))+CM194="","", IF(ISNUMBER(SEARCH("lw",CN194)), CA194 + SUBSTITUTE(CN194,"lw+",""), MROUND(SWITCH(CI194,"sq",CM$7,"bn",CN$7,"dl",CO$7,"")*IF(CN194&gt;10, CN194/100, VLOOKUP(CN194, _rpe,SUBSTITUTE(CM194,"+","")+1,0)), IF( SWITCH(CI194,"sq",CM$7,"bn",CN$7,"dl", CO$7,"")&lt; IF(_uom="lbs", 175, 80), 1.25, IF(_uom="lbs",5,2.5))))), "")</f>
        <v/>
      </c>
      <c r="CP194" s="148"/>
      <c r="CQ194" s="33"/>
      <c r="CR194" s="171"/>
      <c r="CS194" s="124" t="str">
        <f>IFERROR(__xludf.DUMMYFUNCTION("IF(CO194=MAX(FILTER(CO$10:CO$199,LOOKUP(ROW(CI$10:CI$199),FILTER(ROW(CI$10:CI$199),CI$10:CI$199&lt;&gt;CI$9:CI$198))=LOOKUP(ROW(CI194),FILTER(ROW(CI$10:CI$199),CI$10:CI$199&lt;&gt;CI$9:CI$198)))),CP194,)"),"")</f>
        <v/>
      </c>
      <c r="CT194" s="122"/>
      <c r="CU194" s="33"/>
      <c r="CV194" s="143" t="str">
        <f t="shared" si="22"/>
        <v/>
      </c>
      <c r="CW194" s="38" t="str">
        <f>IFERROR(__xludf.DUMMYFUNCTION("""COMPUTED_VALUE"""),"")</f>
        <v/>
      </c>
      <c r="CX194" s="144">
        <v>46160.0</v>
      </c>
      <c r="CY194" s="167" t="str">
        <f t="shared" si="28"/>
        <v/>
      </c>
      <c r="CZ194" s="168" t="str">
        <f t="shared" si="337"/>
        <v/>
      </c>
      <c r="DA194" s="169" t="str">
        <f t="shared" si="338"/>
        <v/>
      </c>
      <c r="DB194" s="172" t="str">
        <f t="shared" si="339"/>
        <v/>
      </c>
      <c r="DC194" s="171" t="str">
        <f t="array" ref="DC194">IFERROR(IF(CW194="ac"+ISNUMBER(SEARCH("'",DB194))+DA194="","", IF(ISNUMBER(SEARCH("lw",DB194)), CO194 + SUBSTITUTE(DB194,"lw+",""), MROUND(SWITCH(CW194,"sq",DA$7,"bn",DB$7,"dl",DC$7,"")*IF(DB194&gt;10, DB194/100, VLOOKUP(DB194, _rpe,SUBSTITUTE(DA194,"+","")+1,0)), IF( SWITCH(CW194,"sq",DA$7,"bn",DB$7,"dl", DC$7,"")&lt; IF(_uom="lbs", 175, 80), 1.25, IF(_uom="lbs",5,2.5))))), "")</f>
        <v/>
      </c>
      <c r="DD194" s="148"/>
      <c r="DE194" s="33"/>
      <c r="DF194" s="171"/>
      <c r="DG194" s="124" t="str">
        <f>IFERROR(__xludf.DUMMYFUNCTION("IF(DC194=MAX(FILTER(DC$10:DC$199,LOOKUP(ROW(CW$10:CW$199),FILTER(ROW(CW$10:CW$199),CW$10:CW$199&lt;&gt;CW$9:CW$198))=LOOKUP(ROW(CW194),FILTER(ROW(CW$10:CW$199),CW$10:CW$199&lt;&gt;CW$9:CW$198)))),DD194,)"),"")</f>
        <v/>
      </c>
      <c r="DH194" s="122"/>
      <c r="DI194" s="33"/>
      <c r="DJ194" s="143" t="str">
        <f t="shared" si="23"/>
        <v/>
      </c>
      <c r="DK194" s="38" t="str">
        <f>IFERROR(__xludf.DUMMYFUNCTION("""COMPUTED_VALUE"""),"")</f>
        <v/>
      </c>
      <c r="DL194" s="144">
        <v>46167.0</v>
      </c>
      <c r="DM194" s="167" t="str">
        <f t="shared" ref="DM194:DN194" si="446">IF(ISBLANK(CY194),"",CY194)</f>
        <v/>
      </c>
      <c r="DN194" s="168" t="str">
        <f t="shared" si="446"/>
        <v/>
      </c>
      <c r="DO194" s="169" t="str">
        <f t="shared" si="341"/>
        <v/>
      </c>
      <c r="DP194" s="172" t="str">
        <f t="shared" si="342"/>
        <v/>
      </c>
      <c r="DQ194" s="171" t="str">
        <f t="array" ref="DQ194">IFERROR(IF(DK194="ac"+ISNUMBER(SEARCH("'",DP194))+DO194="","", IF(ISNUMBER(SEARCH("lw",DP194)), DC194 + SUBSTITUTE(DP194,"lw+",""), MROUND(SWITCH(DK194,"sq",DO$7,"bn",DP$7,"dl",DQ$7,"")*IF(DP194&gt;10, DP194/100, VLOOKUP(DP194, _rpe,SUBSTITUTE(DO194,"+","")+1,0)), IF( SWITCH(DK194,"sq",DO$7,"bn",DP$7,"dl", DQ$7,"")&lt; IF(_uom="lbs", 175, 80), 1.25, IF(_uom="lbs",5,2.5))))), "")</f>
        <v/>
      </c>
      <c r="DR194" s="148"/>
      <c r="DS194" s="33"/>
      <c r="DT194" s="171"/>
      <c r="DU194" s="124" t="str">
        <f>IFERROR(__xludf.DUMMYFUNCTION("IF(DQ194=MAX(FILTER(DQ$10:DQ$199,LOOKUP(ROW(DK$10:DK$199),FILTER(ROW(DK$10:DK$199),DK$10:DK$199&lt;&gt;DK$9:DK$198))=LOOKUP(ROW(DK194),FILTER(ROW(DK$10:DK$199),DK$10:DK$199&lt;&gt;DK$9:DK$198)))),DR194,)"),"")</f>
        <v/>
      </c>
      <c r="DV194" s="122"/>
      <c r="DW194" s="33"/>
      <c r="DX194" s="143"/>
      <c r="DY194" s="38"/>
      <c r="DZ194" s="144"/>
      <c r="EA194" s="150"/>
      <c r="EB194" s="174"/>
      <c r="EC194" s="175"/>
      <c r="ED194" s="176"/>
      <c r="EE194" s="155"/>
      <c r="EF194" s="148"/>
      <c r="EG194" s="33"/>
      <c r="EH194" s="155"/>
      <c r="EI194" s="148"/>
      <c r="EJ194" s="33"/>
      <c r="EK194" s="33"/>
      <c r="EL194" s="143"/>
      <c r="EM194" s="38"/>
      <c r="EN194" s="144"/>
      <c r="EO194" s="150"/>
      <c r="EP194" s="174"/>
      <c r="EQ194" s="175"/>
      <c r="ER194" s="176"/>
      <c r="ES194" s="155"/>
      <c r="ET194" s="148"/>
      <c r="EU194" s="33"/>
      <c r="EV194" s="155"/>
      <c r="EW194" s="148"/>
      <c r="EX194" s="33"/>
      <c r="EY194" s="33"/>
      <c r="EZ194" s="143"/>
      <c r="FA194" s="38"/>
      <c r="FB194" s="144"/>
      <c r="FC194" s="150"/>
      <c r="FD194" s="174"/>
      <c r="FE194" s="175"/>
      <c r="FF194" s="176"/>
      <c r="FG194" s="155"/>
      <c r="FH194" s="148"/>
      <c r="FI194" s="33"/>
      <c r="FJ194" s="155"/>
      <c r="FK194" s="148"/>
      <c r="FL194" s="33"/>
      <c r="FM194" s="33"/>
      <c r="FN194" s="143"/>
      <c r="FO194" s="38"/>
      <c r="FP194" s="144"/>
      <c r="FQ194" s="150"/>
      <c r="FR194" s="174"/>
      <c r="FS194" s="175"/>
      <c r="FT194" s="176"/>
      <c r="FU194" s="155"/>
      <c r="FV194" s="148"/>
      <c r="FW194" s="33"/>
      <c r="FX194" s="155"/>
      <c r="FY194" s="148"/>
      <c r="FZ194" s="33"/>
      <c r="GA194" s="33"/>
      <c r="GB194" s="143"/>
      <c r="GC194" s="38"/>
      <c r="GD194" s="144"/>
      <c r="GE194" s="150"/>
      <c r="GF194" s="174"/>
      <c r="GG194" s="175"/>
      <c r="GH194" s="176"/>
      <c r="GI194" s="155"/>
      <c r="GJ194" s="148"/>
      <c r="GK194" s="33"/>
      <c r="GL194" s="155"/>
      <c r="GM194" s="148"/>
      <c r="GN194" s="33"/>
      <c r="GO194" s="33"/>
      <c r="GP194" s="143"/>
      <c r="GQ194" s="38"/>
      <c r="GR194" s="144"/>
      <c r="GS194" s="150"/>
      <c r="GT194" s="174"/>
      <c r="GU194" s="175"/>
      <c r="GV194" s="176"/>
      <c r="GW194" s="155"/>
      <c r="GX194" s="148"/>
      <c r="GY194" s="33"/>
      <c r="GZ194" s="155"/>
      <c r="HA194" s="148"/>
      <c r="HB194" s="33"/>
      <c r="HC194" s="33"/>
      <c r="HD194" s="143"/>
      <c r="HE194" s="38"/>
      <c r="HF194" s="144"/>
      <c r="HG194" s="150"/>
      <c r="HH194" s="174"/>
      <c r="HI194" s="175"/>
      <c r="HJ194" s="176"/>
      <c r="HK194" s="155"/>
      <c r="HL194" s="148"/>
      <c r="HM194" s="33"/>
      <c r="HN194" s="155"/>
      <c r="HO194" s="148"/>
      <c r="HP194" s="33"/>
      <c r="HQ194" s="33"/>
      <c r="HR194" s="143"/>
      <c r="HS194" s="38"/>
      <c r="HT194" s="144"/>
      <c r="HU194" s="150"/>
      <c r="HV194" s="174"/>
      <c r="HW194" s="175"/>
      <c r="HX194" s="176"/>
      <c r="HY194" s="155"/>
      <c r="HZ194" s="148"/>
      <c r="IA194" s="33"/>
      <c r="IB194" s="155"/>
      <c r="IC194" s="148"/>
      <c r="ID194" s="33"/>
      <c r="IE194" s="33"/>
      <c r="IF194" s="143"/>
      <c r="IG194" s="38"/>
      <c r="IH194" s="144"/>
      <c r="II194" s="150"/>
      <c r="IJ194" s="174"/>
      <c r="IK194" s="175"/>
      <c r="IL194" s="176"/>
      <c r="IM194" s="155"/>
      <c r="IN194" s="148"/>
      <c r="IO194" s="33"/>
      <c r="IP194" s="155"/>
      <c r="IQ194" s="148"/>
      <c r="IR194" s="33"/>
      <c r="IS194" s="33"/>
      <c r="IT194" s="143"/>
      <c r="IU194" s="38"/>
      <c r="IV194" s="144"/>
      <c r="IW194" s="143"/>
      <c r="IX194" s="38"/>
      <c r="IY194" s="144" t="e">
        <v>#REF!</v>
      </c>
    </row>
    <row r="195">
      <c r="A195" s="33"/>
      <c r="B195" s="181"/>
      <c r="C195" s="38" t="str">
        <f>IFERROR(__xludf.DUMMYFUNCTION("""COMPUTED_VALUE"""),"")</f>
        <v/>
      </c>
      <c r="D195" s="144">
        <v>46111.0</v>
      </c>
      <c r="E195" s="182"/>
      <c r="F195" s="168"/>
      <c r="G195" s="169"/>
      <c r="H195" s="170"/>
      <c r="I195" s="171" t="str">
        <f t="array" ref="I195">IFERROR(IF(C195="ac"+ISNUMBER(SEARCH("'",H195))+G195="","", MROUND(SWITCH(C195,"sq",'Personal Info'!$O$15,"bn",'Personal Info'!$S$15,"dl",'Personal Info'!$W$15,"")*IF(H195&gt;10, H195/100, VLOOKUP(H195, _rpe,SUBSTITUTE(G195,"+","")+1,0)), IF( SWITCH(C195:C210,"sq",'Personal Info'!$O$15,"bn",'Personal Info'!$S$15,"dl", 'Personal Info'!$W$15,"")&lt; IF(_uom="lbs", 175, 80), 1.25, IF(_uom="lbs",5,2.5)))),"")</f>
        <v/>
      </c>
      <c r="J195" s="148"/>
      <c r="K195" s="33"/>
      <c r="L195" s="171"/>
      <c r="M195" s="124" t="str">
        <f>IFERROR(__xludf.DUMMYFUNCTION("IF(I195=MAX(FILTER(I$10:I$199,LOOKUP(ROW(C$10:C$199),FILTER(ROW(C$10:C$199),C$10:C$199&lt;&gt;C$9:C$198))=LOOKUP(ROW(C195),FILTER(ROW(C$10:C$199),C$10:C$199&lt;&gt;C$9:C$198)))),J195,)"),"")</f>
        <v/>
      </c>
      <c r="N195" s="122"/>
      <c r="O195" s="33"/>
      <c r="P195" s="143" t="str">
        <f t="shared" si="12"/>
        <v/>
      </c>
      <c r="Q195" s="38" t="str">
        <f>IFERROR(__xludf.DUMMYFUNCTION("""COMPUTED_VALUE"""),"")</f>
        <v/>
      </c>
      <c r="R195" s="144">
        <v>46118.0</v>
      </c>
      <c r="S195" s="167" t="str">
        <f t="shared" si="13"/>
        <v/>
      </c>
      <c r="T195" s="168" t="str">
        <f t="shared" si="319"/>
        <v/>
      </c>
      <c r="U195" s="169" t="str">
        <f t="shared" si="320"/>
        <v/>
      </c>
      <c r="V195" s="172" t="str">
        <f t="shared" si="321"/>
        <v/>
      </c>
      <c r="W195" s="171" t="str">
        <f t="array" ref="W195">IFERROR(IF(Q195="ac"+ISNUMBER(SEARCH("'",V195))+U195="","", IF(ISNUMBER(SEARCH("lw",V195)), I195 + SUBSTITUTE(V195,"lw+",""), MROUND(SWITCH(Q195,"sq",U$7,"bn",V$7,"dl",W$7,"")*IF(V195&gt;10, V195/100, VLOOKUP(V195, _rpe,SUBSTITUTE(U195,"+","")+1,0)), IF( SWITCH(Q195,"sq",U$7,"bn",V$7,"dl", W$7,"")&lt; IF(_uom="lbs", 175, 80), 1.25, IF(_uom="lbs",5,2.5))))), "")</f>
        <v/>
      </c>
      <c r="X195" s="148"/>
      <c r="Y195" s="33"/>
      <c r="Z195" s="171"/>
      <c r="AA195" s="124" t="str">
        <f>IFERROR(__xludf.DUMMYFUNCTION("IF(W195=MAX(FILTER(W$10:W$199,LOOKUP(ROW(Q$10:Q$199),FILTER(ROW(Q$10:Q$199),Q$10:Q$199&lt;&gt;Q$9:Q$198))=LOOKUP(ROW(Q195),FILTER(ROW(Q$10:Q$199),Q$10:Q$199&lt;&gt;Q$9:Q$198)))),X195,)"),"")</f>
        <v/>
      </c>
      <c r="AB195" s="122"/>
      <c r="AC195" s="33"/>
      <c r="AD195" s="143" t="str">
        <f t="shared" si="14"/>
        <v/>
      </c>
      <c r="AE195" s="38" t="str">
        <f>IFERROR(__xludf.DUMMYFUNCTION("""COMPUTED_VALUE"""),"")</f>
        <v/>
      </c>
      <c r="AF195" s="144">
        <v>46125.0</v>
      </c>
      <c r="AG195" s="167" t="str">
        <f t="shared" si="54"/>
        <v/>
      </c>
      <c r="AH195" s="168" t="str">
        <f t="shared" si="322"/>
        <v/>
      </c>
      <c r="AI195" s="169" t="str">
        <f t="shared" si="323"/>
        <v/>
      </c>
      <c r="AJ195" s="172" t="str">
        <f t="shared" si="324"/>
        <v/>
      </c>
      <c r="AK195" s="171" t="str">
        <f t="array" ref="AK195">IFERROR(IF(AE195="ac"+ISNUMBER(SEARCH("'",AJ195))+AI195="","", IF(ISNUMBER(SEARCH("lw",AJ195)), W195 + SUBSTITUTE(AJ195,"lw+",""), MROUND(SWITCH(AE195,"sq",AI$7,"bn",AJ$7,"dl",AK$7,"")*IF(AJ195&gt;10, AJ195/100, VLOOKUP(AJ195, _rpe,SUBSTITUTE(AI195,"+","")+1,0)), IF( SWITCH(AE195,"sq",AI$7,"bn",AJ$7,"dl", AK$7,"")&lt; IF(_uom="lbs", 175, 80), 1.25, IF(_uom="lbs",5,2.5))))), "")</f>
        <v/>
      </c>
      <c r="AL195" s="148"/>
      <c r="AM195" s="33"/>
      <c r="AN195" s="171"/>
      <c r="AO195" s="124" t="str">
        <f>IFERROR(__xludf.DUMMYFUNCTION("IF(AK195=MAX(FILTER(AK$10:AK$199,LOOKUP(ROW(AE$10:AE$199),FILTER(ROW(AE$10:AE$199),AE$10:AE$199&lt;&gt;AE$9:AE$198))=LOOKUP(ROW(AE195),FILTER(ROW(AE$10:AE$199),AE$10:AE$199&lt;&gt;AE$9:AE$198)))),AL195,)"),"")</f>
        <v/>
      </c>
      <c r="AP195" s="122"/>
      <c r="AQ195" s="33"/>
      <c r="AR195" s="143" t="str">
        <f t="shared" si="16"/>
        <v/>
      </c>
      <c r="AS195" s="38" t="str">
        <f>IFERROR(__xludf.DUMMYFUNCTION("""COMPUTED_VALUE"""),"")</f>
        <v/>
      </c>
      <c r="AT195" s="144">
        <v>46132.0</v>
      </c>
      <c r="AU195" s="167" t="str">
        <f t="shared" si="26"/>
        <v/>
      </c>
      <c r="AV195" s="168" t="str">
        <f t="shared" si="325"/>
        <v/>
      </c>
      <c r="AW195" s="169" t="str">
        <f t="shared" si="326"/>
        <v/>
      </c>
      <c r="AX195" s="172" t="str">
        <f t="shared" si="327"/>
        <v/>
      </c>
      <c r="AY195" s="171" t="str">
        <f t="array" ref="AY195">IFERROR(IF(AS195="ac"+ISNUMBER(SEARCH("'",AX195))+AW195="","", IF(ISNUMBER(SEARCH("lw",AX195)), AK195 + SUBSTITUTE(AX195,"lw+",""), MROUND(SWITCH(AS195,"sq",AW$7,"bn",AX$7,"dl",AY$7,"")*IF(AX195&gt;10, AX195/100, VLOOKUP(AX195, _rpe,SUBSTITUTE(AW195,"+","")+1,0)), IF( SWITCH(AS195,"sq",AW$7,"bn",AX$7,"dl", AY$7,"")&lt; IF(_uom="lbs", 175, 80), 1.25, IF(_uom="lbs",5,2.5))))), "")</f>
        <v/>
      </c>
      <c r="AZ195" s="148"/>
      <c r="BA195" s="33"/>
      <c r="BB195" s="171"/>
      <c r="BC195" s="124" t="str">
        <f>IFERROR(__xludf.DUMMYFUNCTION("IF(AY195=MAX(FILTER(AY$10:AY$199,LOOKUP(ROW(AS$10:AS$199),FILTER(ROW(AS$10:AS$199),AS$10:AS$199&lt;&gt;AS$9:AS$198))=LOOKUP(ROW(AS195),FILTER(ROW(AS$10:AS$199),AS$10:AS$199&lt;&gt;AS$9:AS$198)))),AZ195,)"),"")</f>
        <v/>
      </c>
      <c r="BD195" s="122"/>
      <c r="BE195" s="33"/>
      <c r="BF195" s="143" t="str">
        <f t="shared" si="17"/>
        <v/>
      </c>
      <c r="BG195" s="38" t="str">
        <f>IFERROR(__xludf.DUMMYFUNCTION("""COMPUTED_VALUE"""),"")</f>
        <v/>
      </c>
      <c r="BH195" s="144">
        <v>46139.0</v>
      </c>
      <c r="BI195" s="167" t="str">
        <f t="shared" si="18"/>
        <v/>
      </c>
      <c r="BJ195" s="168" t="str">
        <f t="shared" si="328"/>
        <v/>
      </c>
      <c r="BK195" s="169" t="str">
        <f t="shared" si="329"/>
        <v/>
      </c>
      <c r="BL195" s="172" t="str">
        <f t="shared" si="330"/>
        <v/>
      </c>
      <c r="BM195" s="171" t="str">
        <f t="array" ref="BM195">IFERROR(IF(BG195="ac"+ISNUMBER(SEARCH("'",BL195))+BK195="","", IF(ISNUMBER(SEARCH("lw",BL195)), AY195 + SUBSTITUTE(BL195,"lw+",""), MROUND(SWITCH(BG195,"sq",BK$7,"bn",BL$7,"dl",BM$7,"")*IF(BL195&gt;10, BL195/100, VLOOKUP(BL195, _rpe,SUBSTITUTE(BK195,"+","")+1,0)), IF( SWITCH(BG195,"sq",BK$7,"bn",BL$7,"dl", BM$7,"")&lt; IF(_uom="lbs", 175, 80), 1.25, IF(_uom="lbs",5,2.5))))), "")</f>
        <v/>
      </c>
      <c r="BN195" s="148"/>
      <c r="BO195" s="33"/>
      <c r="BP195" s="171"/>
      <c r="BQ195" s="124" t="str">
        <f>IFERROR(__xludf.DUMMYFUNCTION("IF(BM195=MAX(FILTER(BM$10:BM$199,LOOKUP(ROW(BG$10:BG$199),FILTER(ROW(BG$10:BG$199),BG$10:BG$199&lt;&gt;BG$9:BG$198))=LOOKUP(ROW(BG195),FILTER(ROW(BG$10:BG$199),BG$10:BG$199&lt;&gt;BG$9:BG$198)))),BN195,)"),"")</f>
        <v/>
      </c>
      <c r="BR195" s="122"/>
      <c r="BS195" s="33"/>
      <c r="BT195" s="143" t="str">
        <f t="shared" si="19"/>
        <v/>
      </c>
      <c r="BU195" s="38" t="str">
        <f>IFERROR(__xludf.DUMMYFUNCTION("""COMPUTED_VALUE"""),"")</f>
        <v/>
      </c>
      <c r="BV195" s="144">
        <v>46146.0</v>
      </c>
      <c r="BW195" s="167" t="str">
        <f t="shared" si="20"/>
        <v/>
      </c>
      <c r="BX195" s="168" t="str">
        <f t="shared" si="331"/>
        <v/>
      </c>
      <c r="BY195" s="169" t="str">
        <f t="shared" si="332"/>
        <v/>
      </c>
      <c r="BZ195" s="172" t="str">
        <f t="shared" si="333"/>
        <v/>
      </c>
      <c r="CA195" s="171" t="str">
        <f t="array" ref="CA195">IFERROR(IF(BU195="ac"+ISNUMBER(SEARCH("'",BZ195))+BY195="","", IF(ISNUMBER(SEARCH("lw",BZ195)), BM195 + SUBSTITUTE(BZ195,"lw+",""), MROUND(SWITCH(BU195,"sq",BY$7,"bn",BZ$7,"dl",CA$7,"")*IF(BZ195&gt;10, BZ195/100, VLOOKUP(BZ195, _rpe,SUBSTITUTE(BY195,"+","")+1,0)), IF( SWITCH(BU195,"sq",BY$7,"bn",BZ$7,"dl", CA$7,"")&lt; IF(_uom="lbs", 175, 80), 1.25, IF(_uom="lbs",5,2.5))))), "")</f>
        <v/>
      </c>
      <c r="CB195" s="148"/>
      <c r="CC195" s="33"/>
      <c r="CD195" s="171"/>
      <c r="CE195" s="124" t="str">
        <f>IFERROR(__xludf.DUMMYFUNCTION("IF(CA195=MAX(FILTER(CA$10:CA$199,LOOKUP(ROW(BU$10:BU$199),FILTER(ROW(BU$10:BU$199),BU$10:BU$199&lt;&gt;BU$9:BU$198))=LOOKUP(ROW(BU195),FILTER(ROW(BU$10:BU$199),BU$10:BU$199&lt;&gt;BU$9:BU$198)))),CB195,)"),"")</f>
        <v/>
      </c>
      <c r="CF195" s="122"/>
      <c r="CG195" s="33"/>
      <c r="CH195" s="143" t="str">
        <f t="shared" si="21"/>
        <v/>
      </c>
      <c r="CI195" s="38" t="str">
        <f>IFERROR(__xludf.DUMMYFUNCTION("""COMPUTED_VALUE"""),"")</f>
        <v/>
      </c>
      <c r="CJ195" s="144">
        <v>46153.0</v>
      </c>
      <c r="CK195" s="167" t="str">
        <f t="shared" si="27"/>
        <v/>
      </c>
      <c r="CL195" s="168" t="str">
        <f t="shared" si="334"/>
        <v/>
      </c>
      <c r="CM195" s="169" t="str">
        <f t="shared" si="335"/>
        <v/>
      </c>
      <c r="CN195" s="172" t="str">
        <f t="shared" si="336"/>
        <v/>
      </c>
      <c r="CO195" s="171" t="str">
        <f t="array" ref="CO195">IFERROR(IF(CI195="ac"+ISNUMBER(SEARCH("'",CN195))+CM195="","", IF(ISNUMBER(SEARCH("lw",CN195)), CA195 + SUBSTITUTE(CN195,"lw+",""), MROUND(SWITCH(CI195,"sq",CM$7,"bn",CN$7,"dl",CO$7,"")*IF(CN195&gt;10, CN195/100, VLOOKUP(CN195, _rpe,SUBSTITUTE(CM195,"+","")+1,0)), IF( SWITCH(CI195,"sq",CM$7,"bn",CN$7,"dl", CO$7,"")&lt; IF(_uom="lbs", 175, 80), 1.25, IF(_uom="lbs",5,2.5))))), "")</f>
        <v/>
      </c>
      <c r="CP195" s="148"/>
      <c r="CQ195" s="33"/>
      <c r="CR195" s="171"/>
      <c r="CS195" s="124" t="str">
        <f>IFERROR(__xludf.DUMMYFUNCTION("IF(CO195=MAX(FILTER(CO$10:CO$199,LOOKUP(ROW(CI$10:CI$199),FILTER(ROW(CI$10:CI$199),CI$10:CI$199&lt;&gt;CI$9:CI$198))=LOOKUP(ROW(CI195),FILTER(ROW(CI$10:CI$199),CI$10:CI$199&lt;&gt;CI$9:CI$198)))),CP195,)"),"")</f>
        <v/>
      </c>
      <c r="CT195" s="122"/>
      <c r="CU195" s="33"/>
      <c r="CV195" s="143" t="str">
        <f t="shared" si="22"/>
        <v/>
      </c>
      <c r="CW195" s="38" t="str">
        <f>IFERROR(__xludf.DUMMYFUNCTION("""COMPUTED_VALUE"""),"")</f>
        <v/>
      </c>
      <c r="CX195" s="144">
        <v>46160.0</v>
      </c>
      <c r="CY195" s="167" t="str">
        <f t="shared" si="28"/>
        <v/>
      </c>
      <c r="CZ195" s="168" t="str">
        <f t="shared" si="337"/>
        <v/>
      </c>
      <c r="DA195" s="169" t="str">
        <f t="shared" si="338"/>
        <v/>
      </c>
      <c r="DB195" s="172" t="str">
        <f t="shared" si="339"/>
        <v/>
      </c>
      <c r="DC195" s="171" t="str">
        <f t="array" ref="DC195">IFERROR(IF(CW195="ac"+ISNUMBER(SEARCH("'",DB195))+DA195="","", IF(ISNUMBER(SEARCH("lw",DB195)), CO195 + SUBSTITUTE(DB195,"lw+",""), MROUND(SWITCH(CW195,"sq",DA$7,"bn",DB$7,"dl",DC$7,"")*IF(DB195&gt;10, DB195/100, VLOOKUP(DB195, _rpe,SUBSTITUTE(DA195,"+","")+1,0)), IF( SWITCH(CW195,"sq",DA$7,"bn",DB$7,"dl", DC$7,"")&lt; IF(_uom="lbs", 175, 80), 1.25, IF(_uom="lbs",5,2.5))))), "")</f>
        <v/>
      </c>
      <c r="DD195" s="148"/>
      <c r="DE195" s="33"/>
      <c r="DF195" s="171"/>
      <c r="DG195" s="124" t="str">
        <f>IFERROR(__xludf.DUMMYFUNCTION("IF(DC195=MAX(FILTER(DC$10:DC$199,LOOKUP(ROW(CW$10:CW$199),FILTER(ROW(CW$10:CW$199),CW$10:CW$199&lt;&gt;CW$9:CW$198))=LOOKUP(ROW(CW195),FILTER(ROW(CW$10:CW$199),CW$10:CW$199&lt;&gt;CW$9:CW$198)))),DD195,)"),"")</f>
        <v/>
      </c>
      <c r="DH195" s="122"/>
      <c r="DI195" s="33"/>
      <c r="DJ195" s="143" t="str">
        <f t="shared" si="23"/>
        <v/>
      </c>
      <c r="DK195" s="38" t="str">
        <f>IFERROR(__xludf.DUMMYFUNCTION("""COMPUTED_VALUE"""),"")</f>
        <v/>
      </c>
      <c r="DL195" s="144">
        <v>46167.0</v>
      </c>
      <c r="DM195" s="167" t="str">
        <f t="shared" ref="DM195:DN195" si="447">IF(ISBLANK(CY195),"",CY195)</f>
        <v/>
      </c>
      <c r="DN195" s="168" t="str">
        <f t="shared" si="447"/>
        <v/>
      </c>
      <c r="DO195" s="169" t="str">
        <f t="shared" si="341"/>
        <v/>
      </c>
      <c r="DP195" s="172" t="str">
        <f t="shared" si="342"/>
        <v/>
      </c>
      <c r="DQ195" s="171" t="str">
        <f t="array" ref="DQ195">IFERROR(IF(DK195="ac"+ISNUMBER(SEARCH("'",DP195))+DO195="","", IF(ISNUMBER(SEARCH("lw",DP195)), DC195 + SUBSTITUTE(DP195,"lw+",""), MROUND(SWITCH(DK195,"sq",DO$7,"bn",DP$7,"dl",DQ$7,"")*IF(DP195&gt;10, DP195/100, VLOOKUP(DP195, _rpe,SUBSTITUTE(DO195,"+","")+1,0)), IF( SWITCH(DK195,"sq",DO$7,"bn",DP$7,"dl", DQ$7,"")&lt; IF(_uom="lbs", 175, 80), 1.25, IF(_uom="lbs",5,2.5))))), "")</f>
        <v/>
      </c>
      <c r="DR195" s="148"/>
      <c r="DS195" s="33"/>
      <c r="DT195" s="171"/>
      <c r="DU195" s="124" t="str">
        <f>IFERROR(__xludf.DUMMYFUNCTION("IF(DQ195=MAX(FILTER(DQ$10:DQ$199,LOOKUP(ROW(DK$10:DK$199),FILTER(ROW(DK$10:DK$199),DK$10:DK$199&lt;&gt;DK$9:DK$198))=LOOKUP(ROW(DK195),FILTER(ROW(DK$10:DK$199),DK$10:DK$199&lt;&gt;DK$9:DK$198)))),DR195,)"),"")</f>
        <v/>
      </c>
      <c r="DV195" s="122"/>
      <c r="DW195" s="33"/>
      <c r="DX195" s="143"/>
      <c r="DY195" s="38"/>
      <c r="DZ195" s="144"/>
      <c r="EA195" s="150"/>
      <c r="EB195" s="174"/>
      <c r="EC195" s="175"/>
      <c r="ED195" s="176"/>
      <c r="EE195" s="155"/>
      <c r="EF195" s="148"/>
      <c r="EG195" s="33"/>
      <c r="EH195" s="155"/>
      <c r="EI195" s="148"/>
      <c r="EJ195" s="33"/>
      <c r="EK195" s="33"/>
      <c r="EL195" s="143"/>
      <c r="EM195" s="38"/>
      <c r="EN195" s="144"/>
      <c r="EO195" s="150"/>
      <c r="EP195" s="174"/>
      <c r="EQ195" s="175"/>
      <c r="ER195" s="176"/>
      <c r="ES195" s="155"/>
      <c r="ET195" s="148"/>
      <c r="EU195" s="33"/>
      <c r="EV195" s="155"/>
      <c r="EW195" s="148"/>
      <c r="EX195" s="33"/>
      <c r="EY195" s="33"/>
      <c r="EZ195" s="143"/>
      <c r="FA195" s="38"/>
      <c r="FB195" s="144"/>
      <c r="FC195" s="150"/>
      <c r="FD195" s="174"/>
      <c r="FE195" s="175"/>
      <c r="FF195" s="176"/>
      <c r="FG195" s="155"/>
      <c r="FH195" s="148"/>
      <c r="FI195" s="33"/>
      <c r="FJ195" s="155"/>
      <c r="FK195" s="148"/>
      <c r="FL195" s="33"/>
      <c r="FM195" s="33"/>
      <c r="FN195" s="143"/>
      <c r="FO195" s="38"/>
      <c r="FP195" s="144"/>
      <c r="FQ195" s="150"/>
      <c r="FR195" s="174"/>
      <c r="FS195" s="175"/>
      <c r="FT195" s="176"/>
      <c r="FU195" s="155"/>
      <c r="FV195" s="148"/>
      <c r="FW195" s="33"/>
      <c r="FX195" s="155"/>
      <c r="FY195" s="148"/>
      <c r="FZ195" s="33"/>
      <c r="GA195" s="33"/>
      <c r="GB195" s="143"/>
      <c r="GC195" s="38"/>
      <c r="GD195" s="144"/>
      <c r="GE195" s="150"/>
      <c r="GF195" s="174"/>
      <c r="GG195" s="175"/>
      <c r="GH195" s="176"/>
      <c r="GI195" s="155"/>
      <c r="GJ195" s="148"/>
      <c r="GK195" s="33"/>
      <c r="GL195" s="155"/>
      <c r="GM195" s="148"/>
      <c r="GN195" s="33"/>
      <c r="GO195" s="33"/>
      <c r="GP195" s="143"/>
      <c r="GQ195" s="38"/>
      <c r="GR195" s="144"/>
      <c r="GS195" s="150"/>
      <c r="GT195" s="174"/>
      <c r="GU195" s="175"/>
      <c r="GV195" s="176"/>
      <c r="GW195" s="155"/>
      <c r="GX195" s="148"/>
      <c r="GY195" s="33"/>
      <c r="GZ195" s="155"/>
      <c r="HA195" s="148"/>
      <c r="HB195" s="33"/>
      <c r="HC195" s="33"/>
      <c r="HD195" s="143"/>
      <c r="HE195" s="38"/>
      <c r="HF195" s="144"/>
      <c r="HG195" s="150"/>
      <c r="HH195" s="174"/>
      <c r="HI195" s="175"/>
      <c r="HJ195" s="176"/>
      <c r="HK195" s="155"/>
      <c r="HL195" s="148"/>
      <c r="HM195" s="33"/>
      <c r="HN195" s="155"/>
      <c r="HO195" s="148"/>
      <c r="HP195" s="33"/>
      <c r="HQ195" s="33"/>
      <c r="HR195" s="143"/>
      <c r="HS195" s="38"/>
      <c r="HT195" s="144"/>
      <c r="HU195" s="150"/>
      <c r="HV195" s="174"/>
      <c r="HW195" s="175"/>
      <c r="HX195" s="176"/>
      <c r="HY195" s="155"/>
      <c r="HZ195" s="148"/>
      <c r="IA195" s="33"/>
      <c r="IB195" s="155"/>
      <c r="IC195" s="148"/>
      <c r="ID195" s="33"/>
      <c r="IE195" s="33"/>
      <c r="IF195" s="143"/>
      <c r="IG195" s="38"/>
      <c r="IH195" s="144"/>
      <c r="II195" s="150"/>
      <c r="IJ195" s="174"/>
      <c r="IK195" s="175"/>
      <c r="IL195" s="176"/>
      <c r="IM195" s="155"/>
      <c r="IN195" s="148"/>
      <c r="IO195" s="33"/>
      <c r="IP195" s="155"/>
      <c r="IQ195" s="148"/>
      <c r="IR195" s="33"/>
      <c r="IS195" s="33"/>
      <c r="IT195" s="143"/>
      <c r="IU195" s="38"/>
      <c r="IV195" s="144"/>
      <c r="IW195" s="143"/>
      <c r="IX195" s="38"/>
      <c r="IY195" s="144" t="e">
        <v>#REF!</v>
      </c>
    </row>
    <row r="196">
      <c r="A196" s="33"/>
      <c r="B196" s="181"/>
      <c r="C196" s="38" t="str">
        <f>IFERROR(__xludf.DUMMYFUNCTION("""COMPUTED_VALUE"""),"")</f>
        <v/>
      </c>
      <c r="D196" s="144">
        <v>46111.0</v>
      </c>
      <c r="E196" s="182"/>
      <c r="F196" s="168"/>
      <c r="G196" s="169"/>
      <c r="H196" s="170"/>
      <c r="I196" s="171" t="str">
        <f t="array" ref="I196">IFERROR(IF(C196="ac"+ISNUMBER(SEARCH("'",H196))+G196="","", MROUND(SWITCH(C196,"sq",'Personal Info'!$O$15,"bn",'Personal Info'!$S$15,"dl",'Personal Info'!$W$15,"")*IF(H196&gt;10, H196/100, VLOOKUP(H196, _rpe,SUBSTITUTE(G196,"+","")+1,0)), IF( SWITCH(C196:C210,"sq",'Personal Info'!$O$15,"bn",'Personal Info'!$S$15,"dl", 'Personal Info'!$W$15,"")&lt; IF(_uom="lbs", 175, 80), 1.25, IF(_uom="lbs",5,2.5)))),"")</f>
        <v/>
      </c>
      <c r="J196" s="148"/>
      <c r="K196" s="33"/>
      <c r="L196" s="171"/>
      <c r="M196" s="124" t="str">
        <f>IFERROR(__xludf.DUMMYFUNCTION("IF(I196=MAX(FILTER(I$10:I$199,LOOKUP(ROW(C$10:C$199),FILTER(ROW(C$10:C$199),C$10:C$199&lt;&gt;C$9:C$198))=LOOKUP(ROW(C196),FILTER(ROW(C$10:C$199),C$10:C$199&lt;&gt;C$9:C$198)))),J196,)"),"")</f>
        <v/>
      </c>
      <c r="N196" s="122"/>
      <c r="O196" s="33"/>
      <c r="P196" s="143" t="str">
        <f t="shared" si="12"/>
        <v/>
      </c>
      <c r="Q196" s="38" t="str">
        <f>IFERROR(__xludf.DUMMYFUNCTION("""COMPUTED_VALUE"""),"")</f>
        <v/>
      </c>
      <c r="R196" s="144">
        <v>46118.0</v>
      </c>
      <c r="S196" s="167" t="str">
        <f t="shared" si="13"/>
        <v/>
      </c>
      <c r="T196" s="168" t="str">
        <f t="shared" si="319"/>
        <v/>
      </c>
      <c r="U196" s="169" t="str">
        <f t="shared" si="320"/>
        <v/>
      </c>
      <c r="V196" s="172" t="str">
        <f t="shared" si="321"/>
        <v/>
      </c>
      <c r="W196" s="171" t="str">
        <f t="array" ref="W196">IFERROR(IF(Q196="ac"+ISNUMBER(SEARCH("'",V196))+U196="","", IF(ISNUMBER(SEARCH("lw",V196)), I196 + SUBSTITUTE(V196,"lw+",""), MROUND(SWITCH(Q196,"sq",U$7,"bn",V$7,"dl",W$7,"")*IF(V196&gt;10, V196/100, VLOOKUP(V196, _rpe,SUBSTITUTE(U196,"+","")+1,0)), IF( SWITCH(Q196,"sq",U$7,"bn",V$7,"dl", W$7,"")&lt; IF(_uom="lbs", 175, 80), 1.25, IF(_uom="lbs",5,2.5))))), "")</f>
        <v/>
      </c>
      <c r="X196" s="148"/>
      <c r="Y196" s="33"/>
      <c r="Z196" s="171"/>
      <c r="AA196" s="124" t="str">
        <f>IFERROR(__xludf.DUMMYFUNCTION("IF(W196=MAX(FILTER(W$10:W$199,LOOKUP(ROW(Q$10:Q$199),FILTER(ROW(Q$10:Q$199),Q$10:Q$199&lt;&gt;Q$9:Q$198))=LOOKUP(ROW(Q196),FILTER(ROW(Q$10:Q$199),Q$10:Q$199&lt;&gt;Q$9:Q$198)))),X196,)"),"")</f>
        <v/>
      </c>
      <c r="AB196" s="122"/>
      <c r="AC196" s="33"/>
      <c r="AD196" s="143" t="str">
        <f t="shared" si="14"/>
        <v/>
      </c>
      <c r="AE196" s="38" t="str">
        <f>IFERROR(__xludf.DUMMYFUNCTION("""COMPUTED_VALUE"""),"")</f>
        <v/>
      </c>
      <c r="AF196" s="144">
        <v>46125.0</v>
      </c>
      <c r="AG196" s="167" t="str">
        <f t="shared" si="54"/>
        <v/>
      </c>
      <c r="AH196" s="168" t="str">
        <f t="shared" si="322"/>
        <v/>
      </c>
      <c r="AI196" s="169" t="str">
        <f t="shared" si="323"/>
        <v/>
      </c>
      <c r="AJ196" s="172" t="str">
        <f t="shared" si="324"/>
        <v/>
      </c>
      <c r="AK196" s="171" t="str">
        <f t="array" ref="AK196">IFERROR(IF(AE196="ac"+ISNUMBER(SEARCH("'",AJ196))+AI196="","", IF(ISNUMBER(SEARCH("lw",AJ196)), W196 + SUBSTITUTE(AJ196,"lw+",""), MROUND(SWITCH(AE196,"sq",AI$7,"bn",AJ$7,"dl",AK$7,"")*IF(AJ196&gt;10, AJ196/100, VLOOKUP(AJ196, _rpe,SUBSTITUTE(AI196,"+","")+1,0)), IF( SWITCH(AE196,"sq",AI$7,"bn",AJ$7,"dl", AK$7,"")&lt; IF(_uom="lbs", 175, 80), 1.25, IF(_uom="lbs",5,2.5))))), "")</f>
        <v/>
      </c>
      <c r="AL196" s="148"/>
      <c r="AM196" s="33"/>
      <c r="AN196" s="171"/>
      <c r="AO196" s="124" t="str">
        <f>IFERROR(__xludf.DUMMYFUNCTION("IF(AK196=MAX(FILTER(AK$10:AK$199,LOOKUP(ROW(AE$10:AE$199),FILTER(ROW(AE$10:AE$199),AE$10:AE$199&lt;&gt;AE$9:AE$198))=LOOKUP(ROW(AE196),FILTER(ROW(AE$10:AE$199),AE$10:AE$199&lt;&gt;AE$9:AE$198)))),AL196,)"),"")</f>
        <v/>
      </c>
      <c r="AP196" s="122"/>
      <c r="AQ196" s="33"/>
      <c r="AR196" s="143" t="str">
        <f t="shared" si="16"/>
        <v/>
      </c>
      <c r="AS196" s="38" t="str">
        <f>IFERROR(__xludf.DUMMYFUNCTION("""COMPUTED_VALUE"""),"")</f>
        <v/>
      </c>
      <c r="AT196" s="144">
        <v>46132.0</v>
      </c>
      <c r="AU196" s="167" t="str">
        <f t="shared" si="26"/>
        <v/>
      </c>
      <c r="AV196" s="168" t="str">
        <f t="shared" si="325"/>
        <v/>
      </c>
      <c r="AW196" s="169" t="str">
        <f t="shared" si="326"/>
        <v/>
      </c>
      <c r="AX196" s="172" t="str">
        <f t="shared" si="327"/>
        <v/>
      </c>
      <c r="AY196" s="171" t="str">
        <f t="array" ref="AY196">IFERROR(IF(AS196="ac"+ISNUMBER(SEARCH("'",AX196))+AW196="","", IF(ISNUMBER(SEARCH("lw",AX196)), AK196 + SUBSTITUTE(AX196,"lw+",""), MROUND(SWITCH(AS196,"sq",AW$7,"bn",AX$7,"dl",AY$7,"")*IF(AX196&gt;10, AX196/100, VLOOKUP(AX196, _rpe,SUBSTITUTE(AW196,"+","")+1,0)), IF( SWITCH(AS196,"sq",AW$7,"bn",AX$7,"dl", AY$7,"")&lt; IF(_uom="lbs", 175, 80), 1.25, IF(_uom="lbs",5,2.5))))), "")</f>
        <v/>
      </c>
      <c r="AZ196" s="148"/>
      <c r="BA196" s="33"/>
      <c r="BB196" s="171"/>
      <c r="BC196" s="124" t="str">
        <f>IFERROR(__xludf.DUMMYFUNCTION("IF(AY196=MAX(FILTER(AY$10:AY$199,LOOKUP(ROW(AS$10:AS$199),FILTER(ROW(AS$10:AS$199),AS$10:AS$199&lt;&gt;AS$9:AS$198))=LOOKUP(ROW(AS196),FILTER(ROW(AS$10:AS$199),AS$10:AS$199&lt;&gt;AS$9:AS$198)))),AZ196,)"),"")</f>
        <v/>
      </c>
      <c r="BD196" s="122"/>
      <c r="BE196" s="33"/>
      <c r="BF196" s="143" t="str">
        <f t="shared" si="17"/>
        <v/>
      </c>
      <c r="BG196" s="38" t="str">
        <f>IFERROR(__xludf.DUMMYFUNCTION("""COMPUTED_VALUE"""),"")</f>
        <v/>
      </c>
      <c r="BH196" s="144">
        <v>46139.0</v>
      </c>
      <c r="BI196" s="167" t="str">
        <f t="shared" si="18"/>
        <v/>
      </c>
      <c r="BJ196" s="168" t="str">
        <f t="shared" si="328"/>
        <v/>
      </c>
      <c r="BK196" s="169" t="str">
        <f t="shared" si="329"/>
        <v/>
      </c>
      <c r="BL196" s="172" t="str">
        <f t="shared" si="330"/>
        <v/>
      </c>
      <c r="BM196" s="171" t="str">
        <f t="array" ref="BM196">IFERROR(IF(BG196="ac"+ISNUMBER(SEARCH("'",BL196))+BK196="","", IF(ISNUMBER(SEARCH("lw",BL196)), AY196 + SUBSTITUTE(BL196,"lw+",""), MROUND(SWITCH(BG196,"sq",BK$7,"bn",BL$7,"dl",BM$7,"")*IF(BL196&gt;10, BL196/100, VLOOKUP(BL196, _rpe,SUBSTITUTE(BK196,"+","")+1,0)), IF( SWITCH(BG196,"sq",BK$7,"bn",BL$7,"dl", BM$7,"")&lt; IF(_uom="lbs", 175, 80), 1.25, IF(_uom="lbs",5,2.5))))), "")</f>
        <v/>
      </c>
      <c r="BN196" s="148"/>
      <c r="BO196" s="33"/>
      <c r="BP196" s="171"/>
      <c r="BQ196" s="124" t="str">
        <f>IFERROR(__xludf.DUMMYFUNCTION("IF(BM196=MAX(FILTER(BM$10:BM$199,LOOKUP(ROW(BG$10:BG$199),FILTER(ROW(BG$10:BG$199),BG$10:BG$199&lt;&gt;BG$9:BG$198))=LOOKUP(ROW(BG196),FILTER(ROW(BG$10:BG$199),BG$10:BG$199&lt;&gt;BG$9:BG$198)))),BN196,)"),"")</f>
        <v/>
      </c>
      <c r="BR196" s="122"/>
      <c r="BS196" s="33"/>
      <c r="BT196" s="143" t="str">
        <f t="shared" si="19"/>
        <v/>
      </c>
      <c r="BU196" s="38" t="str">
        <f>IFERROR(__xludf.DUMMYFUNCTION("""COMPUTED_VALUE"""),"")</f>
        <v/>
      </c>
      <c r="BV196" s="144">
        <v>46146.0</v>
      </c>
      <c r="BW196" s="167" t="str">
        <f t="shared" si="20"/>
        <v/>
      </c>
      <c r="BX196" s="168" t="str">
        <f t="shared" si="331"/>
        <v/>
      </c>
      <c r="BY196" s="169" t="str">
        <f t="shared" si="332"/>
        <v/>
      </c>
      <c r="BZ196" s="172" t="str">
        <f t="shared" si="333"/>
        <v/>
      </c>
      <c r="CA196" s="171" t="str">
        <f t="array" ref="CA196">IFERROR(IF(BU196="ac"+ISNUMBER(SEARCH("'",BZ196))+BY196="","", IF(ISNUMBER(SEARCH("lw",BZ196)), BM196 + SUBSTITUTE(BZ196,"lw+",""), MROUND(SWITCH(BU196,"sq",BY$7,"bn",BZ$7,"dl",CA$7,"")*IF(BZ196&gt;10, BZ196/100, VLOOKUP(BZ196, _rpe,SUBSTITUTE(BY196,"+","")+1,0)), IF( SWITCH(BU196,"sq",BY$7,"bn",BZ$7,"dl", CA$7,"")&lt; IF(_uom="lbs", 175, 80), 1.25, IF(_uom="lbs",5,2.5))))), "")</f>
        <v/>
      </c>
      <c r="CB196" s="148"/>
      <c r="CC196" s="33"/>
      <c r="CD196" s="171"/>
      <c r="CE196" s="124" t="str">
        <f>IFERROR(__xludf.DUMMYFUNCTION("IF(CA196=MAX(FILTER(CA$10:CA$199,LOOKUP(ROW(BU$10:BU$199),FILTER(ROW(BU$10:BU$199),BU$10:BU$199&lt;&gt;BU$9:BU$198))=LOOKUP(ROW(BU196),FILTER(ROW(BU$10:BU$199),BU$10:BU$199&lt;&gt;BU$9:BU$198)))),CB196,)"),"")</f>
        <v/>
      </c>
      <c r="CF196" s="122"/>
      <c r="CG196" s="33"/>
      <c r="CH196" s="143" t="str">
        <f t="shared" si="21"/>
        <v/>
      </c>
      <c r="CI196" s="38" t="str">
        <f>IFERROR(__xludf.DUMMYFUNCTION("""COMPUTED_VALUE"""),"")</f>
        <v/>
      </c>
      <c r="CJ196" s="144">
        <v>46153.0</v>
      </c>
      <c r="CK196" s="167" t="str">
        <f t="shared" si="27"/>
        <v/>
      </c>
      <c r="CL196" s="168" t="str">
        <f t="shared" si="334"/>
        <v/>
      </c>
      <c r="CM196" s="169" t="str">
        <f t="shared" si="335"/>
        <v/>
      </c>
      <c r="CN196" s="172" t="str">
        <f t="shared" si="336"/>
        <v/>
      </c>
      <c r="CO196" s="171" t="str">
        <f t="array" ref="CO196">IFERROR(IF(CI196="ac"+ISNUMBER(SEARCH("'",CN196))+CM196="","", IF(ISNUMBER(SEARCH("lw",CN196)), CA196 + SUBSTITUTE(CN196,"lw+",""), MROUND(SWITCH(CI196,"sq",CM$7,"bn",CN$7,"dl",CO$7,"")*IF(CN196&gt;10, CN196/100, VLOOKUP(CN196, _rpe,SUBSTITUTE(CM196,"+","")+1,0)), IF( SWITCH(CI196,"sq",CM$7,"bn",CN$7,"dl", CO$7,"")&lt; IF(_uom="lbs", 175, 80), 1.25, IF(_uom="lbs",5,2.5))))), "")</f>
        <v/>
      </c>
      <c r="CP196" s="148"/>
      <c r="CQ196" s="33"/>
      <c r="CR196" s="171"/>
      <c r="CS196" s="124" t="str">
        <f>IFERROR(__xludf.DUMMYFUNCTION("IF(CO196=MAX(FILTER(CO$10:CO$199,LOOKUP(ROW(CI$10:CI$199),FILTER(ROW(CI$10:CI$199),CI$10:CI$199&lt;&gt;CI$9:CI$198))=LOOKUP(ROW(CI196),FILTER(ROW(CI$10:CI$199),CI$10:CI$199&lt;&gt;CI$9:CI$198)))),CP196,)"),"")</f>
        <v/>
      </c>
      <c r="CT196" s="122"/>
      <c r="CU196" s="33"/>
      <c r="CV196" s="143" t="str">
        <f t="shared" si="22"/>
        <v/>
      </c>
      <c r="CW196" s="38" t="str">
        <f>IFERROR(__xludf.DUMMYFUNCTION("""COMPUTED_VALUE"""),"")</f>
        <v/>
      </c>
      <c r="CX196" s="144">
        <v>46160.0</v>
      </c>
      <c r="CY196" s="167" t="str">
        <f t="shared" si="28"/>
        <v/>
      </c>
      <c r="CZ196" s="168" t="str">
        <f t="shared" si="337"/>
        <v/>
      </c>
      <c r="DA196" s="169" t="str">
        <f t="shared" si="338"/>
        <v/>
      </c>
      <c r="DB196" s="172" t="str">
        <f t="shared" si="339"/>
        <v/>
      </c>
      <c r="DC196" s="171" t="str">
        <f t="array" ref="DC196">IFERROR(IF(CW196="ac"+ISNUMBER(SEARCH("'",DB196))+DA196="","", IF(ISNUMBER(SEARCH("lw",DB196)), CO196 + SUBSTITUTE(DB196,"lw+",""), MROUND(SWITCH(CW196,"sq",DA$7,"bn",DB$7,"dl",DC$7,"")*IF(DB196&gt;10, DB196/100, VLOOKUP(DB196, _rpe,SUBSTITUTE(DA196,"+","")+1,0)), IF( SWITCH(CW196,"sq",DA$7,"bn",DB$7,"dl", DC$7,"")&lt; IF(_uom="lbs", 175, 80), 1.25, IF(_uom="lbs",5,2.5))))), "")</f>
        <v/>
      </c>
      <c r="DD196" s="148"/>
      <c r="DE196" s="33"/>
      <c r="DF196" s="171"/>
      <c r="DG196" s="124" t="str">
        <f>IFERROR(__xludf.DUMMYFUNCTION("IF(DC196=MAX(FILTER(DC$10:DC$199,LOOKUP(ROW(CW$10:CW$199),FILTER(ROW(CW$10:CW$199),CW$10:CW$199&lt;&gt;CW$9:CW$198))=LOOKUP(ROW(CW196),FILTER(ROW(CW$10:CW$199),CW$10:CW$199&lt;&gt;CW$9:CW$198)))),DD196,)"),"")</f>
        <v/>
      </c>
      <c r="DH196" s="122"/>
      <c r="DI196" s="33"/>
      <c r="DJ196" s="143" t="str">
        <f t="shared" si="23"/>
        <v/>
      </c>
      <c r="DK196" s="38" t="str">
        <f>IFERROR(__xludf.DUMMYFUNCTION("""COMPUTED_VALUE"""),"")</f>
        <v/>
      </c>
      <c r="DL196" s="144">
        <v>46167.0</v>
      </c>
      <c r="DM196" s="167" t="str">
        <f t="shared" ref="DM196:DN196" si="448">IF(ISBLANK(CY196),"",CY196)</f>
        <v/>
      </c>
      <c r="DN196" s="168" t="str">
        <f t="shared" si="448"/>
        <v/>
      </c>
      <c r="DO196" s="169" t="str">
        <f t="shared" si="341"/>
        <v/>
      </c>
      <c r="DP196" s="172" t="str">
        <f t="shared" si="342"/>
        <v/>
      </c>
      <c r="DQ196" s="171" t="str">
        <f t="array" ref="DQ196">IFERROR(IF(DK196="ac"+ISNUMBER(SEARCH("'",DP196))+DO196="","", IF(ISNUMBER(SEARCH("lw",DP196)), DC196 + SUBSTITUTE(DP196,"lw+",""), MROUND(SWITCH(DK196,"sq",DO$7,"bn",DP$7,"dl",DQ$7,"")*IF(DP196&gt;10, DP196/100, VLOOKUP(DP196, _rpe,SUBSTITUTE(DO196,"+","")+1,0)), IF( SWITCH(DK196,"sq",DO$7,"bn",DP$7,"dl", DQ$7,"")&lt; IF(_uom="lbs", 175, 80), 1.25, IF(_uom="lbs",5,2.5))))), "")</f>
        <v/>
      </c>
      <c r="DR196" s="148"/>
      <c r="DS196" s="33"/>
      <c r="DT196" s="171"/>
      <c r="DU196" s="124" t="str">
        <f>IFERROR(__xludf.DUMMYFUNCTION("IF(DQ196=MAX(FILTER(DQ$10:DQ$199,LOOKUP(ROW(DK$10:DK$199),FILTER(ROW(DK$10:DK$199),DK$10:DK$199&lt;&gt;DK$9:DK$198))=LOOKUP(ROW(DK196),FILTER(ROW(DK$10:DK$199),DK$10:DK$199&lt;&gt;DK$9:DK$198)))),DR196,)"),"")</f>
        <v/>
      </c>
      <c r="DV196" s="122"/>
      <c r="DW196" s="33"/>
      <c r="DX196" s="143"/>
      <c r="DY196" s="38"/>
      <c r="DZ196" s="144"/>
      <c r="EA196" s="150"/>
      <c r="EB196" s="174"/>
      <c r="EC196" s="175"/>
      <c r="ED196" s="176"/>
      <c r="EE196" s="155"/>
      <c r="EF196" s="148"/>
      <c r="EG196" s="33"/>
      <c r="EH196" s="155"/>
      <c r="EI196" s="148"/>
      <c r="EJ196" s="33"/>
      <c r="EK196" s="33"/>
      <c r="EL196" s="143"/>
      <c r="EM196" s="38"/>
      <c r="EN196" s="144"/>
      <c r="EO196" s="150"/>
      <c r="EP196" s="174"/>
      <c r="EQ196" s="175"/>
      <c r="ER196" s="176"/>
      <c r="ES196" s="155"/>
      <c r="ET196" s="148"/>
      <c r="EU196" s="33"/>
      <c r="EV196" s="155"/>
      <c r="EW196" s="148"/>
      <c r="EX196" s="33"/>
      <c r="EY196" s="33"/>
      <c r="EZ196" s="143"/>
      <c r="FA196" s="38"/>
      <c r="FB196" s="144"/>
      <c r="FC196" s="150"/>
      <c r="FD196" s="174"/>
      <c r="FE196" s="175"/>
      <c r="FF196" s="176"/>
      <c r="FG196" s="155"/>
      <c r="FH196" s="148"/>
      <c r="FI196" s="33"/>
      <c r="FJ196" s="155"/>
      <c r="FK196" s="148"/>
      <c r="FL196" s="33"/>
      <c r="FM196" s="33"/>
      <c r="FN196" s="143"/>
      <c r="FO196" s="38"/>
      <c r="FP196" s="144"/>
      <c r="FQ196" s="150"/>
      <c r="FR196" s="174"/>
      <c r="FS196" s="175"/>
      <c r="FT196" s="176"/>
      <c r="FU196" s="155"/>
      <c r="FV196" s="148"/>
      <c r="FW196" s="33"/>
      <c r="FX196" s="155"/>
      <c r="FY196" s="148"/>
      <c r="FZ196" s="33"/>
      <c r="GA196" s="33"/>
      <c r="GB196" s="143"/>
      <c r="GC196" s="38"/>
      <c r="GD196" s="144"/>
      <c r="GE196" s="150"/>
      <c r="GF196" s="174"/>
      <c r="GG196" s="175"/>
      <c r="GH196" s="176"/>
      <c r="GI196" s="155"/>
      <c r="GJ196" s="148"/>
      <c r="GK196" s="33"/>
      <c r="GL196" s="155"/>
      <c r="GM196" s="148"/>
      <c r="GN196" s="33"/>
      <c r="GO196" s="33"/>
      <c r="GP196" s="143"/>
      <c r="GQ196" s="38"/>
      <c r="GR196" s="144"/>
      <c r="GS196" s="150"/>
      <c r="GT196" s="174"/>
      <c r="GU196" s="175"/>
      <c r="GV196" s="176"/>
      <c r="GW196" s="155"/>
      <c r="GX196" s="148"/>
      <c r="GY196" s="33"/>
      <c r="GZ196" s="155"/>
      <c r="HA196" s="148"/>
      <c r="HB196" s="33"/>
      <c r="HC196" s="33"/>
      <c r="HD196" s="143"/>
      <c r="HE196" s="38"/>
      <c r="HF196" s="144"/>
      <c r="HG196" s="150"/>
      <c r="HH196" s="174"/>
      <c r="HI196" s="175"/>
      <c r="HJ196" s="176"/>
      <c r="HK196" s="155"/>
      <c r="HL196" s="148"/>
      <c r="HM196" s="33"/>
      <c r="HN196" s="155"/>
      <c r="HO196" s="148"/>
      <c r="HP196" s="33"/>
      <c r="HQ196" s="33"/>
      <c r="HR196" s="143"/>
      <c r="HS196" s="38"/>
      <c r="HT196" s="144"/>
      <c r="HU196" s="150"/>
      <c r="HV196" s="174"/>
      <c r="HW196" s="175"/>
      <c r="HX196" s="176"/>
      <c r="HY196" s="155"/>
      <c r="HZ196" s="148"/>
      <c r="IA196" s="33"/>
      <c r="IB196" s="155"/>
      <c r="IC196" s="148"/>
      <c r="ID196" s="33"/>
      <c r="IE196" s="33"/>
      <c r="IF196" s="143"/>
      <c r="IG196" s="38"/>
      <c r="IH196" s="144"/>
      <c r="II196" s="150"/>
      <c r="IJ196" s="174"/>
      <c r="IK196" s="175"/>
      <c r="IL196" s="176"/>
      <c r="IM196" s="155"/>
      <c r="IN196" s="148"/>
      <c r="IO196" s="33"/>
      <c r="IP196" s="155"/>
      <c r="IQ196" s="148"/>
      <c r="IR196" s="33"/>
      <c r="IS196" s="33"/>
      <c r="IT196" s="143"/>
      <c r="IU196" s="38"/>
      <c r="IV196" s="144"/>
      <c r="IW196" s="143"/>
      <c r="IX196" s="38"/>
      <c r="IY196" s="144" t="e">
        <v>#REF!</v>
      </c>
    </row>
    <row r="197">
      <c r="A197" s="33"/>
      <c r="B197" s="181"/>
      <c r="C197" s="38" t="str">
        <f>IFERROR(__xludf.DUMMYFUNCTION("""COMPUTED_VALUE"""),"")</f>
        <v/>
      </c>
      <c r="D197" s="144">
        <v>46111.0</v>
      </c>
      <c r="E197" s="182"/>
      <c r="F197" s="168"/>
      <c r="G197" s="169"/>
      <c r="H197" s="170"/>
      <c r="I197" s="171" t="str">
        <f t="array" ref="I197">IFERROR(IF(C197="ac"+ISNUMBER(SEARCH("'",H197))+G197="","", MROUND(SWITCH(C197,"sq",'Personal Info'!$O$15,"bn",'Personal Info'!$S$15,"dl",'Personal Info'!$W$15,"")*IF(H197&gt;10, H197/100, VLOOKUP(H197, _rpe,SUBSTITUTE(G197,"+","")+1,0)), IF( SWITCH(C197:C210,"sq",'Personal Info'!$O$15,"bn",'Personal Info'!$S$15,"dl", 'Personal Info'!$W$15,"")&lt; IF(_uom="lbs", 175, 80), 1.25, IF(_uom="lbs",5,2.5)))),"")</f>
        <v/>
      </c>
      <c r="J197" s="148"/>
      <c r="K197" s="33"/>
      <c r="L197" s="171"/>
      <c r="M197" s="124" t="str">
        <f>IFERROR(__xludf.DUMMYFUNCTION("IF(I197=MAX(FILTER(I$10:I$199,LOOKUP(ROW(C$10:C$199),FILTER(ROW(C$10:C$199),C$10:C$199&lt;&gt;C$9:C$198))=LOOKUP(ROW(C197),FILTER(ROW(C$10:C$199),C$10:C$199&lt;&gt;C$9:C$198)))),J197,)"),"")</f>
        <v/>
      </c>
      <c r="N197" s="122"/>
      <c r="O197" s="33"/>
      <c r="P197" s="143" t="str">
        <f t="shared" si="12"/>
        <v/>
      </c>
      <c r="Q197" s="38" t="str">
        <f>IFERROR(__xludf.DUMMYFUNCTION("""COMPUTED_VALUE"""),"")</f>
        <v/>
      </c>
      <c r="R197" s="144">
        <v>46118.0</v>
      </c>
      <c r="S197" s="167" t="str">
        <f t="shared" si="13"/>
        <v/>
      </c>
      <c r="T197" s="168" t="str">
        <f t="shared" si="319"/>
        <v/>
      </c>
      <c r="U197" s="169" t="str">
        <f t="shared" si="320"/>
        <v/>
      </c>
      <c r="V197" s="172" t="str">
        <f t="shared" si="321"/>
        <v/>
      </c>
      <c r="W197" s="171" t="str">
        <f t="array" ref="W197">IFERROR(IF(Q197="ac"+ISNUMBER(SEARCH("'",V197))+U197="","", IF(ISNUMBER(SEARCH("lw",V197)), I197 + SUBSTITUTE(V197,"lw+",""), MROUND(SWITCH(Q197,"sq",U$7,"bn",V$7,"dl",W$7,"")*IF(V197&gt;10, V197/100, VLOOKUP(V197, _rpe,SUBSTITUTE(U197,"+","")+1,0)), IF( SWITCH(Q197,"sq",U$7,"bn",V$7,"dl", W$7,"")&lt; IF(_uom="lbs", 175, 80), 1.25, IF(_uom="lbs",5,2.5))))), "")</f>
        <v/>
      </c>
      <c r="X197" s="148"/>
      <c r="Y197" s="33"/>
      <c r="Z197" s="171"/>
      <c r="AA197" s="124" t="str">
        <f>IFERROR(__xludf.DUMMYFUNCTION("IF(W197=MAX(FILTER(W$10:W$199,LOOKUP(ROW(Q$10:Q$199),FILTER(ROW(Q$10:Q$199),Q$10:Q$199&lt;&gt;Q$9:Q$198))=LOOKUP(ROW(Q197),FILTER(ROW(Q$10:Q$199),Q$10:Q$199&lt;&gt;Q$9:Q$198)))),X197,)"),"")</f>
        <v/>
      </c>
      <c r="AB197" s="122"/>
      <c r="AC197" s="33"/>
      <c r="AD197" s="143" t="str">
        <f t="shared" si="14"/>
        <v/>
      </c>
      <c r="AE197" s="38" t="str">
        <f>IFERROR(__xludf.DUMMYFUNCTION("""COMPUTED_VALUE"""),"")</f>
        <v/>
      </c>
      <c r="AF197" s="144">
        <v>46125.0</v>
      </c>
      <c r="AG197" s="167" t="str">
        <f t="shared" si="54"/>
        <v/>
      </c>
      <c r="AH197" s="168" t="str">
        <f t="shared" si="322"/>
        <v/>
      </c>
      <c r="AI197" s="169" t="str">
        <f t="shared" si="323"/>
        <v/>
      </c>
      <c r="AJ197" s="172" t="str">
        <f t="shared" si="324"/>
        <v/>
      </c>
      <c r="AK197" s="171" t="str">
        <f t="array" ref="AK197">IFERROR(IF(AE197="ac"+ISNUMBER(SEARCH("'",AJ197))+AI197="","", IF(ISNUMBER(SEARCH("lw",AJ197)), W197 + SUBSTITUTE(AJ197,"lw+",""), MROUND(SWITCH(AE197,"sq",AI$7,"bn",AJ$7,"dl",AK$7,"")*IF(AJ197&gt;10, AJ197/100, VLOOKUP(AJ197, _rpe,SUBSTITUTE(AI197,"+","")+1,0)), IF( SWITCH(AE197,"sq",AI$7,"bn",AJ$7,"dl", AK$7,"")&lt; IF(_uom="lbs", 175, 80), 1.25, IF(_uom="lbs",5,2.5))))), "")</f>
        <v/>
      </c>
      <c r="AL197" s="148"/>
      <c r="AM197" s="33"/>
      <c r="AN197" s="171"/>
      <c r="AO197" s="124" t="str">
        <f>IFERROR(__xludf.DUMMYFUNCTION("IF(AK197=MAX(FILTER(AK$10:AK$199,LOOKUP(ROW(AE$10:AE$199),FILTER(ROW(AE$10:AE$199),AE$10:AE$199&lt;&gt;AE$9:AE$198))=LOOKUP(ROW(AE197),FILTER(ROW(AE$10:AE$199),AE$10:AE$199&lt;&gt;AE$9:AE$198)))),AL197,)"),"")</f>
        <v/>
      </c>
      <c r="AP197" s="122"/>
      <c r="AQ197" s="33"/>
      <c r="AR197" s="143" t="str">
        <f t="shared" si="16"/>
        <v/>
      </c>
      <c r="AS197" s="38" t="str">
        <f>IFERROR(__xludf.DUMMYFUNCTION("""COMPUTED_VALUE"""),"")</f>
        <v/>
      </c>
      <c r="AT197" s="144">
        <v>46132.0</v>
      </c>
      <c r="AU197" s="167" t="str">
        <f t="shared" si="26"/>
        <v/>
      </c>
      <c r="AV197" s="168" t="str">
        <f t="shared" si="325"/>
        <v/>
      </c>
      <c r="AW197" s="169" t="str">
        <f t="shared" si="326"/>
        <v/>
      </c>
      <c r="AX197" s="172" t="str">
        <f t="shared" si="327"/>
        <v/>
      </c>
      <c r="AY197" s="171" t="str">
        <f t="array" ref="AY197">IFERROR(IF(AS197="ac"+ISNUMBER(SEARCH("'",AX197))+AW197="","", IF(ISNUMBER(SEARCH("lw",AX197)), AK197 + SUBSTITUTE(AX197,"lw+",""), MROUND(SWITCH(AS197,"sq",AW$7,"bn",AX$7,"dl",AY$7,"")*IF(AX197&gt;10, AX197/100, VLOOKUP(AX197, _rpe,SUBSTITUTE(AW197,"+","")+1,0)), IF( SWITCH(AS197,"sq",AW$7,"bn",AX$7,"dl", AY$7,"")&lt; IF(_uom="lbs", 175, 80), 1.25, IF(_uom="lbs",5,2.5))))), "")</f>
        <v/>
      </c>
      <c r="AZ197" s="148"/>
      <c r="BA197" s="33"/>
      <c r="BB197" s="171"/>
      <c r="BC197" s="124" t="str">
        <f>IFERROR(__xludf.DUMMYFUNCTION("IF(AY197=MAX(FILTER(AY$10:AY$199,LOOKUP(ROW(AS$10:AS$199),FILTER(ROW(AS$10:AS$199),AS$10:AS$199&lt;&gt;AS$9:AS$198))=LOOKUP(ROW(AS197),FILTER(ROW(AS$10:AS$199),AS$10:AS$199&lt;&gt;AS$9:AS$198)))),AZ197,)"),"")</f>
        <v/>
      </c>
      <c r="BD197" s="122"/>
      <c r="BE197" s="33"/>
      <c r="BF197" s="143" t="str">
        <f t="shared" si="17"/>
        <v/>
      </c>
      <c r="BG197" s="38" t="str">
        <f>IFERROR(__xludf.DUMMYFUNCTION("""COMPUTED_VALUE"""),"")</f>
        <v/>
      </c>
      <c r="BH197" s="144">
        <v>46139.0</v>
      </c>
      <c r="BI197" s="167" t="str">
        <f t="shared" si="18"/>
        <v/>
      </c>
      <c r="BJ197" s="168" t="str">
        <f t="shared" si="328"/>
        <v/>
      </c>
      <c r="BK197" s="169" t="str">
        <f t="shared" si="329"/>
        <v/>
      </c>
      <c r="BL197" s="172" t="str">
        <f t="shared" si="330"/>
        <v/>
      </c>
      <c r="BM197" s="171" t="str">
        <f t="array" ref="BM197">IFERROR(IF(BG197="ac"+ISNUMBER(SEARCH("'",BL197))+BK197="","", IF(ISNUMBER(SEARCH("lw",BL197)), AY197 + SUBSTITUTE(BL197,"lw+",""), MROUND(SWITCH(BG197,"sq",BK$7,"bn",BL$7,"dl",BM$7,"")*IF(BL197&gt;10, BL197/100, VLOOKUP(BL197, _rpe,SUBSTITUTE(BK197,"+","")+1,0)), IF( SWITCH(BG197,"sq",BK$7,"bn",BL$7,"dl", BM$7,"")&lt; IF(_uom="lbs", 175, 80), 1.25, IF(_uom="lbs",5,2.5))))), "")</f>
        <v/>
      </c>
      <c r="BN197" s="148"/>
      <c r="BO197" s="33"/>
      <c r="BP197" s="171"/>
      <c r="BQ197" s="124" t="str">
        <f>IFERROR(__xludf.DUMMYFUNCTION("IF(BM197=MAX(FILTER(BM$10:BM$199,LOOKUP(ROW(BG$10:BG$199),FILTER(ROW(BG$10:BG$199),BG$10:BG$199&lt;&gt;BG$9:BG$198))=LOOKUP(ROW(BG197),FILTER(ROW(BG$10:BG$199),BG$10:BG$199&lt;&gt;BG$9:BG$198)))),BN197,)"),"")</f>
        <v/>
      </c>
      <c r="BR197" s="122"/>
      <c r="BS197" s="33"/>
      <c r="BT197" s="143" t="str">
        <f t="shared" si="19"/>
        <v/>
      </c>
      <c r="BU197" s="38" t="str">
        <f>IFERROR(__xludf.DUMMYFUNCTION("""COMPUTED_VALUE"""),"")</f>
        <v/>
      </c>
      <c r="BV197" s="144">
        <v>46146.0</v>
      </c>
      <c r="BW197" s="167" t="str">
        <f t="shared" si="20"/>
        <v/>
      </c>
      <c r="BX197" s="168" t="str">
        <f t="shared" si="331"/>
        <v/>
      </c>
      <c r="BY197" s="169" t="str">
        <f t="shared" si="332"/>
        <v/>
      </c>
      <c r="BZ197" s="172" t="str">
        <f t="shared" si="333"/>
        <v/>
      </c>
      <c r="CA197" s="171" t="str">
        <f t="array" ref="CA197">IFERROR(IF(BU197="ac"+ISNUMBER(SEARCH("'",BZ197))+BY197="","", IF(ISNUMBER(SEARCH("lw",BZ197)), BM197 + SUBSTITUTE(BZ197,"lw+",""), MROUND(SWITCH(BU197,"sq",BY$7,"bn",BZ$7,"dl",CA$7,"")*IF(BZ197&gt;10, BZ197/100, VLOOKUP(BZ197, _rpe,SUBSTITUTE(BY197,"+","")+1,0)), IF( SWITCH(BU197,"sq",BY$7,"bn",BZ$7,"dl", CA$7,"")&lt; IF(_uom="lbs", 175, 80), 1.25, IF(_uom="lbs",5,2.5))))), "")</f>
        <v/>
      </c>
      <c r="CB197" s="148"/>
      <c r="CC197" s="33"/>
      <c r="CD197" s="171"/>
      <c r="CE197" s="124" t="str">
        <f>IFERROR(__xludf.DUMMYFUNCTION("IF(CA197=MAX(FILTER(CA$10:CA$199,LOOKUP(ROW(BU$10:BU$199),FILTER(ROW(BU$10:BU$199),BU$10:BU$199&lt;&gt;BU$9:BU$198))=LOOKUP(ROW(BU197),FILTER(ROW(BU$10:BU$199),BU$10:BU$199&lt;&gt;BU$9:BU$198)))),CB197,)"),"")</f>
        <v/>
      </c>
      <c r="CF197" s="122"/>
      <c r="CG197" s="33"/>
      <c r="CH197" s="143" t="str">
        <f t="shared" si="21"/>
        <v/>
      </c>
      <c r="CI197" s="38" t="str">
        <f>IFERROR(__xludf.DUMMYFUNCTION("""COMPUTED_VALUE"""),"")</f>
        <v/>
      </c>
      <c r="CJ197" s="144">
        <v>46153.0</v>
      </c>
      <c r="CK197" s="167" t="str">
        <f t="shared" si="27"/>
        <v/>
      </c>
      <c r="CL197" s="168" t="str">
        <f t="shared" si="334"/>
        <v/>
      </c>
      <c r="CM197" s="169" t="str">
        <f t="shared" si="335"/>
        <v/>
      </c>
      <c r="CN197" s="172" t="str">
        <f t="shared" si="336"/>
        <v/>
      </c>
      <c r="CO197" s="171" t="str">
        <f t="array" ref="CO197">IFERROR(IF(CI197="ac"+ISNUMBER(SEARCH("'",CN197))+CM197="","", IF(ISNUMBER(SEARCH("lw",CN197)), CA197 + SUBSTITUTE(CN197,"lw+",""), MROUND(SWITCH(CI197,"sq",CM$7,"bn",CN$7,"dl",CO$7,"")*IF(CN197&gt;10, CN197/100, VLOOKUP(CN197, _rpe,SUBSTITUTE(CM197,"+","")+1,0)), IF( SWITCH(CI197,"sq",CM$7,"bn",CN$7,"dl", CO$7,"")&lt; IF(_uom="lbs", 175, 80), 1.25, IF(_uom="lbs",5,2.5))))), "")</f>
        <v/>
      </c>
      <c r="CP197" s="148"/>
      <c r="CQ197" s="33"/>
      <c r="CR197" s="171"/>
      <c r="CS197" s="124" t="str">
        <f>IFERROR(__xludf.DUMMYFUNCTION("IF(CO197=MAX(FILTER(CO$10:CO$199,LOOKUP(ROW(CI$10:CI$199),FILTER(ROW(CI$10:CI$199),CI$10:CI$199&lt;&gt;CI$9:CI$198))=LOOKUP(ROW(CI197),FILTER(ROW(CI$10:CI$199),CI$10:CI$199&lt;&gt;CI$9:CI$198)))),CP197,)"),"")</f>
        <v/>
      </c>
      <c r="CT197" s="122"/>
      <c r="CU197" s="33"/>
      <c r="CV197" s="143" t="str">
        <f t="shared" si="22"/>
        <v/>
      </c>
      <c r="CW197" s="38" t="str">
        <f>IFERROR(__xludf.DUMMYFUNCTION("""COMPUTED_VALUE"""),"")</f>
        <v/>
      </c>
      <c r="CX197" s="144">
        <v>46160.0</v>
      </c>
      <c r="CY197" s="167" t="str">
        <f t="shared" si="28"/>
        <v/>
      </c>
      <c r="CZ197" s="168" t="str">
        <f t="shared" si="337"/>
        <v/>
      </c>
      <c r="DA197" s="169" t="str">
        <f t="shared" si="338"/>
        <v/>
      </c>
      <c r="DB197" s="172" t="str">
        <f t="shared" si="339"/>
        <v/>
      </c>
      <c r="DC197" s="171" t="str">
        <f t="array" ref="DC197">IFERROR(IF(CW197="ac"+ISNUMBER(SEARCH("'",DB197))+DA197="","", IF(ISNUMBER(SEARCH("lw",DB197)), CO197 + SUBSTITUTE(DB197,"lw+",""), MROUND(SWITCH(CW197,"sq",DA$7,"bn",DB$7,"dl",DC$7,"")*IF(DB197&gt;10, DB197/100, VLOOKUP(DB197, _rpe,SUBSTITUTE(DA197,"+","")+1,0)), IF( SWITCH(CW197,"sq",DA$7,"bn",DB$7,"dl", DC$7,"")&lt; IF(_uom="lbs", 175, 80), 1.25, IF(_uom="lbs",5,2.5))))), "")</f>
        <v/>
      </c>
      <c r="DD197" s="148"/>
      <c r="DE197" s="33"/>
      <c r="DF197" s="171"/>
      <c r="DG197" s="124" t="str">
        <f>IFERROR(__xludf.DUMMYFUNCTION("IF(DC197=MAX(FILTER(DC$10:DC$199,LOOKUP(ROW(CW$10:CW$199),FILTER(ROW(CW$10:CW$199),CW$10:CW$199&lt;&gt;CW$9:CW$198))=LOOKUP(ROW(CW197),FILTER(ROW(CW$10:CW$199),CW$10:CW$199&lt;&gt;CW$9:CW$198)))),DD197,)"),"")</f>
        <v/>
      </c>
      <c r="DH197" s="122"/>
      <c r="DI197" s="33"/>
      <c r="DJ197" s="143" t="str">
        <f t="shared" si="23"/>
        <v/>
      </c>
      <c r="DK197" s="38" t="str">
        <f>IFERROR(__xludf.DUMMYFUNCTION("""COMPUTED_VALUE"""),"")</f>
        <v/>
      </c>
      <c r="DL197" s="144">
        <v>46167.0</v>
      </c>
      <c r="DM197" s="167" t="str">
        <f t="shared" ref="DM197:DN197" si="449">IF(ISBLANK(CY197),"",CY197)</f>
        <v/>
      </c>
      <c r="DN197" s="168" t="str">
        <f t="shared" si="449"/>
        <v/>
      </c>
      <c r="DO197" s="169" t="str">
        <f t="shared" si="341"/>
        <v/>
      </c>
      <c r="DP197" s="172" t="str">
        <f t="shared" si="342"/>
        <v/>
      </c>
      <c r="DQ197" s="171" t="str">
        <f t="array" ref="DQ197">IFERROR(IF(DK197="ac"+ISNUMBER(SEARCH("'",DP197))+DO197="","", IF(ISNUMBER(SEARCH("lw",DP197)), DC197 + SUBSTITUTE(DP197,"lw+",""), MROUND(SWITCH(DK197,"sq",DO$7,"bn",DP$7,"dl",DQ$7,"")*IF(DP197&gt;10, DP197/100, VLOOKUP(DP197, _rpe,SUBSTITUTE(DO197,"+","")+1,0)), IF( SWITCH(DK197,"sq",DO$7,"bn",DP$7,"dl", DQ$7,"")&lt; IF(_uom="lbs", 175, 80), 1.25, IF(_uom="lbs",5,2.5))))), "")</f>
        <v/>
      </c>
      <c r="DR197" s="148"/>
      <c r="DS197" s="33"/>
      <c r="DT197" s="171"/>
      <c r="DU197" s="124" t="str">
        <f>IFERROR(__xludf.DUMMYFUNCTION("IF(DQ197=MAX(FILTER(DQ$10:DQ$199,LOOKUP(ROW(DK$10:DK$199),FILTER(ROW(DK$10:DK$199),DK$10:DK$199&lt;&gt;DK$9:DK$198))=LOOKUP(ROW(DK197),FILTER(ROW(DK$10:DK$199),DK$10:DK$199&lt;&gt;DK$9:DK$198)))),DR197,)"),"")</f>
        <v/>
      </c>
      <c r="DV197" s="122"/>
      <c r="DW197" s="33"/>
      <c r="DX197" s="143"/>
      <c r="DY197" s="38"/>
      <c r="DZ197" s="144"/>
      <c r="EA197" s="150"/>
      <c r="EB197" s="174"/>
      <c r="EC197" s="175"/>
      <c r="ED197" s="176"/>
      <c r="EE197" s="155"/>
      <c r="EF197" s="148"/>
      <c r="EG197" s="33"/>
      <c r="EH197" s="155"/>
      <c r="EI197" s="148"/>
      <c r="EJ197" s="33"/>
      <c r="EK197" s="33"/>
      <c r="EL197" s="143"/>
      <c r="EM197" s="38"/>
      <c r="EN197" s="144"/>
      <c r="EO197" s="150"/>
      <c r="EP197" s="174"/>
      <c r="EQ197" s="175"/>
      <c r="ER197" s="176"/>
      <c r="ES197" s="155"/>
      <c r="ET197" s="148"/>
      <c r="EU197" s="33"/>
      <c r="EV197" s="155"/>
      <c r="EW197" s="148"/>
      <c r="EX197" s="33"/>
      <c r="EY197" s="33"/>
      <c r="EZ197" s="143"/>
      <c r="FA197" s="38"/>
      <c r="FB197" s="144"/>
      <c r="FC197" s="150"/>
      <c r="FD197" s="174"/>
      <c r="FE197" s="175"/>
      <c r="FF197" s="176"/>
      <c r="FG197" s="155"/>
      <c r="FH197" s="148"/>
      <c r="FI197" s="33"/>
      <c r="FJ197" s="155"/>
      <c r="FK197" s="148"/>
      <c r="FL197" s="33"/>
      <c r="FM197" s="33"/>
      <c r="FN197" s="143"/>
      <c r="FO197" s="38"/>
      <c r="FP197" s="144"/>
      <c r="FQ197" s="150"/>
      <c r="FR197" s="174"/>
      <c r="FS197" s="175"/>
      <c r="FT197" s="176"/>
      <c r="FU197" s="155"/>
      <c r="FV197" s="148"/>
      <c r="FW197" s="33"/>
      <c r="FX197" s="155"/>
      <c r="FY197" s="148"/>
      <c r="FZ197" s="33"/>
      <c r="GA197" s="33"/>
      <c r="GB197" s="143"/>
      <c r="GC197" s="38"/>
      <c r="GD197" s="144"/>
      <c r="GE197" s="150"/>
      <c r="GF197" s="174"/>
      <c r="GG197" s="175"/>
      <c r="GH197" s="176"/>
      <c r="GI197" s="155"/>
      <c r="GJ197" s="148"/>
      <c r="GK197" s="33"/>
      <c r="GL197" s="155"/>
      <c r="GM197" s="148"/>
      <c r="GN197" s="33"/>
      <c r="GO197" s="33"/>
      <c r="GP197" s="143"/>
      <c r="GQ197" s="38"/>
      <c r="GR197" s="144"/>
      <c r="GS197" s="150"/>
      <c r="GT197" s="174"/>
      <c r="GU197" s="175"/>
      <c r="GV197" s="176"/>
      <c r="GW197" s="155"/>
      <c r="GX197" s="148"/>
      <c r="GY197" s="33"/>
      <c r="GZ197" s="155"/>
      <c r="HA197" s="148"/>
      <c r="HB197" s="33"/>
      <c r="HC197" s="33"/>
      <c r="HD197" s="143"/>
      <c r="HE197" s="38"/>
      <c r="HF197" s="144"/>
      <c r="HG197" s="150"/>
      <c r="HH197" s="174"/>
      <c r="HI197" s="175"/>
      <c r="HJ197" s="176"/>
      <c r="HK197" s="155"/>
      <c r="HL197" s="148"/>
      <c r="HM197" s="33"/>
      <c r="HN197" s="155"/>
      <c r="HO197" s="148"/>
      <c r="HP197" s="33"/>
      <c r="HQ197" s="33"/>
      <c r="HR197" s="143"/>
      <c r="HS197" s="38"/>
      <c r="HT197" s="144"/>
      <c r="HU197" s="150"/>
      <c r="HV197" s="174"/>
      <c r="HW197" s="175"/>
      <c r="HX197" s="176"/>
      <c r="HY197" s="155"/>
      <c r="HZ197" s="148"/>
      <c r="IA197" s="33"/>
      <c r="IB197" s="155"/>
      <c r="IC197" s="148"/>
      <c r="ID197" s="33"/>
      <c r="IE197" s="33"/>
      <c r="IF197" s="143"/>
      <c r="IG197" s="38"/>
      <c r="IH197" s="144"/>
      <c r="II197" s="150"/>
      <c r="IJ197" s="174"/>
      <c r="IK197" s="175"/>
      <c r="IL197" s="176"/>
      <c r="IM197" s="155"/>
      <c r="IN197" s="148"/>
      <c r="IO197" s="33"/>
      <c r="IP197" s="155"/>
      <c r="IQ197" s="148"/>
      <c r="IR197" s="33"/>
      <c r="IS197" s="33"/>
      <c r="IT197" s="143"/>
      <c r="IU197" s="38"/>
      <c r="IV197" s="144"/>
      <c r="IW197" s="143"/>
      <c r="IX197" s="38"/>
      <c r="IY197" s="144" t="e">
        <v>#REF!</v>
      </c>
    </row>
    <row r="198">
      <c r="A198" s="33"/>
      <c r="B198" s="181"/>
      <c r="C198" s="38" t="str">
        <f>IFERROR(__xludf.DUMMYFUNCTION("""COMPUTED_VALUE"""),"")</f>
        <v/>
      </c>
      <c r="D198" s="144">
        <v>46111.0</v>
      </c>
      <c r="E198" s="182"/>
      <c r="F198" s="168"/>
      <c r="G198" s="169"/>
      <c r="H198" s="170"/>
      <c r="I198" s="171" t="str">
        <f t="array" ref="I198">IFERROR(IF(C198="ac"+ISNUMBER(SEARCH("'",H198))+G198="","", MROUND(SWITCH(C198,"sq",'Personal Info'!$O$15,"bn",'Personal Info'!$S$15,"dl",'Personal Info'!$W$15,"")*IF(H198&gt;10, H198/100, VLOOKUP(H198, _rpe,SUBSTITUTE(G198,"+","")+1,0)), IF( SWITCH(C198:C210,"sq",'Personal Info'!$O$15,"bn",'Personal Info'!$S$15,"dl", 'Personal Info'!$W$15,"")&lt; IF(_uom="lbs", 175, 80), 1.25, IF(_uom="lbs",5,2.5)))),"")</f>
        <v/>
      </c>
      <c r="J198" s="148"/>
      <c r="K198" s="33"/>
      <c r="L198" s="171"/>
      <c r="M198" s="124" t="str">
        <f>IFERROR(__xludf.DUMMYFUNCTION("IF(I198=MAX(FILTER(I$10:I$199,LOOKUP(ROW(C$10:C$199),FILTER(ROW(C$10:C$199),C$10:C$199&lt;&gt;C$9:C$198))=LOOKUP(ROW(C198),FILTER(ROW(C$10:C$199),C$10:C$199&lt;&gt;C$9:C$198)))),J198,)"),"")</f>
        <v/>
      </c>
      <c r="N198" s="122"/>
      <c r="O198" s="33"/>
      <c r="P198" s="143" t="str">
        <f t="shared" si="12"/>
        <v/>
      </c>
      <c r="Q198" s="38" t="str">
        <f>IFERROR(__xludf.DUMMYFUNCTION("""COMPUTED_VALUE"""),"")</f>
        <v/>
      </c>
      <c r="R198" s="144">
        <v>46118.0</v>
      </c>
      <c r="S198" s="167" t="str">
        <f t="shared" si="13"/>
        <v/>
      </c>
      <c r="T198" s="168" t="str">
        <f t="shared" si="319"/>
        <v/>
      </c>
      <c r="U198" s="169" t="str">
        <f t="shared" si="320"/>
        <v/>
      </c>
      <c r="V198" s="172" t="str">
        <f t="shared" si="321"/>
        <v/>
      </c>
      <c r="W198" s="171" t="str">
        <f t="array" ref="W198">IFERROR(IF(Q198="ac"+ISNUMBER(SEARCH("'",V198))+U198="","", IF(ISNUMBER(SEARCH("lw",V198)), I198 + SUBSTITUTE(V198,"lw+",""), MROUND(SWITCH(Q198,"sq",U$7,"bn",V$7,"dl",W$7,"")*IF(V198&gt;10, V198/100, VLOOKUP(V198, _rpe,SUBSTITUTE(U198,"+","")+1,0)), IF( SWITCH(Q198,"sq",U$7,"bn",V$7,"dl", W$7,"")&lt; IF(_uom="lbs", 175, 80), 1.25, IF(_uom="lbs",5,2.5))))), "")</f>
        <v/>
      </c>
      <c r="X198" s="148"/>
      <c r="Y198" s="33"/>
      <c r="Z198" s="171"/>
      <c r="AA198" s="124" t="str">
        <f>IFERROR(__xludf.DUMMYFUNCTION("IF(W198=MAX(FILTER(W$10:W$199,LOOKUP(ROW(Q$10:Q$199),FILTER(ROW(Q$10:Q$199),Q$10:Q$199&lt;&gt;Q$9:Q$198))=LOOKUP(ROW(Q198),FILTER(ROW(Q$10:Q$199),Q$10:Q$199&lt;&gt;Q$9:Q$198)))),X198,)"),"")</f>
        <v/>
      </c>
      <c r="AB198" s="122"/>
      <c r="AC198" s="33"/>
      <c r="AD198" s="143" t="str">
        <f t="shared" si="14"/>
        <v/>
      </c>
      <c r="AE198" s="38" t="str">
        <f>IFERROR(__xludf.DUMMYFUNCTION("""COMPUTED_VALUE"""),"")</f>
        <v/>
      </c>
      <c r="AF198" s="144">
        <v>46125.0</v>
      </c>
      <c r="AG198" s="167" t="str">
        <f t="shared" si="54"/>
        <v/>
      </c>
      <c r="AH198" s="168" t="str">
        <f t="shared" si="322"/>
        <v/>
      </c>
      <c r="AI198" s="169" t="str">
        <f t="shared" si="323"/>
        <v/>
      </c>
      <c r="AJ198" s="172" t="str">
        <f t="shared" si="324"/>
        <v/>
      </c>
      <c r="AK198" s="171" t="str">
        <f t="array" ref="AK198">IFERROR(IF(AE198="ac"+ISNUMBER(SEARCH("'",AJ198))+AI198="","", IF(ISNUMBER(SEARCH("lw",AJ198)), W198 + SUBSTITUTE(AJ198,"lw+",""), MROUND(SWITCH(AE198,"sq",AI$7,"bn",AJ$7,"dl",AK$7,"")*IF(AJ198&gt;10, AJ198/100, VLOOKUP(AJ198, _rpe,SUBSTITUTE(AI198,"+","")+1,0)), IF( SWITCH(AE198,"sq",AI$7,"bn",AJ$7,"dl", AK$7,"")&lt; IF(_uom="lbs", 175, 80), 1.25, IF(_uom="lbs",5,2.5))))), "")</f>
        <v/>
      </c>
      <c r="AL198" s="148"/>
      <c r="AM198" s="33"/>
      <c r="AN198" s="171"/>
      <c r="AO198" s="124" t="str">
        <f>IFERROR(__xludf.DUMMYFUNCTION("IF(AK198=MAX(FILTER(AK$10:AK$199,LOOKUP(ROW(AE$10:AE$199),FILTER(ROW(AE$10:AE$199),AE$10:AE$199&lt;&gt;AE$9:AE$198))=LOOKUP(ROW(AE198),FILTER(ROW(AE$10:AE$199),AE$10:AE$199&lt;&gt;AE$9:AE$198)))),AL198,)"),"")</f>
        <v/>
      </c>
      <c r="AP198" s="122"/>
      <c r="AQ198" s="33"/>
      <c r="AR198" s="143" t="str">
        <f t="shared" si="16"/>
        <v/>
      </c>
      <c r="AS198" s="38" t="str">
        <f>IFERROR(__xludf.DUMMYFUNCTION("""COMPUTED_VALUE"""),"")</f>
        <v/>
      </c>
      <c r="AT198" s="144">
        <v>46132.0</v>
      </c>
      <c r="AU198" s="167" t="str">
        <f t="shared" si="26"/>
        <v/>
      </c>
      <c r="AV198" s="168" t="str">
        <f t="shared" si="325"/>
        <v/>
      </c>
      <c r="AW198" s="169" t="str">
        <f t="shared" si="326"/>
        <v/>
      </c>
      <c r="AX198" s="172" t="str">
        <f t="shared" si="327"/>
        <v/>
      </c>
      <c r="AY198" s="171" t="str">
        <f t="array" ref="AY198">IFERROR(IF(AS198="ac"+ISNUMBER(SEARCH("'",AX198))+AW198="","", IF(ISNUMBER(SEARCH("lw",AX198)), AK198 + SUBSTITUTE(AX198,"lw+",""), MROUND(SWITCH(AS198,"sq",AW$7,"bn",AX$7,"dl",AY$7,"")*IF(AX198&gt;10, AX198/100, VLOOKUP(AX198, _rpe,SUBSTITUTE(AW198,"+","")+1,0)), IF( SWITCH(AS198,"sq",AW$7,"bn",AX$7,"dl", AY$7,"")&lt; IF(_uom="lbs", 175, 80), 1.25, IF(_uom="lbs",5,2.5))))), "")</f>
        <v/>
      </c>
      <c r="AZ198" s="148"/>
      <c r="BA198" s="33"/>
      <c r="BB198" s="171"/>
      <c r="BC198" s="124" t="str">
        <f>IFERROR(__xludf.DUMMYFUNCTION("IF(AY198=MAX(FILTER(AY$10:AY$199,LOOKUP(ROW(AS$10:AS$199),FILTER(ROW(AS$10:AS$199),AS$10:AS$199&lt;&gt;AS$9:AS$198))=LOOKUP(ROW(AS198),FILTER(ROW(AS$10:AS$199),AS$10:AS$199&lt;&gt;AS$9:AS$198)))),AZ198,)"),"")</f>
        <v/>
      </c>
      <c r="BD198" s="122"/>
      <c r="BE198" s="33"/>
      <c r="BF198" s="143" t="str">
        <f t="shared" si="17"/>
        <v/>
      </c>
      <c r="BG198" s="38" t="str">
        <f>IFERROR(__xludf.DUMMYFUNCTION("""COMPUTED_VALUE"""),"")</f>
        <v/>
      </c>
      <c r="BH198" s="144">
        <v>46139.0</v>
      </c>
      <c r="BI198" s="167" t="str">
        <f t="shared" si="18"/>
        <v/>
      </c>
      <c r="BJ198" s="168" t="str">
        <f t="shared" si="328"/>
        <v/>
      </c>
      <c r="BK198" s="169" t="str">
        <f t="shared" si="329"/>
        <v/>
      </c>
      <c r="BL198" s="172" t="str">
        <f t="shared" si="330"/>
        <v/>
      </c>
      <c r="BM198" s="171" t="str">
        <f t="array" ref="BM198">IFERROR(IF(BG198="ac"+ISNUMBER(SEARCH("'",BL198))+BK198="","", IF(ISNUMBER(SEARCH("lw",BL198)), AY198 + SUBSTITUTE(BL198,"lw+",""), MROUND(SWITCH(BG198,"sq",BK$7,"bn",BL$7,"dl",BM$7,"")*IF(BL198&gt;10, BL198/100, VLOOKUP(BL198, _rpe,SUBSTITUTE(BK198,"+","")+1,0)), IF( SWITCH(BG198,"sq",BK$7,"bn",BL$7,"dl", BM$7,"")&lt; IF(_uom="lbs", 175, 80), 1.25, IF(_uom="lbs",5,2.5))))), "")</f>
        <v/>
      </c>
      <c r="BN198" s="148"/>
      <c r="BO198" s="33"/>
      <c r="BP198" s="171"/>
      <c r="BQ198" s="124" t="str">
        <f>IFERROR(__xludf.DUMMYFUNCTION("IF(BM198=MAX(FILTER(BM$10:BM$199,LOOKUP(ROW(BG$10:BG$199),FILTER(ROW(BG$10:BG$199),BG$10:BG$199&lt;&gt;BG$9:BG$198))=LOOKUP(ROW(BG198),FILTER(ROW(BG$10:BG$199),BG$10:BG$199&lt;&gt;BG$9:BG$198)))),BN198,)"),"")</f>
        <v/>
      </c>
      <c r="BR198" s="122"/>
      <c r="BS198" s="33"/>
      <c r="BT198" s="143" t="str">
        <f t="shared" si="19"/>
        <v/>
      </c>
      <c r="BU198" s="38" t="str">
        <f>IFERROR(__xludf.DUMMYFUNCTION("""COMPUTED_VALUE"""),"")</f>
        <v/>
      </c>
      <c r="BV198" s="144">
        <v>46146.0</v>
      </c>
      <c r="BW198" s="167" t="str">
        <f t="shared" si="20"/>
        <v/>
      </c>
      <c r="BX198" s="168" t="str">
        <f t="shared" si="331"/>
        <v/>
      </c>
      <c r="BY198" s="169" t="str">
        <f t="shared" si="332"/>
        <v/>
      </c>
      <c r="BZ198" s="172" t="str">
        <f t="shared" si="333"/>
        <v/>
      </c>
      <c r="CA198" s="171" t="str">
        <f t="array" ref="CA198">IFERROR(IF(BU198="ac"+ISNUMBER(SEARCH("'",BZ198))+BY198="","", IF(ISNUMBER(SEARCH("lw",BZ198)), BM198 + SUBSTITUTE(BZ198,"lw+",""), MROUND(SWITCH(BU198,"sq",BY$7,"bn",BZ$7,"dl",CA$7,"")*IF(BZ198&gt;10, BZ198/100, VLOOKUP(BZ198, _rpe,SUBSTITUTE(BY198,"+","")+1,0)), IF( SWITCH(BU198,"sq",BY$7,"bn",BZ$7,"dl", CA$7,"")&lt; IF(_uom="lbs", 175, 80), 1.25, IF(_uom="lbs",5,2.5))))), "")</f>
        <v/>
      </c>
      <c r="CB198" s="148"/>
      <c r="CC198" s="33"/>
      <c r="CD198" s="171"/>
      <c r="CE198" s="124" t="str">
        <f>IFERROR(__xludf.DUMMYFUNCTION("IF(CA198=MAX(FILTER(CA$10:CA$199,LOOKUP(ROW(BU$10:BU$199),FILTER(ROW(BU$10:BU$199),BU$10:BU$199&lt;&gt;BU$9:BU$198))=LOOKUP(ROW(BU198),FILTER(ROW(BU$10:BU$199),BU$10:BU$199&lt;&gt;BU$9:BU$198)))),CB198,)"),"")</f>
        <v/>
      </c>
      <c r="CF198" s="122"/>
      <c r="CG198" s="33"/>
      <c r="CH198" s="143" t="str">
        <f t="shared" si="21"/>
        <v/>
      </c>
      <c r="CI198" s="38" t="str">
        <f>IFERROR(__xludf.DUMMYFUNCTION("""COMPUTED_VALUE"""),"")</f>
        <v/>
      </c>
      <c r="CJ198" s="144">
        <v>46153.0</v>
      </c>
      <c r="CK198" s="167" t="str">
        <f t="shared" si="27"/>
        <v/>
      </c>
      <c r="CL198" s="168" t="str">
        <f t="shared" si="334"/>
        <v/>
      </c>
      <c r="CM198" s="169" t="str">
        <f t="shared" si="335"/>
        <v/>
      </c>
      <c r="CN198" s="172" t="str">
        <f t="shared" si="336"/>
        <v/>
      </c>
      <c r="CO198" s="171" t="str">
        <f t="array" ref="CO198">IFERROR(IF(CI198="ac"+ISNUMBER(SEARCH("'",CN198))+CM198="","", IF(ISNUMBER(SEARCH("lw",CN198)), CA198 + SUBSTITUTE(CN198,"lw+",""), MROUND(SWITCH(CI198,"sq",CM$7,"bn",CN$7,"dl",CO$7,"")*IF(CN198&gt;10, CN198/100, VLOOKUP(CN198, _rpe,SUBSTITUTE(CM198,"+","")+1,0)), IF( SWITCH(CI198,"sq",CM$7,"bn",CN$7,"dl", CO$7,"")&lt; IF(_uom="lbs", 175, 80), 1.25, IF(_uom="lbs",5,2.5))))), "")</f>
        <v/>
      </c>
      <c r="CP198" s="148"/>
      <c r="CQ198" s="33"/>
      <c r="CR198" s="171"/>
      <c r="CS198" s="124" t="str">
        <f>IFERROR(__xludf.DUMMYFUNCTION("IF(CO198=MAX(FILTER(CO$10:CO$199,LOOKUP(ROW(CI$10:CI$199),FILTER(ROW(CI$10:CI$199),CI$10:CI$199&lt;&gt;CI$9:CI$198))=LOOKUP(ROW(CI198),FILTER(ROW(CI$10:CI$199),CI$10:CI$199&lt;&gt;CI$9:CI$198)))),CP198,)"),"")</f>
        <v/>
      </c>
      <c r="CT198" s="122"/>
      <c r="CU198" s="33"/>
      <c r="CV198" s="143" t="str">
        <f t="shared" si="22"/>
        <v/>
      </c>
      <c r="CW198" s="38" t="str">
        <f>IFERROR(__xludf.DUMMYFUNCTION("""COMPUTED_VALUE"""),"")</f>
        <v/>
      </c>
      <c r="CX198" s="144">
        <v>46160.0</v>
      </c>
      <c r="CY198" s="167" t="str">
        <f t="shared" si="28"/>
        <v/>
      </c>
      <c r="CZ198" s="168" t="str">
        <f t="shared" si="337"/>
        <v/>
      </c>
      <c r="DA198" s="169" t="str">
        <f t="shared" si="338"/>
        <v/>
      </c>
      <c r="DB198" s="172" t="str">
        <f t="shared" si="339"/>
        <v/>
      </c>
      <c r="DC198" s="171" t="str">
        <f t="array" ref="DC198">IFERROR(IF(CW198="ac"+ISNUMBER(SEARCH("'",DB198))+DA198="","", IF(ISNUMBER(SEARCH("lw",DB198)), CO198 + SUBSTITUTE(DB198,"lw+",""), MROUND(SWITCH(CW198,"sq",DA$7,"bn",DB$7,"dl",DC$7,"")*IF(DB198&gt;10, DB198/100, VLOOKUP(DB198, _rpe,SUBSTITUTE(DA198,"+","")+1,0)), IF( SWITCH(CW198,"sq",DA$7,"bn",DB$7,"dl", DC$7,"")&lt; IF(_uom="lbs", 175, 80), 1.25, IF(_uom="lbs",5,2.5))))), "")</f>
        <v/>
      </c>
      <c r="DD198" s="148"/>
      <c r="DE198" s="33"/>
      <c r="DF198" s="171"/>
      <c r="DG198" s="124" t="str">
        <f>IFERROR(__xludf.DUMMYFUNCTION("IF(DC198=MAX(FILTER(DC$10:DC$199,LOOKUP(ROW(CW$10:CW$199),FILTER(ROW(CW$10:CW$199),CW$10:CW$199&lt;&gt;CW$9:CW$198))=LOOKUP(ROW(CW198),FILTER(ROW(CW$10:CW$199),CW$10:CW$199&lt;&gt;CW$9:CW$198)))),DD198,)"),"")</f>
        <v/>
      </c>
      <c r="DH198" s="122"/>
      <c r="DI198" s="33"/>
      <c r="DJ198" s="143" t="str">
        <f t="shared" si="23"/>
        <v/>
      </c>
      <c r="DK198" s="38" t="str">
        <f>IFERROR(__xludf.DUMMYFUNCTION("""COMPUTED_VALUE"""),"")</f>
        <v/>
      </c>
      <c r="DL198" s="144">
        <v>46167.0</v>
      </c>
      <c r="DM198" s="167" t="str">
        <f t="shared" ref="DM198:DN198" si="450">IF(ISBLANK(CY198),"",CY198)</f>
        <v/>
      </c>
      <c r="DN198" s="168" t="str">
        <f t="shared" si="450"/>
        <v/>
      </c>
      <c r="DO198" s="169" t="str">
        <f t="shared" si="341"/>
        <v/>
      </c>
      <c r="DP198" s="172" t="str">
        <f t="shared" si="342"/>
        <v/>
      </c>
      <c r="DQ198" s="171" t="str">
        <f t="array" ref="DQ198">IFERROR(IF(DK198="ac"+ISNUMBER(SEARCH("'",DP198))+DO198="","", IF(ISNUMBER(SEARCH("lw",DP198)), DC198 + SUBSTITUTE(DP198,"lw+",""), MROUND(SWITCH(DK198,"sq",DO$7,"bn",DP$7,"dl",DQ$7,"")*IF(DP198&gt;10, DP198/100, VLOOKUP(DP198, _rpe,SUBSTITUTE(DO198,"+","")+1,0)), IF( SWITCH(DK198,"sq",DO$7,"bn",DP$7,"dl", DQ$7,"")&lt; IF(_uom="lbs", 175, 80), 1.25, IF(_uom="lbs",5,2.5))))), "")</f>
        <v/>
      </c>
      <c r="DR198" s="148"/>
      <c r="DS198" s="33"/>
      <c r="DT198" s="171"/>
      <c r="DU198" s="124" t="str">
        <f>IFERROR(__xludf.DUMMYFUNCTION("IF(DQ198=MAX(FILTER(DQ$10:DQ$199,LOOKUP(ROW(DK$10:DK$199),FILTER(ROW(DK$10:DK$199),DK$10:DK$199&lt;&gt;DK$9:DK$198))=LOOKUP(ROW(DK198),FILTER(ROW(DK$10:DK$199),DK$10:DK$199&lt;&gt;DK$9:DK$198)))),DR198,)"),"")</f>
        <v/>
      </c>
      <c r="DV198" s="122"/>
      <c r="DW198" s="33"/>
      <c r="DX198" s="143"/>
      <c r="DY198" s="38"/>
      <c r="DZ198" s="144"/>
      <c r="EA198" s="150"/>
      <c r="EB198" s="174"/>
      <c r="EC198" s="175"/>
      <c r="ED198" s="176"/>
      <c r="EE198" s="155"/>
      <c r="EF198" s="148"/>
      <c r="EG198" s="33"/>
      <c r="EH198" s="155"/>
      <c r="EI198" s="148"/>
      <c r="EJ198" s="33"/>
      <c r="EK198" s="33"/>
      <c r="EL198" s="143"/>
      <c r="EM198" s="38"/>
      <c r="EN198" s="144"/>
      <c r="EO198" s="150"/>
      <c r="EP198" s="174"/>
      <c r="EQ198" s="175"/>
      <c r="ER198" s="176"/>
      <c r="ES198" s="155"/>
      <c r="ET198" s="148"/>
      <c r="EU198" s="33"/>
      <c r="EV198" s="155"/>
      <c r="EW198" s="148"/>
      <c r="EX198" s="33"/>
      <c r="EY198" s="33"/>
      <c r="EZ198" s="143"/>
      <c r="FA198" s="38"/>
      <c r="FB198" s="144"/>
      <c r="FC198" s="150"/>
      <c r="FD198" s="174"/>
      <c r="FE198" s="175"/>
      <c r="FF198" s="176"/>
      <c r="FG198" s="155"/>
      <c r="FH198" s="148"/>
      <c r="FI198" s="33"/>
      <c r="FJ198" s="155"/>
      <c r="FK198" s="148"/>
      <c r="FL198" s="33"/>
      <c r="FM198" s="33"/>
      <c r="FN198" s="143"/>
      <c r="FO198" s="38"/>
      <c r="FP198" s="144"/>
      <c r="FQ198" s="150"/>
      <c r="FR198" s="174"/>
      <c r="FS198" s="175"/>
      <c r="FT198" s="176"/>
      <c r="FU198" s="155"/>
      <c r="FV198" s="148"/>
      <c r="FW198" s="33"/>
      <c r="FX198" s="155"/>
      <c r="FY198" s="148"/>
      <c r="FZ198" s="33"/>
      <c r="GA198" s="33"/>
      <c r="GB198" s="143"/>
      <c r="GC198" s="38"/>
      <c r="GD198" s="144"/>
      <c r="GE198" s="150"/>
      <c r="GF198" s="174"/>
      <c r="GG198" s="175"/>
      <c r="GH198" s="176"/>
      <c r="GI198" s="155"/>
      <c r="GJ198" s="148"/>
      <c r="GK198" s="33"/>
      <c r="GL198" s="155"/>
      <c r="GM198" s="148"/>
      <c r="GN198" s="33"/>
      <c r="GO198" s="33"/>
      <c r="GP198" s="143"/>
      <c r="GQ198" s="38"/>
      <c r="GR198" s="144"/>
      <c r="GS198" s="150"/>
      <c r="GT198" s="174"/>
      <c r="GU198" s="175"/>
      <c r="GV198" s="176"/>
      <c r="GW198" s="155"/>
      <c r="GX198" s="148"/>
      <c r="GY198" s="33"/>
      <c r="GZ198" s="155"/>
      <c r="HA198" s="148"/>
      <c r="HB198" s="33"/>
      <c r="HC198" s="33"/>
      <c r="HD198" s="143"/>
      <c r="HE198" s="38"/>
      <c r="HF198" s="144"/>
      <c r="HG198" s="150"/>
      <c r="HH198" s="174"/>
      <c r="HI198" s="175"/>
      <c r="HJ198" s="176"/>
      <c r="HK198" s="155"/>
      <c r="HL198" s="148"/>
      <c r="HM198" s="33"/>
      <c r="HN198" s="155"/>
      <c r="HO198" s="148"/>
      <c r="HP198" s="33"/>
      <c r="HQ198" s="33"/>
      <c r="HR198" s="143"/>
      <c r="HS198" s="38"/>
      <c r="HT198" s="144"/>
      <c r="HU198" s="150"/>
      <c r="HV198" s="174"/>
      <c r="HW198" s="175"/>
      <c r="HX198" s="176"/>
      <c r="HY198" s="155"/>
      <c r="HZ198" s="148"/>
      <c r="IA198" s="33"/>
      <c r="IB198" s="155"/>
      <c r="IC198" s="148"/>
      <c r="ID198" s="33"/>
      <c r="IE198" s="33"/>
      <c r="IF198" s="143"/>
      <c r="IG198" s="38"/>
      <c r="IH198" s="144"/>
      <c r="II198" s="150"/>
      <c r="IJ198" s="174"/>
      <c r="IK198" s="175"/>
      <c r="IL198" s="176"/>
      <c r="IM198" s="155"/>
      <c r="IN198" s="148"/>
      <c r="IO198" s="33"/>
      <c r="IP198" s="155"/>
      <c r="IQ198" s="148"/>
      <c r="IR198" s="33"/>
      <c r="IS198" s="33"/>
      <c r="IT198" s="143"/>
      <c r="IU198" s="38"/>
      <c r="IV198" s="144"/>
      <c r="IW198" s="143"/>
      <c r="IX198" s="38"/>
      <c r="IY198" s="144" t="e">
        <v>#REF!</v>
      </c>
    </row>
    <row r="199">
      <c r="A199" s="33"/>
      <c r="B199" s="181"/>
      <c r="C199" s="38" t="str">
        <f>IFERROR(__xludf.DUMMYFUNCTION("""COMPUTED_VALUE"""),"")</f>
        <v/>
      </c>
      <c r="D199" s="144">
        <v>46111.0</v>
      </c>
      <c r="E199" s="182"/>
      <c r="F199" s="168"/>
      <c r="G199" s="169"/>
      <c r="H199" s="170"/>
      <c r="I199" s="171" t="str">
        <f t="array" ref="I199">IFERROR(IF(C199="ac"+ISNUMBER(SEARCH("'",H199))+G199="","", MROUND(SWITCH(C199,"sq",'Personal Info'!$O$15,"bn",'Personal Info'!$S$15,"dl",'Personal Info'!$W$15,"")*IF(H199&gt;10, H199/100, VLOOKUP(H199, _rpe,SUBSTITUTE(G199,"+","")+1,0)), IF( SWITCH(C199:C210,"sq",'Personal Info'!$O$15,"bn",'Personal Info'!$S$15,"dl", 'Personal Info'!$W$15,"")&lt; IF(_uom="lbs", 175, 80), 1.25, IF(_uom="lbs",5,2.5)))),"")</f>
        <v/>
      </c>
      <c r="J199" s="148"/>
      <c r="K199" s="33"/>
      <c r="L199" s="171"/>
      <c r="M199" s="124" t="str">
        <f>IFERROR(__xludf.DUMMYFUNCTION("IF(I199=MAX(FILTER(I$10:I$199,LOOKUP(ROW(C$10:C$199),FILTER(ROW(C$10:C$199),C$10:C$199&lt;&gt;C$9:C$198))=LOOKUP(ROW(C199),FILTER(ROW(C$10:C$199),C$10:C$199&lt;&gt;C$9:C$198)))),J199,)"),"")</f>
        <v/>
      </c>
      <c r="N199" s="122"/>
      <c r="O199" s="33"/>
      <c r="P199" s="143" t="str">
        <f t="shared" si="12"/>
        <v/>
      </c>
      <c r="Q199" s="38" t="str">
        <f>IFERROR(__xludf.DUMMYFUNCTION("""COMPUTED_VALUE"""),"")</f>
        <v/>
      </c>
      <c r="R199" s="144">
        <v>46118.0</v>
      </c>
      <c r="S199" s="167" t="str">
        <f t="shared" si="13"/>
        <v/>
      </c>
      <c r="T199" s="168" t="str">
        <f t="shared" si="319"/>
        <v/>
      </c>
      <c r="U199" s="169" t="str">
        <f t="shared" si="320"/>
        <v/>
      </c>
      <c r="V199" s="172" t="str">
        <f t="shared" si="321"/>
        <v/>
      </c>
      <c r="W199" s="171" t="str">
        <f t="array" ref="W199">IFERROR(IF(Q199="ac"+ISNUMBER(SEARCH("'",V199))+U199="","", IF(ISNUMBER(SEARCH("lw",V199)), I199 + SUBSTITUTE(V199,"lw+",""), MROUND(SWITCH(Q199,"sq",U$7,"bn",V$7,"dl",W$7,"")*IF(V199&gt;10, V199/100, VLOOKUP(V199, _rpe,SUBSTITUTE(U199,"+","")+1,0)), IF( SWITCH(Q199,"sq",U$7,"bn",V$7,"dl", W$7,"")&lt; IF(_uom="lbs", 175, 80), 1.25, IF(_uom="lbs",5,2.5))))), "")</f>
        <v/>
      </c>
      <c r="X199" s="148"/>
      <c r="Y199" s="33"/>
      <c r="Z199" s="171"/>
      <c r="AA199" s="124" t="str">
        <f>IFERROR(__xludf.DUMMYFUNCTION("IF(W199=MAX(FILTER(W$10:W$199,LOOKUP(ROW(Q$10:Q$199),FILTER(ROW(Q$10:Q$199),Q$10:Q$199&lt;&gt;Q$9:Q$198))=LOOKUP(ROW(Q199),FILTER(ROW(Q$10:Q$199),Q$10:Q$199&lt;&gt;Q$9:Q$198)))),X199,)"),"")</f>
        <v/>
      </c>
      <c r="AB199" s="122"/>
      <c r="AC199" s="33"/>
      <c r="AD199" s="143" t="str">
        <f t="shared" si="14"/>
        <v/>
      </c>
      <c r="AE199" s="38" t="str">
        <f>IFERROR(__xludf.DUMMYFUNCTION("""COMPUTED_VALUE"""),"")</f>
        <v/>
      </c>
      <c r="AF199" s="144">
        <v>46125.0</v>
      </c>
      <c r="AG199" s="167" t="str">
        <f t="shared" si="54"/>
        <v/>
      </c>
      <c r="AH199" s="168" t="str">
        <f t="shared" si="322"/>
        <v/>
      </c>
      <c r="AI199" s="169" t="str">
        <f t="shared" si="323"/>
        <v/>
      </c>
      <c r="AJ199" s="172" t="str">
        <f t="shared" si="324"/>
        <v/>
      </c>
      <c r="AK199" s="171" t="str">
        <f t="array" ref="AK199">IFERROR(IF(AE199="ac"+ISNUMBER(SEARCH("'",AJ199))+AI199="","", IF(ISNUMBER(SEARCH("lw",AJ199)), W199 + SUBSTITUTE(AJ199,"lw+",""), MROUND(SWITCH(AE199,"sq",AI$7,"bn",AJ$7,"dl",AK$7,"")*IF(AJ199&gt;10, AJ199/100, VLOOKUP(AJ199, _rpe,SUBSTITUTE(AI199,"+","")+1,0)), IF( SWITCH(AE199,"sq",AI$7,"bn",AJ$7,"dl", AK$7,"")&lt; IF(_uom="lbs", 175, 80), 1.25, IF(_uom="lbs",5,2.5))))), "")</f>
        <v/>
      </c>
      <c r="AL199" s="148"/>
      <c r="AM199" s="33"/>
      <c r="AN199" s="171"/>
      <c r="AO199" s="124" t="str">
        <f>IFERROR(__xludf.DUMMYFUNCTION("IF(AK199=MAX(FILTER(AK$10:AK$199,LOOKUP(ROW(AE$10:AE$199),FILTER(ROW(AE$10:AE$199),AE$10:AE$199&lt;&gt;AE$9:AE$198))=LOOKUP(ROW(AE199),FILTER(ROW(AE$10:AE$199),AE$10:AE$199&lt;&gt;AE$9:AE$198)))),AL199,)"),"")</f>
        <v/>
      </c>
      <c r="AP199" s="122"/>
      <c r="AQ199" s="33"/>
      <c r="AR199" s="143" t="str">
        <f t="shared" si="16"/>
        <v/>
      </c>
      <c r="AS199" s="38" t="str">
        <f>IFERROR(__xludf.DUMMYFUNCTION("""COMPUTED_VALUE"""),"")</f>
        <v/>
      </c>
      <c r="AT199" s="144">
        <v>46132.0</v>
      </c>
      <c r="AU199" s="167" t="str">
        <f t="shared" si="26"/>
        <v/>
      </c>
      <c r="AV199" s="168" t="str">
        <f t="shared" si="325"/>
        <v/>
      </c>
      <c r="AW199" s="169" t="str">
        <f t="shared" si="326"/>
        <v/>
      </c>
      <c r="AX199" s="172" t="str">
        <f t="shared" si="327"/>
        <v/>
      </c>
      <c r="AY199" s="171" t="str">
        <f t="array" ref="AY199">IFERROR(IF(AS199="ac"+ISNUMBER(SEARCH("'",AX199))+AW199="","", IF(ISNUMBER(SEARCH("lw",AX199)), AK199 + SUBSTITUTE(AX199,"lw+",""), MROUND(SWITCH(AS199,"sq",AW$7,"bn",AX$7,"dl",AY$7,"")*IF(AX199&gt;10, AX199/100, VLOOKUP(AX199, _rpe,SUBSTITUTE(AW199,"+","")+1,0)), IF( SWITCH(AS199,"sq",AW$7,"bn",AX$7,"dl", AY$7,"")&lt; IF(_uom="lbs", 175, 80), 1.25, IF(_uom="lbs",5,2.5))))), "")</f>
        <v/>
      </c>
      <c r="AZ199" s="148"/>
      <c r="BA199" s="33"/>
      <c r="BB199" s="171"/>
      <c r="BC199" s="124" t="str">
        <f>IFERROR(__xludf.DUMMYFUNCTION("IF(AY199=MAX(FILTER(AY$10:AY$199,LOOKUP(ROW(AS$10:AS$199),FILTER(ROW(AS$10:AS$199),AS$10:AS$199&lt;&gt;AS$9:AS$198))=LOOKUP(ROW(AS199),FILTER(ROW(AS$10:AS$199),AS$10:AS$199&lt;&gt;AS$9:AS$198)))),AZ199,)"),"")</f>
        <v/>
      </c>
      <c r="BD199" s="122"/>
      <c r="BE199" s="33"/>
      <c r="BF199" s="143" t="str">
        <f t="shared" si="17"/>
        <v/>
      </c>
      <c r="BG199" s="38" t="str">
        <f>IFERROR(__xludf.DUMMYFUNCTION("""COMPUTED_VALUE"""),"")</f>
        <v/>
      </c>
      <c r="BH199" s="144">
        <v>46139.0</v>
      </c>
      <c r="BI199" s="167" t="str">
        <f t="shared" si="18"/>
        <v/>
      </c>
      <c r="BJ199" s="168" t="str">
        <f t="shared" si="328"/>
        <v/>
      </c>
      <c r="BK199" s="169" t="str">
        <f t="shared" si="329"/>
        <v/>
      </c>
      <c r="BL199" s="172" t="str">
        <f t="shared" si="330"/>
        <v/>
      </c>
      <c r="BM199" s="171" t="str">
        <f t="array" ref="BM199">IFERROR(IF(BG199="ac"+ISNUMBER(SEARCH("'",BL199))+BK199="","", IF(ISNUMBER(SEARCH("lw",BL199)), AY199 + SUBSTITUTE(BL199,"lw+",""), MROUND(SWITCH(BG199,"sq",BK$7,"bn",BL$7,"dl",BM$7,"")*IF(BL199&gt;10, BL199/100, VLOOKUP(BL199, _rpe,SUBSTITUTE(BK199,"+","")+1,0)), IF( SWITCH(BG199,"sq",BK$7,"bn",BL$7,"dl", BM$7,"")&lt; IF(_uom="lbs", 175, 80), 1.25, IF(_uom="lbs",5,2.5))))), "")</f>
        <v/>
      </c>
      <c r="BN199" s="148"/>
      <c r="BO199" s="33"/>
      <c r="BP199" s="171"/>
      <c r="BQ199" s="124" t="str">
        <f>IFERROR(__xludf.DUMMYFUNCTION("IF(BM199=MAX(FILTER(BM$10:BM$199,LOOKUP(ROW(BG$10:BG$199),FILTER(ROW(BG$10:BG$199),BG$10:BG$199&lt;&gt;BG$9:BG$198))=LOOKUP(ROW(BG199),FILTER(ROW(BG$10:BG$199),BG$10:BG$199&lt;&gt;BG$9:BG$198)))),BN199,)"),"")</f>
        <v/>
      </c>
      <c r="BR199" s="122"/>
      <c r="BS199" s="33"/>
      <c r="BT199" s="143" t="str">
        <f t="shared" si="19"/>
        <v/>
      </c>
      <c r="BU199" s="38" t="str">
        <f>IFERROR(__xludf.DUMMYFUNCTION("""COMPUTED_VALUE"""),"")</f>
        <v/>
      </c>
      <c r="BV199" s="144">
        <v>46146.0</v>
      </c>
      <c r="BW199" s="167" t="str">
        <f t="shared" si="20"/>
        <v/>
      </c>
      <c r="BX199" s="168" t="str">
        <f t="shared" si="331"/>
        <v/>
      </c>
      <c r="BY199" s="169" t="str">
        <f t="shared" si="332"/>
        <v/>
      </c>
      <c r="BZ199" s="172" t="str">
        <f t="shared" si="333"/>
        <v/>
      </c>
      <c r="CA199" s="171" t="str">
        <f t="array" ref="CA199">IFERROR(IF(BU199="ac"+ISNUMBER(SEARCH("'",BZ199))+BY199="","", IF(ISNUMBER(SEARCH("lw",BZ199)), BM199 + SUBSTITUTE(BZ199,"lw+",""), MROUND(SWITCH(BU199,"sq",BY$7,"bn",BZ$7,"dl",CA$7,"")*IF(BZ199&gt;10, BZ199/100, VLOOKUP(BZ199, _rpe,SUBSTITUTE(BY199,"+","")+1,0)), IF( SWITCH(BU199,"sq",BY$7,"bn",BZ$7,"dl", CA$7,"")&lt; IF(_uom="lbs", 175, 80), 1.25, IF(_uom="lbs",5,2.5))))), "")</f>
        <v/>
      </c>
      <c r="CB199" s="148"/>
      <c r="CC199" s="33"/>
      <c r="CD199" s="171"/>
      <c r="CE199" s="124" t="str">
        <f>IFERROR(__xludf.DUMMYFUNCTION("IF(CA199=MAX(FILTER(CA$10:CA$199,LOOKUP(ROW(BU$10:BU$199),FILTER(ROW(BU$10:BU$199),BU$10:BU$199&lt;&gt;BU$9:BU$198))=LOOKUP(ROW(BU199),FILTER(ROW(BU$10:BU$199),BU$10:BU$199&lt;&gt;BU$9:BU$198)))),CB199,)"),"")</f>
        <v/>
      </c>
      <c r="CF199" s="122"/>
      <c r="CG199" s="33"/>
      <c r="CH199" s="143" t="str">
        <f t="shared" si="21"/>
        <v/>
      </c>
      <c r="CI199" s="38" t="str">
        <f>IFERROR(__xludf.DUMMYFUNCTION("""COMPUTED_VALUE"""),"")</f>
        <v/>
      </c>
      <c r="CJ199" s="144">
        <v>46153.0</v>
      </c>
      <c r="CK199" s="167" t="str">
        <f t="shared" si="27"/>
        <v/>
      </c>
      <c r="CL199" s="168" t="str">
        <f t="shared" si="334"/>
        <v/>
      </c>
      <c r="CM199" s="169" t="str">
        <f t="shared" si="335"/>
        <v/>
      </c>
      <c r="CN199" s="172" t="str">
        <f t="shared" si="336"/>
        <v/>
      </c>
      <c r="CO199" s="171" t="str">
        <f t="array" ref="CO199">IFERROR(IF(CI199="ac"+ISNUMBER(SEARCH("'",CN199))+CM199="","", IF(ISNUMBER(SEARCH("lw",CN199)), CA199 + SUBSTITUTE(CN199,"lw+",""), MROUND(SWITCH(CI199,"sq",CM$7,"bn",CN$7,"dl",CO$7,"")*IF(CN199&gt;10, CN199/100, VLOOKUP(CN199, _rpe,SUBSTITUTE(CM199,"+","")+1,0)), IF( SWITCH(CI199,"sq",CM$7,"bn",CN$7,"dl", CO$7,"")&lt; IF(_uom="lbs", 175, 80), 1.25, IF(_uom="lbs",5,2.5))))), "")</f>
        <v/>
      </c>
      <c r="CP199" s="148"/>
      <c r="CQ199" s="33"/>
      <c r="CR199" s="171"/>
      <c r="CS199" s="124" t="str">
        <f>IFERROR(__xludf.DUMMYFUNCTION("IF(CO199=MAX(FILTER(CO$10:CO$199,LOOKUP(ROW(CI$10:CI$199),FILTER(ROW(CI$10:CI$199),CI$10:CI$199&lt;&gt;CI$9:CI$198))=LOOKUP(ROW(CI199),FILTER(ROW(CI$10:CI$199),CI$10:CI$199&lt;&gt;CI$9:CI$198)))),CP199,)"),"")</f>
        <v/>
      </c>
      <c r="CT199" s="122"/>
      <c r="CU199" s="33"/>
      <c r="CV199" s="143" t="str">
        <f t="shared" si="22"/>
        <v/>
      </c>
      <c r="CW199" s="38" t="str">
        <f>IFERROR(__xludf.DUMMYFUNCTION("""COMPUTED_VALUE"""),"")</f>
        <v/>
      </c>
      <c r="CX199" s="144">
        <v>46160.0</v>
      </c>
      <c r="CY199" s="167" t="str">
        <f t="shared" si="28"/>
        <v/>
      </c>
      <c r="CZ199" s="168" t="str">
        <f t="shared" si="337"/>
        <v/>
      </c>
      <c r="DA199" s="169" t="str">
        <f t="shared" si="338"/>
        <v/>
      </c>
      <c r="DB199" s="172" t="str">
        <f t="shared" si="339"/>
        <v/>
      </c>
      <c r="DC199" s="171" t="str">
        <f t="array" ref="DC199">IFERROR(IF(CW199="ac"+ISNUMBER(SEARCH("'",DB199))+DA199="","", IF(ISNUMBER(SEARCH("lw",DB199)), CO199 + SUBSTITUTE(DB199,"lw+",""), MROUND(SWITCH(CW199,"sq",DA$7,"bn",DB$7,"dl",DC$7,"")*IF(DB199&gt;10, DB199/100, VLOOKUP(DB199, _rpe,SUBSTITUTE(DA199,"+","")+1,0)), IF( SWITCH(CW199,"sq",DA$7,"bn",DB$7,"dl", DC$7,"")&lt; IF(_uom="lbs", 175, 80), 1.25, IF(_uom="lbs",5,2.5))))), "")</f>
        <v/>
      </c>
      <c r="DD199" s="148"/>
      <c r="DE199" s="33"/>
      <c r="DF199" s="171"/>
      <c r="DG199" s="124" t="str">
        <f>IFERROR(__xludf.DUMMYFUNCTION("IF(DC199=MAX(FILTER(DC$10:DC$199,LOOKUP(ROW(CW$10:CW$199),FILTER(ROW(CW$10:CW$199),CW$10:CW$199&lt;&gt;CW$9:CW$198))=LOOKUP(ROW(CW199),FILTER(ROW(CW$10:CW$199),CW$10:CW$199&lt;&gt;CW$9:CW$198)))),DD199,)"),"")</f>
        <v/>
      </c>
      <c r="DH199" s="122"/>
      <c r="DI199" s="33"/>
      <c r="DJ199" s="143" t="str">
        <f t="shared" si="23"/>
        <v/>
      </c>
      <c r="DK199" s="38" t="str">
        <f>IFERROR(__xludf.DUMMYFUNCTION("""COMPUTED_VALUE"""),"")</f>
        <v/>
      </c>
      <c r="DL199" s="144">
        <v>46167.0</v>
      </c>
      <c r="DM199" s="167" t="str">
        <f t="shared" ref="DM199:DN199" si="451">IF(ISBLANK(CY199),"",CY199)</f>
        <v/>
      </c>
      <c r="DN199" s="168" t="str">
        <f t="shared" si="451"/>
        <v/>
      </c>
      <c r="DO199" s="169" t="str">
        <f t="shared" si="341"/>
        <v/>
      </c>
      <c r="DP199" s="172" t="str">
        <f t="shared" si="342"/>
        <v/>
      </c>
      <c r="DQ199" s="171" t="str">
        <f t="array" ref="DQ199">IFERROR(IF(DK199="ac"+ISNUMBER(SEARCH("'",DP199))+DO199="","", IF(ISNUMBER(SEARCH("lw",DP199)), DC199 + SUBSTITUTE(DP199,"lw+",""), MROUND(SWITCH(DK199,"sq",DO$7,"bn",DP$7,"dl",DQ$7,"")*IF(DP199&gt;10, DP199/100, VLOOKUP(DP199, _rpe,SUBSTITUTE(DO199,"+","")+1,0)), IF( SWITCH(DK199,"sq",DO$7,"bn",DP$7,"dl", DQ$7,"")&lt; IF(_uom="lbs", 175, 80), 1.25, IF(_uom="lbs",5,2.5))))), "")</f>
        <v/>
      </c>
      <c r="DR199" s="148"/>
      <c r="DS199" s="33"/>
      <c r="DT199" s="171"/>
      <c r="DU199" s="124" t="str">
        <f>IFERROR(__xludf.DUMMYFUNCTION("IF(DQ199=MAX(FILTER(DQ$10:DQ$199,LOOKUP(ROW(DK$10:DK$199),FILTER(ROW(DK$10:DK$199),DK$10:DK$199&lt;&gt;DK$9:DK$198))=LOOKUP(ROW(DK199),FILTER(ROW(DK$10:DK$199),DK$10:DK$199&lt;&gt;DK$9:DK$198)))),DR199,)"),"")</f>
        <v/>
      </c>
      <c r="DV199" s="122"/>
      <c r="DW199" s="33"/>
      <c r="DX199" s="143"/>
      <c r="DY199" s="38"/>
      <c r="DZ199" s="144"/>
      <c r="EA199" s="150"/>
      <c r="EB199" s="174"/>
      <c r="EC199" s="175"/>
      <c r="ED199" s="176"/>
      <c r="EE199" s="155"/>
      <c r="EF199" s="148"/>
      <c r="EG199" s="33"/>
      <c r="EH199" s="155"/>
      <c r="EI199" s="148"/>
      <c r="EJ199" s="33"/>
      <c r="EK199" s="33"/>
      <c r="EL199" s="143"/>
      <c r="EM199" s="38"/>
      <c r="EN199" s="144"/>
      <c r="EO199" s="150"/>
      <c r="EP199" s="174"/>
      <c r="EQ199" s="175"/>
      <c r="ER199" s="176"/>
      <c r="ES199" s="155"/>
      <c r="ET199" s="148"/>
      <c r="EU199" s="33"/>
      <c r="EV199" s="155"/>
      <c r="EW199" s="148"/>
      <c r="EX199" s="33"/>
      <c r="EY199" s="33"/>
      <c r="EZ199" s="143"/>
      <c r="FA199" s="38"/>
      <c r="FB199" s="144"/>
      <c r="FC199" s="150"/>
      <c r="FD199" s="174"/>
      <c r="FE199" s="175"/>
      <c r="FF199" s="176"/>
      <c r="FG199" s="155"/>
      <c r="FH199" s="148"/>
      <c r="FI199" s="33"/>
      <c r="FJ199" s="155"/>
      <c r="FK199" s="148"/>
      <c r="FL199" s="33"/>
      <c r="FM199" s="33"/>
      <c r="FN199" s="143"/>
      <c r="FO199" s="38"/>
      <c r="FP199" s="144"/>
      <c r="FQ199" s="150"/>
      <c r="FR199" s="174"/>
      <c r="FS199" s="175"/>
      <c r="FT199" s="176"/>
      <c r="FU199" s="155"/>
      <c r="FV199" s="148"/>
      <c r="FW199" s="33"/>
      <c r="FX199" s="155"/>
      <c r="FY199" s="148"/>
      <c r="FZ199" s="33"/>
      <c r="GA199" s="33"/>
      <c r="GB199" s="143"/>
      <c r="GC199" s="38"/>
      <c r="GD199" s="144"/>
      <c r="GE199" s="150"/>
      <c r="GF199" s="174"/>
      <c r="GG199" s="175"/>
      <c r="GH199" s="176"/>
      <c r="GI199" s="155"/>
      <c r="GJ199" s="148"/>
      <c r="GK199" s="33"/>
      <c r="GL199" s="155"/>
      <c r="GM199" s="148"/>
      <c r="GN199" s="33"/>
      <c r="GO199" s="33"/>
      <c r="GP199" s="143"/>
      <c r="GQ199" s="38"/>
      <c r="GR199" s="144"/>
      <c r="GS199" s="150"/>
      <c r="GT199" s="174"/>
      <c r="GU199" s="175"/>
      <c r="GV199" s="176"/>
      <c r="GW199" s="155"/>
      <c r="GX199" s="148"/>
      <c r="GY199" s="33"/>
      <c r="GZ199" s="155"/>
      <c r="HA199" s="148"/>
      <c r="HB199" s="33"/>
      <c r="HC199" s="33"/>
      <c r="HD199" s="143"/>
      <c r="HE199" s="38"/>
      <c r="HF199" s="144"/>
      <c r="HG199" s="150"/>
      <c r="HH199" s="174"/>
      <c r="HI199" s="175"/>
      <c r="HJ199" s="176"/>
      <c r="HK199" s="155"/>
      <c r="HL199" s="148"/>
      <c r="HM199" s="33"/>
      <c r="HN199" s="155"/>
      <c r="HO199" s="148"/>
      <c r="HP199" s="33"/>
      <c r="HQ199" s="33"/>
      <c r="HR199" s="143"/>
      <c r="HS199" s="38"/>
      <c r="HT199" s="144"/>
      <c r="HU199" s="150"/>
      <c r="HV199" s="174"/>
      <c r="HW199" s="175"/>
      <c r="HX199" s="176"/>
      <c r="HY199" s="155"/>
      <c r="HZ199" s="148"/>
      <c r="IA199" s="33"/>
      <c r="IB199" s="155"/>
      <c r="IC199" s="148"/>
      <c r="ID199" s="33"/>
      <c r="IE199" s="33"/>
      <c r="IF199" s="143"/>
      <c r="IG199" s="38"/>
      <c r="IH199" s="144"/>
      <c r="II199" s="150"/>
      <c r="IJ199" s="174"/>
      <c r="IK199" s="175"/>
      <c r="IL199" s="176"/>
      <c r="IM199" s="155"/>
      <c r="IN199" s="148"/>
      <c r="IO199" s="33"/>
      <c r="IP199" s="155"/>
      <c r="IQ199" s="148"/>
      <c r="IR199" s="33"/>
      <c r="IS199" s="33"/>
      <c r="IT199" s="143"/>
      <c r="IU199" s="38"/>
      <c r="IV199" s="144"/>
      <c r="IW199" s="143"/>
      <c r="IX199" s="38"/>
      <c r="IY199" s="144" t="e">
        <v>#REF!</v>
      </c>
    </row>
    <row r="200">
      <c r="A200" s="33"/>
      <c r="B200" s="181"/>
      <c r="C200" s="38" t="str">
        <f>IFERROR(__xludf.DUMMYFUNCTION("""COMPUTED_VALUE"""),"")</f>
        <v/>
      </c>
      <c r="D200" s="144"/>
      <c r="E200" s="184"/>
      <c r="F200" s="174"/>
      <c r="G200" s="175"/>
      <c r="H200" s="185"/>
      <c r="I200" s="155"/>
      <c r="J200" s="148"/>
      <c r="K200" s="33"/>
      <c r="L200" s="155"/>
      <c r="M200" s="148"/>
      <c r="N200" s="33"/>
      <c r="O200" s="33"/>
      <c r="P200" s="143"/>
      <c r="Q200" s="38" t="str">
        <f>IFERROR(__xludf.DUMMYFUNCTION("""COMPUTED_VALUE"""),"")</f>
        <v/>
      </c>
      <c r="R200" s="144"/>
      <c r="S200" s="150"/>
      <c r="T200" s="174"/>
      <c r="U200" s="175"/>
      <c r="V200" s="176"/>
      <c r="W200" s="155"/>
      <c r="X200" s="148"/>
      <c r="Y200" s="33"/>
      <c r="Z200" s="155"/>
      <c r="AA200" s="148"/>
      <c r="AB200" s="33"/>
      <c r="AC200" s="33"/>
      <c r="AD200" s="143"/>
      <c r="AE200" s="38" t="str">
        <f>IFERROR(__xludf.DUMMYFUNCTION("""COMPUTED_VALUE"""),"")</f>
        <v/>
      </c>
      <c r="AF200" s="144"/>
      <c r="AG200" s="150"/>
      <c r="AH200" s="174"/>
      <c r="AI200" s="175"/>
      <c r="AJ200" s="176"/>
      <c r="AK200" s="155"/>
      <c r="AL200" s="148"/>
      <c r="AM200" s="33"/>
      <c r="AN200" s="155"/>
      <c r="AO200" s="148"/>
      <c r="AP200" s="33"/>
      <c r="AQ200" s="33"/>
      <c r="AR200" s="143"/>
      <c r="AS200" s="38" t="str">
        <f>IFERROR(__xludf.DUMMYFUNCTION("""COMPUTED_VALUE"""),"")</f>
        <v/>
      </c>
      <c r="AT200" s="144"/>
      <c r="AU200" s="150"/>
      <c r="AV200" s="174"/>
      <c r="AW200" s="175"/>
      <c r="AX200" s="176"/>
      <c r="AY200" s="155"/>
      <c r="AZ200" s="148"/>
      <c r="BA200" s="33"/>
      <c r="BB200" s="155"/>
      <c r="BC200" s="148"/>
      <c r="BD200" s="33"/>
      <c r="BE200" s="33"/>
      <c r="BF200" s="143"/>
      <c r="BG200" s="38" t="str">
        <f>IFERROR(__xludf.DUMMYFUNCTION("""COMPUTED_VALUE"""),"")</f>
        <v/>
      </c>
      <c r="BH200" s="144"/>
      <c r="BI200" s="150"/>
      <c r="BJ200" s="174"/>
      <c r="BK200" s="175"/>
      <c r="BL200" s="176"/>
      <c r="BM200" s="155"/>
      <c r="BN200" s="148"/>
      <c r="BO200" s="33"/>
      <c r="BP200" s="155"/>
      <c r="BQ200" s="148"/>
      <c r="BR200" s="33"/>
      <c r="BS200" s="33"/>
      <c r="BT200" s="143"/>
      <c r="BU200" s="38" t="str">
        <f>IFERROR(__xludf.DUMMYFUNCTION("""COMPUTED_VALUE"""),"")</f>
        <v/>
      </c>
      <c r="BV200" s="144"/>
      <c r="BW200" s="150"/>
      <c r="BX200" s="174"/>
      <c r="BY200" s="175"/>
      <c r="BZ200" s="176"/>
      <c r="CA200" s="155"/>
      <c r="CB200" s="148"/>
      <c r="CC200" s="33"/>
      <c r="CD200" s="155"/>
      <c r="CE200" s="148"/>
      <c r="CF200" s="33"/>
      <c r="CG200" s="33"/>
      <c r="CH200" s="143"/>
      <c r="CI200" s="38" t="str">
        <f>IFERROR(__xludf.DUMMYFUNCTION("""COMPUTED_VALUE"""),"")</f>
        <v/>
      </c>
      <c r="CJ200" s="144"/>
      <c r="CK200" s="150"/>
      <c r="CL200" s="174"/>
      <c r="CM200" s="175"/>
      <c r="CN200" s="176"/>
      <c r="CO200" s="155"/>
      <c r="CP200" s="148"/>
      <c r="CQ200" s="33"/>
      <c r="CR200" s="155"/>
      <c r="CS200" s="148"/>
      <c r="CT200" s="33"/>
      <c r="CU200" s="33"/>
      <c r="CV200" s="143"/>
      <c r="CW200" s="38" t="str">
        <f>IFERROR(__xludf.DUMMYFUNCTION("""COMPUTED_VALUE"""),"")</f>
        <v/>
      </c>
      <c r="CX200" s="144"/>
      <c r="CY200" s="150"/>
      <c r="CZ200" s="174"/>
      <c r="DA200" s="175"/>
      <c r="DB200" s="176"/>
      <c r="DC200" s="155"/>
      <c r="DD200" s="148"/>
      <c r="DE200" s="33"/>
      <c r="DF200" s="155"/>
      <c r="DG200" s="148"/>
      <c r="DH200" s="33"/>
      <c r="DI200" s="33"/>
      <c r="DJ200" s="143"/>
      <c r="DK200" s="38" t="str">
        <f>IFERROR(__xludf.DUMMYFUNCTION("""COMPUTED_VALUE"""),"")</f>
        <v/>
      </c>
      <c r="DL200" s="144"/>
      <c r="DM200" s="150"/>
      <c r="DN200" s="174"/>
      <c r="DO200" s="175"/>
      <c r="DP200" s="176"/>
      <c r="DQ200" s="155"/>
      <c r="DR200" s="148"/>
      <c r="DS200" s="33"/>
      <c r="DT200" s="155"/>
      <c r="DU200" s="148"/>
      <c r="DV200" s="33"/>
      <c r="DW200" s="33"/>
      <c r="DX200" s="143"/>
      <c r="DY200" s="38"/>
      <c r="DZ200" s="144"/>
      <c r="EA200" s="150"/>
      <c r="EB200" s="174"/>
      <c r="EC200" s="175"/>
      <c r="ED200" s="176"/>
      <c r="EE200" s="155"/>
      <c r="EF200" s="148"/>
      <c r="EG200" s="33"/>
      <c r="EH200" s="155"/>
      <c r="EI200" s="148"/>
      <c r="EJ200" s="33"/>
      <c r="EK200" s="33"/>
      <c r="EL200" s="143"/>
      <c r="EM200" s="38"/>
      <c r="EN200" s="144"/>
      <c r="EO200" s="150"/>
      <c r="EP200" s="174"/>
      <c r="EQ200" s="175"/>
      <c r="ER200" s="176"/>
      <c r="ES200" s="155"/>
      <c r="ET200" s="148"/>
      <c r="EU200" s="33"/>
      <c r="EV200" s="155"/>
      <c r="EW200" s="148"/>
      <c r="EX200" s="33"/>
      <c r="EY200" s="33"/>
      <c r="EZ200" s="143"/>
      <c r="FA200" s="38"/>
      <c r="FB200" s="144"/>
      <c r="FC200" s="150"/>
      <c r="FD200" s="174"/>
      <c r="FE200" s="175"/>
      <c r="FF200" s="176"/>
      <c r="FG200" s="155"/>
      <c r="FH200" s="148"/>
      <c r="FI200" s="33"/>
      <c r="FJ200" s="155"/>
      <c r="FK200" s="148"/>
      <c r="FL200" s="33"/>
      <c r="FM200" s="33"/>
      <c r="FN200" s="143"/>
      <c r="FO200" s="38"/>
      <c r="FP200" s="144"/>
      <c r="FQ200" s="150"/>
      <c r="FR200" s="174"/>
      <c r="FS200" s="175"/>
      <c r="FT200" s="176"/>
      <c r="FU200" s="155"/>
      <c r="FV200" s="148"/>
      <c r="FW200" s="33"/>
      <c r="FX200" s="155"/>
      <c r="FY200" s="148"/>
      <c r="FZ200" s="33"/>
      <c r="GA200" s="33"/>
      <c r="GB200" s="143"/>
      <c r="GC200" s="38"/>
      <c r="GD200" s="144"/>
      <c r="GE200" s="150"/>
      <c r="GF200" s="174"/>
      <c r="GG200" s="175"/>
      <c r="GH200" s="176"/>
      <c r="GI200" s="155"/>
      <c r="GJ200" s="148"/>
      <c r="GK200" s="33"/>
      <c r="GL200" s="155"/>
      <c r="GM200" s="148"/>
      <c r="GN200" s="33"/>
      <c r="GO200" s="33"/>
      <c r="GP200" s="143"/>
      <c r="GQ200" s="38"/>
      <c r="GR200" s="144"/>
      <c r="GS200" s="150"/>
      <c r="GT200" s="174"/>
      <c r="GU200" s="175"/>
      <c r="GV200" s="176"/>
      <c r="GW200" s="155"/>
      <c r="GX200" s="148"/>
      <c r="GY200" s="33"/>
      <c r="GZ200" s="155"/>
      <c r="HA200" s="148"/>
      <c r="HB200" s="33"/>
      <c r="HC200" s="33"/>
      <c r="HD200" s="143"/>
      <c r="HE200" s="38"/>
      <c r="HF200" s="144"/>
      <c r="HG200" s="150"/>
      <c r="HH200" s="174"/>
      <c r="HI200" s="175"/>
      <c r="HJ200" s="176"/>
      <c r="HK200" s="155"/>
      <c r="HL200" s="148"/>
      <c r="HM200" s="33"/>
      <c r="HN200" s="155"/>
      <c r="HO200" s="148"/>
      <c r="HP200" s="33"/>
      <c r="HQ200" s="33"/>
      <c r="HR200" s="143"/>
      <c r="HS200" s="38"/>
      <c r="HT200" s="144"/>
      <c r="HU200" s="150"/>
      <c r="HV200" s="174"/>
      <c r="HW200" s="175"/>
      <c r="HX200" s="176"/>
      <c r="HY200" s="155"/>
      <c r="HZ200" s="148"/>
      <c r="IA200" s="33"/>
      <c r="IB200" s="155"/>
      <c r="IC200" s="148"/>
      <c r="ID200" s="33"/>
      <c r="IE200" s="33"/>
      <c r="IF200" s="143"/>
      <c r="IG200" s="38"/>
      <c r="IH200" s="144"/>
      <c r="II200" s="150"/>
      <c r="IJ200" s="174"/>
      <c r="IK200" s="175"/>
      <c r="IL200" s="176"/>
      <c r="IM200" s="155"/>
      <c r="IN200" s="148"/>
      <c r="IO200" s="33"/>
      <c r="IP200" s="155"/>
      <c r="IQ200" s="148"/>
      <c r="IR200" s="33"/>
      <c r="IS200" s="33"/>
      <c r="IT200" s="143"/>
      <c r="IU200" s="38"/>
      <c r="IV200" s="144"/>
      <c r="IW200" s="143"/>
      <c r="IX200" s="38"/>
      <c r="IY200" s="144"/>
    </row>
    <row r="201">
      <c r="A201" s="33"/>
      <c r="B201" s="181"/>
      <c r="C201" s="38" t="str">
        <f>IFERROR(__xludf.DUMMYFUNCTION("""COMPUTED_VALUE"""),"")</f>
        <v/>
      </c>
      <c r="D201" s="144"/>
      <c r="E201" s="184"/>
      <c r="F201" s="174"/>
      <c r="G201" s="175"/>
      <c r="H201" s="185"/>
      <c r="I201" s="155"/>
      <c r="J201" s="148"/>
      <c r="K201" s="33"/>
      <c r="L201" s="155"/>
      <c r="M201" s="148"/>
      <c r="N201" s="33"/>
      <c r="O201" s="33"/>
      <c r="P201" s="143"/>
      <c r="Q201" s="38" t="str">
        <f>IFERROR(__xludf.DUMMYFUNCTION("""COMPUTED_VALUE"""),"")</f>
        <v/>
      </c>
      <c r="R201" s="144"/>
      <c r="S201" s="150"/>
      <c r="T201" s="174"/>
      <c r="U201" s="175"/>
      <c r="V201" s="176"/>
      <c r="W201" s="155"/>
      <c r="X201" s="148"/>
      <c r="Y201" s="33"/>
      <c r="Z201" s="155"/>
      <c r="AA201" s="148"/>
      <c r="AB201" s="33"/>
      <c r="AC201" s="33"/>
      <c r="AD201" s="143"/>
      <c r="AE201" s="38" t="str">
        <f>IFERROR(__xludf.DUMMYFUNCTION("""COMPUTED_VALUE"""),"")</f>
        <v/>
      </c>
      <c r="AF201" s="144"/>
      <c r="AG201" s="150"/>
      <c r="AH201" s="174"/>
      <c r="AI201" s="175"/>
      <c r="AJ201" s="176"/>
      <c r="AK201" s="155"/>
      <c r="AL201" s="148"/>
      <c r="AM201" s="33"/>
      <c r="AN201" s="155"/>
      <c r="AO201" s="148"/>
      <c r="AP201" s="33"/>
      <c r="AQ201" s="33"/>
      <c r="AR201" s="143"/>
      <c r="AS201" s="38" t="str">
        <f>IFERROR(__xludf.DUMMYFUNCTION("""COMPUTED_VALUE"""),"")</f>
        <v/>
      </c>
      <c r="AT201" s="144"/>
      <c r="AU201" s="150"/>
      <c r="AV201" s="174"/>
      <c r="AW201" s="175"/>
      <c r="AX201" s="176"/>
      <c r="AY201" s="155"/>
      <c r="AZ201" s="148"/>
      <c r="BA201" s="33"/>
      <c r="BB201" s="155"/>
      <c r="BC201" s="148"/>
      <c r="BD201" s="33"/>
      <c r="BE201" s="33"/>
      <c r="BF201" s="143"/>
      <c r="BG201" s="38" t="str">
        <f>IFERROR(__xludf.DUMMYFUNCTION("""COMPUTED_VALUE"""),"")</f>
        <v/>
      </c>
      <c r="BH201" s="144"/>
      <c r="BI201" s="150"/>
      <c r="BJ201" s="174"/>
      <c r="BK201" s="175"/>
      <c r="BL201" s="176"/>
      <c r="BM201" s="155"/>
      <c r="BN201" s="148"/>
      <c r="BO201" s="33"/>
      <c r="BP201" s="155"/>
      <c r="BQ201" s="148"/>
      <c r="BR201" s="33"/>
      <c r="BS201" s="33"/>
      <c r="BT201" s="143"/>
      <c r="BU201" s="38" t="str">
        <f>IFERROR(__xludf.DUMMYFUNCTION("""COMPUTED_VALUE"""),"")</f>
        <v/>
      </c>
      <c r="BV201" s="144"/>
      <c r="BW201" s="150"/>
      <c r="BX201" s="174"/>
      <c r="BY201" s="175"/>
      <c r="BZ201" s="176"/>
      <c r="CA201" s="155"/>
      <c r="CB201" s="148"/>
      <c r="CC201" s="33"/>
      <c r="CD201" s="155"/>
      <c r="CE201" s="148"/>
      <c r="CF201" s="33"/>
      <c r="CG201" s="33"/>
      <c r="CH201" s="143"/>
      <c r="CI201" s="38" t="str">
        <f>IFERROR(__xludf.DUMMYFUNCTION("""COMPUTED_VALUE"""),"")</f>
        <v/>
      </c>
      <c r="CJ201" s="144"/>
      <c r="CK201" s="150"/>
      <c r="CL201" s="174"/>
      <c r="CM201" s="175"/>
      <c r="CN201" s="176"/>
      <c r="CO201" s="155"/>
      <c r="CP201" s="148"/>
      <c r="CQ201" s="33"/>
      <c r="CR201" s="155"/>
      <c r="CS201" s="148"/>
      <c r="CT201" s="33"/>
      <c r="CU201" s="33"/>
      <c r="CV201" s="143"/>
      <c r="CW201" s="38" t="str">
        <f>IFERROR(__xludf.DUMMYFUNCTION("""COMPUTED_VALUE"""),"")</f>
        <v/>
      </c>
      <c r="CX201" s="144"/>
      <c r="CY201" s="150"/>
      <c r="CZ201" s="174"/>
      <c r="DA201" s="175"/>
      <c r="DB201" s="176"/>
      <c r="DC201" s="155"/>
      <c r="DD201" s="148"/>
      <c r="DE201" s="33"/>
      <c r="DF201" s="155"/>
      <c r="DG201" s="148"/>
      <c r="DH201" s="33"/>
      <c r="DI201" s="33"/>
      <c r="DJ201" s="143"/>
      <c r="DK201" s="38" t="str">
        <f>IFERROR(__xludf.DUMMYFUNCTION("""COMPUTED_VALUE"""),"")</f>
        <v/>
      </c>
      <c r="DL201" s="144"/>
      <c r="DM201" s="150"/>
      <c r="DN201" s="174"/>
      <c r="DO201" s="175"/>
      <c r="DP201" s="176"/>
      <c r="DQ201" s="155"/>
      <c r="DR201" s="148"/>
      <c r="DS201" s="33"/>
      <c r="DT201" s="155"/>
      <c r="DU201" s="148"/>
      <c r="DV201" s="33"/>
      <c r="DW201" s="33"/>
      <c r="DX201" s="143"/>
      <c r="DY201" s="38"/>
      <c r="DZ201" s="144"/>
      <c r="EA201" s="150"/>
      <c r="EB201" s="174"/>
      <c r="EC201" s="175"/>
      <c r="ED201" s="176"/>
      <c r="EE201" s="155"/>
      <c r="EF201" s="148"/>
      <c r="EG201" s="33"/>
      <c r="EH201" s="155"/>
      <c r="EI201" s="148"/>
      <c r="EJ201" s="33"/>
      <c r="EK201" s="33"/>
      <c r="EL201" s="143"/>
      <c r="EM201" s="38"/>
      <c r="EN201" s="144"/>
      <c r="EO201" s="150"/>
      <c r="EP201" s="174"/>
      <c r="EQ201" s="175"/>
      <c r="ER201" s="176"/>
      <c r="ES201" s="155"/>
      <c r="ET201" s="148"/>
      <c r="EU201" s="33"/>
      <c r="EV201" s="155"/>
      <c r="EW201" s="148"/>
      <c r="EX201" s="33"/>
      <c r="EY201" s="33"/>
      <c r="EZ201" s="143"/>
      <c r="FA201" s="38"/>
      <c r="FB201" s="144"/>
      <c r="FC201" s="150"/>
      <c r="FD201" s="174"/>
      <c r="FE201" s="175"/>
      <c r="FF201" s="176"/>
      <c r="FG201" s="155"/>
      <c r="FH201" s="148"/>
      <c r="FI201" s="33"/>
      <c r="FJ201" s="155"/>
      <c r="FK201" s="148"/>
      <c r="FL201" s="33"/>
      <c r="FM201" s="33"/>
      <c r="FN201" s="143"/>
      <c r="FO201" s="38"/>
      <c r="FP201" s="144"/>
      <c r="FQ201" s="150"/>
      <c r="FR201" s="174"/>
      <c r="FS201" s="175"/>
      <c r="FT201" s="176"/>
      <c r="FU201" s="155"/>
      <c r="FV201" s="148"/>
      <c r="FW201" s="33"/>
      <c r="FX201" s="155"/>
      <c r="FY201" s="148"/>
      <c r="FZ201" s="33"/>
      <c r="GA201" s="33"/>
      <c r="GB201" s="143"/>
      <c r="GC201" s="38"/>
      <c r="GD201" s="144"/>
      <c r="GE201" s="150"/>
      <c r="GF201" s="174"/>
      <c r="GG201" s="175"/>
      <c r="GH201" s="176"/>
      <c r="GI201" s="155"/>
      <c r="GJ201" s="148"/>
      <c r="GK201" s="33"/>
      <c r="GL201" s="155"/>
      <c r="GM201" s="148"/>
      <c r="GN201" s="33"/>
      <c r="GO201" s="33"/>
      <c r="GP201" s="143"/>
      <c r="GQ201" s="38"/>
      <c r="GR201" s="144"/>
      <c r="GS201" s="150"/>
      <c r="GT201" s="174"/>
      <c r="GU201" s="175"/>
      <c r="GV201" s="176"/>
      <c r="GW201" s="155"/>
      <c r="GX201" s="148"/>
      <c r="GY201" s="33"/>
      <c r="GZ201" s="155"/>
      <c r="HA201" s="148"/>
      <c r="HB201" s="33"/>
      <c r="HC201" s="33"/>
      <c r="HD201" s="143"/>
      <c r="HE201" s="38"/>
      <c r="HF201" s="144"/>
      <c r="HG201" s="150"/>
      <c r="HH201" s="174"/>
      <c r="HI201" s="175"/>
      <c r="HJ201" s="176"/>
      <c r="HK201" s="155"/>
      <c r="HL201" s="148"/>
      <c r="HM201" s="33"/>
      <c r="HN201" s="155"/>
      <c r="HO201" s="148"/>
      <c r="HP201" s="33"/>
      <c r="HQ201" s="33"/>
      <c r="HR201" s="143"/>
      <c r="HS201" s="38"/>
      <c r="HT201" s="144"/>
      <c r="HU201" s="150"/>
      <c r="HV201" s="174"/>
      <c r="HW201" s="175"/>
      <c r="HX201" s="176"/>
      <c r="HY201" s="155"/>
      <c r="HZ201" s="148"/>
      <c r="IA201" s="33"/>
      <c r="IB201" s="155"/>
      <c r="IC201" s="148"/>
      <c r="ID201" s="33"/>
      <c r="IE201" s="33"/>
      <c r="IF201" s="143"/>
      <c r="IG201" s="38"/>
      <c r="IH201" s="144"/>
      <c r="II201" s="150"/>
      <c r="IJ201" s="174"/>
      <c r="IK201" s="175"/>
      <c r="IL201" s="176"/>
      <c r="IM201" s="155"/>
      <c r="IN201" s="148"/>
      <c r="IO201" s="33"/>
      <c r="IP201" s="155"/>
      <c r="IQ201" s="148"/>
      <c r="IR201" s="33"/>
      <c r="IS201" s="33"/>
      <c r="IT201" s="143"/>
      <c r="IU201" s="38"/>
      <c r="IV201" s="144"/>
      <c r="IW201" s="143"/>
      <c r="IX201" s="38"/>
      <c r="IY201" s="144"/>
    </row>
    <row r="202">
      <c r="A202" s="33"/>
      <c r="B202" s="181"/>
      <c r="C202" s="38" t="str">
        <f>IFERROR(__xludf.DUMMYFUNCTION("""COMPUTED_VALUE"""),"")</f>
        <v/>
      </c>
      <c r="D202" s="144"/>
      <c r="E202" s="184"/>
      <c r="F202" s="174"/>
      <c r="G202" s="175"/>
      <c r="H202" s="185"/>
      <c r="I202" s="155"/>
      <c r="J202" s="148"/>
      <c r="K202" s="33"/>
      <c r="L202" s="155"/>
      <c r="M202" s="148"/>
      <c r="N202" s="33"/>
      <c r="O202" s="33"/>
      <c r="P202" s="143"/>
      <c r="Q202" s="38" t="str">
        <f>IFERROR(__xludf.DUMMYFUNCTION("""COMPUTED_VALUE"""),"")</f>
        <v/>
      </c>
      <c r="R202" s="144"/>
      <c r="S202" s="150"/>
      <c r="T202" s="174"/>
      <c r="U202" s="175"/>
      <c r="V202" s="176"/>
      <c r="W202" s="155"/>
      <c r="X202" s="148"/>
      <c r="Y202" s="33"/>
      <c r="Z202" s="155"/>
      <c r="AA202" s="148"/>
      <c r="AB202" s="33"/>
      <c r="AC202" s="33"/>
      <c r="AD202" s="143"/>
      <c r="AE202" s="38" t="str">
        <f>IFERROR(__xludf.DUMMYFUNCTION("""COMPUTED_VALUE"""),"")</f>
        <v/>
      </c>
      <c r="AF202" s="144"/>
      <c r="AG202" s="150"/>
      <c r="AH202" s="174"/>
      <c r="AI202" s="175"/>
      <c r="AJ202" s="176"/>
      <c r="AK202" s="155"/>
      <c r="AL202" s="148"/>
      <c r="AM202" s="33"/>
      <c r="AN202" s="155"/>
      <c r="AO202" s="148"/>
      <c r="AP202" s="33"/>
      <c r="AQ202" s="33"/>
      <c r="AR202" s="143"/>
      <c r="AS202" s="38" t="str">
        <f>IFERROR(__xludf.DUMMYFUNCTION("""COMPUTED_VALUE"""),"")</f>
        <v/>
      </c>
      <c r="AT202" s="144"/>
      <c r="AU202" s="150"/>
      <c r="AV202" s="174"/>
      <c r="AW202" s="175"/>
      <c r="AX202" s="176"/>
      <c r="AY202" s="155"/>
      <c r="AZ202" s="148"/>
      <c r="BA202" s="33"/>
      <c r="BB202" s="155"/>
      <c r="BC202" s="148"/>
      <c r="BD202" s="33"/>
      <c r="BE202" s="33"/>
      <c r="BF202" s="143"/>
      <c r="BG202" s="38" t="str">
        <f>IFERROR(__xludf.DUMMYFUNCTION("""COMPUTED_VALUE"""),"")</f>
        <v/>
      </c>
      <c r="BH202" s="144"/>
      <c r="BI202" s="150"/>
      <c r="BJ202" s="174"/>
      <c r="BK202" s="175"/>
      <c r="BL202" s="176"/>
      <c r="BM202" s="155"/>
      <c r="BN202" s="148"/>
      <c r="BO202" s="33"/>
      <c r="BP202" s="155"/>
      <c r="BQ202" s="148"/>
      <c r="BR202" s="33"/>
      <c r="BS202" s="33"/>
      <c r="BT202" s="143"/>
      <c r="BU202" s="38" t="str">
        <f>IFERROR(__xludf.DUMMYFUNCTION("""COMPUTED_VALUE"""),"")</f>
        <v/>
      </c>
      <c r="BV202" s="144"/>
      <c r="BW202" s="150"/>
      <c r="BX202" s="174"/>
      <c r="BY202" s="175"/>
      <c r="BZ202" s="176"/>
      <c r="CA202" s="155"/>
      <c r="CB202" s="148"/>
      <c r="CC202" s="33"/>
      <c r="CD202" s="155"/>
      <c r="CE202" s="148"/>
      <c r="CF202" s="33"/>
      <c r="CG202" s="33"/>
      <c r="CH202" s="143"/>
      <c r="CI202" s="38" t="str">
        <f>IFERROR(__xludf.DUMMYFUNCTION("""COMPUTED_VALUE"""),"")</f>
        <v/>
      </c>
      <c r="CJ202" s="144"/>
      <c r="CK202" s="150"/>
      <c r="CL202" s="174"/>
      <c r="CM202" s="175"/>
      <c r="CN202" s="176"/>
      <c r="CO202" s="155"/>
      <c r="CP202" s="148"/>
      <c r="CQ202" s="33"/>
      <c r="CR202" s="155"/>
      <c r="CS202" s="148"/>
      <c r="CT202" s="33"/>
      <c r="CU202" s="33"/>
      <c r="CV202" s="143"/>
      <c r="CW202" s="38" t="str">
        <f>IFERROR(__xludf.DUMMYFUNCTION("""COMPUTED_VALUE"""),"")</f>
        <v/>
      </c>
      <c r="CX202" s="144"/>
      <c r="CY202" s="150"/>
      <c r="CZ202" s="174"/>
      <c r="DA202" s="175"/>
      <c r="DB202" s="176"/>
      <c r="DC202" s="155"/>
      <c r="DD202" s="148"/>
      <c r="DE202" s="33"/>
      <c r="DF202" s="155"/>
      <c r="DG202" s="148"/>
      <c r="DH202" s="33"/>
      <c r="DI202" s="33"/>
      <c r="DJ202" s="143"/>
      <c r="DK202" s="38" t="str">
        <f>IFERROR(__xludf.DUMMYFUNCTION("""COMPUTED_VALUE"""),"")</f>
        <v/>
      </c>
      <c r="DL202" s="144"/>
      <c r="DM202" s="150"/>
      <c r="DN202" s="174"/>
      <c r="DO202" s="175"/>
      <c r="DP202" s="176"/>
      <c r="DQ202" s="155"/>
      <c r="DR202" s="148"/>
      <c r="DS202" s="33"/>
      <c r="DT202" s="155"/>
      <c r="DU202" s="148"/>
      <c r="DV202" s="33"/>
      <c r="DW202" s="33"/>
      <c r="DX202" s="143"/>
      <c r="DY202" s="38"/>
      <c r="DZ202" s="144"/>
      <c r="EA202" s="150"/>
      <c r="EB202" s="174"/>
      <c r="EC202" s="175"/>
      <c r="ED202" s="176"/>
      <c r="EE202" s="155"/>
      <c r="EF202" s="148"/>
      <c r="EG202" s="33"/>
      <c r="EH202" s="155"/>
      <c r="EI202" s="148"/>
      <c r="EJ202" s="33"/>
      <c r="EK202" s="33"/>
      <c r="EL202" s="143"/>
      <c r="EM202" s="38"/>
      <c r="EN202" s="144"/>
      <c r="EO202" s="150"/>
      <c r="EP202" s="174"/>
      <c r="EQ202" s="175"/>
      <c r="ER202" s="176"/>
      <c r="ES202" s="155"/>
      <c r="ET202" s="148"/>
      <c r="EU202" s="33"/>
      <c r="EV202" s="155"/>
      <c r="EW202" s="148"/>
      <c r="EX202" s="33"/>
      <c r="EY202" s="33"/>
      <c r="EZ202" s="143"/>
      <c r="FA202" s="38"/>
      <c r="FB202" s="144"/>
      <c r="FC202" s="150"/>
      <c r="FD202" s="174"/>
      <c r="FE202" s="175"/>
      <c r="FF202" s="176"/>
      <c r="FG202" s="155"/>
      <c r="FH202" s="148"/>
      <c r="FI202" s="33"/>
      <c r="FJ202" s="155"/>
      <c r="FK202" s="148"/>
      <c r="FL202" s="33"/>
      <c r="FM202" s="33"/>
      <c r="FN202" s="143"/>
      <c r="FO202" s="38"/>
      <c r="FP202" s="144"/>
      <c r="FQ202" s="150"/>
      <c r="FR202" s="174"/>
      <c r="FS202" s="175"/>
      <c r="FT202" s="176"/>
      <c r="FU202" s="155"/>
      <c r="FV202" s="148"/>
      <c r="FW202" s="33"/>
      <c r="FX202" s="155"/>
      <c r="FY202" s="148"/>
      <c r="FZ202" s="33"/>
      <c r="GA202" s="33"/>
      <c r="GB202" s="143"/>
      <c r="GC202" s="38"/>
      <c r="GD202" s="144"/>
      <c r="GE202" s="150"/>
      <c r="GF202" s="174"/>
      <c r="GG202" s="175"/>
      <c r="GH202" s="176"/>
      <c r="GI202" s="155"/>
      <c r="GJ202" s="148"/>
      <c r="GK202" s="33"/>
      <c r="GL202" s="155"/>
      <c r="GM202" s="148"/>
      <c r="GN202" s="33"/>
      <c r="GO202" s="33"/>
      <c r="GP202" s="143"/>
      <c r="GQ202" s="38"/>
      <c r="GR202" s="144"/>
      <c r="GS202" s="150"/>
      <c r="GT202" s="174"/>
      <c r="GU202" s="175"/>
      <c r="GV202" s="176"/>
      <c r="GW202" s="155"/>
      <c r="GX202" s="148"/>
      <c r="GY202" s="33"/>
      <c r="GZ202" s="155"/>
      <c r="HA202" s="148"/>
      <c r="HB202" s="33"/>
      <c r="HC202" s="33"/>
      <c r="HD202" s="143"/>
      <c r="HE202" s="38"/>
      <c r="HF202" s="144"/>
      <c r="HG202" s="150"/>
      <c r="HH202" s="174"/>
      <c r="HI202" s="175"/>
      <c r="HJ202" s="176"/>
      <c r="HK202" s="155"/>
      <c r="HL202" s="148"/>
      <c r="HM202" s="33"/>
      <c r="HN202" s="155"/>
      <c r="HO202" s="148"/>
      <c r="HP202" s="33"/>
      <c r="HQ202" s="33"/>
      <c r="HR202" s="143"/>
      <c r="HS202" s="38"/>
      <c r="HT202" s="144"/>
      <c r="HU202" s="150"/>
      <c r="HV202" s="174"/>
      <c r="HW202" s="175"/>
      <c r="HX202" s="176"/>
      <c r="HY202" s="155"/>
      <c r="HZ202" s="148"/>
      <c r="IA202" s="33"/>
      <c r="IB202" s="155"/>
      <c r="IC202" s="148"/>
      <c r="ID202" s="33"/>
      <c r="IE202" s="33"/>
      <c r="IF202" s="143"/>
      <c r="IG202" s="38"/>
      <c r="IH202" s="144"/>
      <c r="II202" s="150"/>
      <c r="IJ202" s="174"/>
      <c r="IK202" s="175"/>
      <c r="IL202" s="176"/>
      <c r="IM202" s="155"/>
      <c r="IN202" s="148"/>
      <c r="IO202" s="33"/>
      <c r="IP202" s="155"/>
      <c r="IQ202" s="148"/>
      <c r="IR202" s="33"/>
      <c r="IS202" s="33"/>
      <c r="IT202" s="143"/>
      <c r="IU202" s="38"/>
      <c r="IV202" s="144"/>
      <c r="IW202" s="143"/>
      <c r="IX202" s="38"/>
      <c r="IY202" s="144"/>
    </row>
    <row r="203">
      <c r="A203" s="33"/>
      <c r="B203" s="181"/>
      <c r="C203" s="38" t="str">
        <f>IFERROR(__xludf.DUMMYFUNCTION("""COMPUTED_VALUE"""),"")</f>
        <v/>
      </c>
      <c r="D203" s="144"/>
      <c r="E203" s="184"/>
      <c r="F203" s="174"/>
      <c r="G203" s="175"/>
      <c r="H203" s="185"/>
      <c r="I203" s="155"/>
      <c r="J203" s="148"/>
      <c r="K203" s="33"/>
      <c r="L203" s="155"/>
      <c r="M203" s="148"/>
      <c r="N203" s="33"/>
      <c r="O203" s="33"/>
      <c r="P203" s="143"/>
      <c r="Q203" s="38" t="str">
        <f>IFERROR(__xludf.DUMMYFUNCTION("""COMPUTED_VALUE"""),"")</f>
        <v/>
      </c>
      <c r="R203" s="144"/>
      <c r="S203" s="150"/>
      <c r="T203" s="174"/>
      <c r="U203" s="175"/>
      <c r="V203" s="176"/>
      <c r="W203" s="155"/>
      <c r="X203" s="148"/>
      <c r="Y203" s="33"/>
      <c r="Z203" s="155"/>
      <c r="AA203" s="148"/>
      <c r="AB203" s="33"/>
      <c r="AC203" s="33"/>
      <c r="AD203" s="143"/>
      <c r="AE203" s="38" t="str">
        <f>IFERROR(__xludf.DUMMYFUNCTION("""COMPUTED_VALUE"""),"")</f>
        <v/>
      </c>
      <c r="AF203" s="144"/>
      <c r="AG203" s="150"/>
      <c r="AH203" s="174"/>
      <c r="AI203" s="175"/>
      <c r="AJ203" s="176"/>
      <c r="AK203" s="155"/>
      <c r="AL203" s="148"/>
      <c r="AM203" s="33"/>
      <c r="AN203" s="155"/>
      <c r="AO203" s="148"/>
      <c r="AP203" s="33"/>
      <c r="AQ203" s="33"/>
      <c r="AR203" s="143"/>
      <c r="AS203" s="38" t="str">
        <f>IFERROR(__xludf.DUMMYFUNCTION("""COMPUTED_VALUE"""),"")</f>
        <v/>
      </c>
      <c r="AT203" s="144"/>
      <c r="AU203" s="150"/>
      <c r="AV203" s="174"/>
      <c r="AW203" s="175"/>
      <c r="AX203" s="176"/>
      <c r="AY203" s="155"/>
      <c r="AZ203" s="148"/>
      <c r="BA203" s="33"/>
      <c r="BB203" s="155"/>
      <c r="BC203" s="148"/>
      <c r="BD203" s="33"/>
      <c r="BE203" s="33"/>
      <c r="BF203" s="143"/>
      <c r="BG203" s="38" t="str">
        <f>IFERROR(__xludf.DUMMYFUNCTION("""COMPUTED_VALUE"""),"")</f>
        <v/>
      </c>
      <c r="BH203" s="144"/>
      <c r="BI203" s="150"/>
      <c r="BJ203" s="174"/>
      <c r="BK203" s="175"/>
      <c r="BL203" s="176"/>
      <c r="BM203" s="155"/>
      <c r="BN203" s="148"/>
      <c r="BO203" s="33"/>
      <c r="BP203" s="155"/>
      <c r="BQ203" s="148"/>
      <c r="BR203" s="33"/>
      <c r="BS203" s="33"/>
      <c r="BT203" s="143"/>
      <c r="BU203" s="38" t="str">
        <f>IFERROR(__xludf.DUMMYFUNCTION("""COMPUTED_VALUE"""),"")</f>
        <v/>
      </c>
      <c r="BV203" s="144"/>
      <c r="BW203" s="150"/>
      <c r="BX203" s="174"/>
      <c r="BY203" s="175"/>
      <c r="BZ203" s="176"/>
      <c r="CA203" s="155"/>
      <c r="CB203" s="148"/>
      <c r="CC203" s="33"/>
      <c r="CD203" s="155"/>
      <c r="CE203" s="148"/>
      <c r="CF203" s="33"/>
      <c r="CG203" s="33"/>
      <c r="CH203" s="143"/>
      <c r="CI203" s="38" t="str">
        <f>IFERROR(__xludf.DUMMYFUNCTION("""COMPUTED_VALUE"""),"")</f>
        <v/>
      </c>
      <c r="CJ203" s="144"/>
      <c r="CK203" s="150"/>
      <c r="CL203" s="174"/>
      <c r="CM203" s="175"/>
      <c r="CN203" s="176"/>
      <c r="CO203" s="155"/>
      <c r="CP203" s="148"/>
      <c r="CQ203" s="33"/>
      <c r="CR203" s="155"/>
      <c r="CS203" s="148"/>
      <c r="CT203" s="33"/>
      <c r="CU203" s="33"/>
      <c r="CV203" s="143"/>
      <c r="CW203" s="38" t="str">
        <f>IFERROR(__xludf.DUMMYFUNCTION("""COMPUTED_VALUE"""),"")</f>
        <v/>
      </c>
      <c r="CX203" s="144"/>
      <c r="CY203" s="150"/>
      <c r="CZ203" s="174"/>
      <c r="DA203" s="175"/>
      <c r="DB203" s="176"/>
      <c r="DC203" s="155"/>
      <c r="DD203" s="148"/>
      <c r="DE203" s="33"/>
      <c r="DF203" s="155"/>
      <c r="DG203" s="148"/>
      <c r="DH203" s="33"/>
      <c r="DI203" s="33"/>
      <c r="DJ203" s="143"/>
      <c r="DK203" s="38" t="str">
        <f>IFERROR(__xludf.DUMMYFUNCTION("""COMPUTED_VALUE"""),"")</f>
        <v/>
      </c>
      <c r="DL203" s="144"/>
      <c r="DM203" s="150"/>
      <c r="DN203" s="174"/>
      <c r="DO203" s="175"/>
      <c r="DP203" s="176"/>
      <c r="DQ203" s="155"/>
      <c r="DR203" s="148"/>
      <c r="DS203" s="33"/>
      <c r="DT203" s="155"/>
      <c r="DU203" s="148"/>
      <c r="DV203" s="33"/>
      <c r="DW203" s="33"/>
      <c r="DX203" s="143"/>
      <c r="DY203" s="38"/>
      <c r="DZ203" s="144"/>
      <c r="EA203" s="150"/>
      <c r="EB203" s="174"/>
      <c r="EC203" s="175"/>
      <c r="ED203" s="176"/>
      <c r="EE203" s="155"/>
      <c r="EF203" s="148"/>
      <c r="EG203" s="33"/>
      <c r="EH203" s="155"/>
      <c r="EI203" s="148"/>
      <c r="EJ203" s="33"/>
      <c r="EK203" s="33"/>
      <c r="EL203" s="143"/>
      <c r="EM203" s="38"/>
      <c r="EN203" s="144"/>
      <c r="EO203" s="150"/>
      <c r="EP203" s="174"/>
      <c r="EQ203" s="175"/>
      <c r="ER203" s="176"/>
      <c r="ES203" s="155"/>
      <c r="ET203" s="148"/>
      <c r="EU203" s="33"/>
      <c r="EV203" s="155"/>
      <c r="EW203" s="148"/>
      <c r="EX203" s="33"/>
      <c r="EY203" s="33"/>
      <c r="EZ203" s="143"/>
      <c r="FA203" s="38"/>
      <c r="FB203" s="144"/>
      <c r="FC203" s="150"/>
      <c r="FD203" s="174"/>
      <c r="FE203" s="175"/>
      <c r="FF203" s="176"/>
      <c r="FG203" s="155"/>
      <c r="FH203" s="148"/>
      <c r="FI203" s="33"/>
      <c r="FJ203" s="155"/>
      <c r="FK203" s="148"/>
      <c r="FL203" s="33"/>
      <c r="FM203" s="33"/>
      <c r="FN203" s="143"/>
      <c r="FO203" s="38"/>
      <c r="FP203" s="144"/>
      <c r="FQ203" s="150"/>
      <c r="FR203" s="174"/>
      <c r="FS203" s="175"/>
      <c r="FT203" s="176"/>
      <c r="FU203" s="155"/>
      <c r="FV203" s="148"/>
      <c r="FW203" s="33"/>
      <c r="FX203" s="155"/>
      <c r="FY203" s="148"/>
      <c r="FZ203" s="33"/>
      <c r="GA203" s="33"/>
      <c r="GB203" s="143"/>
      <c r="GC203" s="38"/>
      <c r="GD203" s="144"/>
      <c r="GE203" s="150"/>
      <c r="GF203" s="174"/>
      <c r="GG203" s="175"/>
      <c r="GH203" s="176"/>
      <c r="GI203" s="155"/>
      <c r="GJ203" s="148"/>
      <c r="GK203" s="33"/>
      <c r="GL203" s="155"/>
      <c r="GM203" s="148"/>
      <c r="GN203" s="33"/>
      <c r="GO203" s="33"/>
      <c r="GP203" s="143"/>
      <c r="GQ203" s="38"/>
      <c r="GR203" s="144"/>
      <c r="GS203" s="150"/>
      <c r="GT203" s="174"/>
      <c r="GU203" s="175"/>
      <c r="GV203" s="176"/>
      <c r="GW203" s="155"/>
      <c r="GX203" s="148"/>
      <c r="GY203" s="33"/>
      <c r="GZ203" s="155"/>
      <c r="HA203" s="148"/>
      <c r="HB203" s="33"/>
      <c r="HC203" s="33"/>
      <c r="HD203" s="143"/>
      <c r="HE203" s="38"/>
      <c r="HF203" s="144"/>
      <c r="HG203" s="150"/>
      <c r="HH203" s="174"/>
      <c r="HI203" s="175"/>
      <c r="HJ203" s="176"/>
      <c r="HK203" s="155"/>
      <c r="HL203" s="148"/>
      <c r="HM203" s="33"/>
      <c r="HN203" s="155"/>
      <c r="HO203" s="148"/>
      <c r="HP203" s="33"/>
      <c r="HQ203" s="33"/>
      <c r="HR203" s="143"/>
      <c r="HS203" s="38"/>
      <c r="HT203" s="144"/>
      <c r="HU203" s="150"/>
      <c r="HV203" s="174"/>
      <c r="HW203" s="175"/>
      <c r="HX203" s="176"/>
      <c r="HY203" s="155"/>
      <c r="HZ203" s="148"/>
      <c r="IA203" s="33"/>
      <c r="IB203" s="155"/>
      <c r="IC203" s="148"/>
      <c r="ID203" s="33"/>
      <c r="IE203" s="33"/>
      <c r="IF203" s="143"/>
      <c r="IG203" s="38"/>
      <c r="IH203" s="144"/>
      <c r="II203" s="150"/>
      <c r="IJ203" s="174"/>
      <c r="IK203" s="175"/>
      <c r="IL203" s="176"/>
      <c r="IM203" s="155"/>
      <c r="IN203" s="148"/>
      <c r="IO203" s="33"/>
      <c r="IP203" s="155"/>
      <c r="IQ203" s="148"/>
      <c r="IR203" s="33"/>
      <c r="IS203" s="33"/>
      <c r="IT203" s="143"/>
      <c r="IU203" s="38"/>
      <c r="IV203" s="144"/>
      <c r="IW203" s="143"/>
      <c r="IX203" s="38"/>
      <c r="IY203" s="144"/>
    </row>
    <row r="204">
      <c r="A204" s="33"/>
      <c r="B204" s="181"/>
      <c r="C204" s="38" t="str">
        <f>IFERROR(__xludf.DUMMYFUNCTION("""COMPUTED_VALUE"""),"")</f>
        <v/>
      </c>
      <c r="D204" s="144"/>
      <c r="E204" s="184"/>
      <c r="F204" s="174"/>
      <c r="G204" s="175"/>
      <c r="H204" s="185"/>
      <c r="I204" s="155"/>
      <c r="J204" s="148"/>
      <c r="K204" s="33"/>
      <c r="L204" s="155"/>
      <c r="M204" s="148"/>
      <c r="N204" s="33"/>
      <c r="O204" s="33"/>
      <c r="P204" s="143"/>
      <c r="Q204" s="38" t="str">
        <f>IFERROR(__xludf.DUMMYFUNCTION("""COMPUTED_VALUE"""),"")</f>
        <v/>
      </c>
      <c r="R204" s="144"/>
      <c r="S204" s="150"/>
      <c r="T204" s="174"/>
      <c r="U204" s="175"/>
      <c r="V204" s="176"/>
      <c r="W204" s="155"/>
      <c r="X204" s="148"/>
      <c r="Y204" s="33"/>
      <c r="Z204" s="155"/>
      <c r="AA204" s="148"/>
      <c r="AB204" s="33"/>
      <c r="AC204" s="33"/>
      <c r="AD204" s="143"/>
      <c r="AE204" s="38" t="str">
        <f>IFERROR(__xludf.DUMMYFUNCTION("""COMPUTED_VALUE"""),"")</f>
        <v/>
      </c>
      <c r="AF204" s="144"/>
      <c r="AG204" s="150"/>
      <c r="AH204" s="174"/>
      <c r="AI204" s="175"/>
      <c r="AJ204" s="176"/>
      <c r="AK204" s="155"/>
      <c r="AL204" s="148"/>
      <c r="AM204" s="33"/>
      <c r="AN204" s="155"/>
      <c r="AO204" s="148"/>
      <c r="AP204" s="33"/>
      <c r="AQ204" s="33"/>
      <c r="AR204" s="143"/>
      <c r="AS204" s="38" t="str">
        <f>IFERROR(__xludf.DUMMYFUNCTION("""COMPUTED_VALUE"""),"")</f>
        <v/>
      </c>
      <c r="AT204" s="144"/>
      <c r="AU204" s="150"/>
      <c r="AV204" s="174"/>
      <c r="AW204" s="175"/>
      <c r="AX204" s="176"/>
      <c r="AY204" s="155"/>
      <c r="AZ204" s="148"/>
      <c r="BA204" s="33"/>
      <c r="BB204" s="155"/>
      <c r="BC204" s="148"/>
      <c r="BD204" s="33"/>
      <c r="BE204" s="33"/>
      <c r="BF204" s="143"/>
      <c r="BG204" s="38" t="str">
        <f>IFERROR(__xludf.DUMMYFUNCTION("""COMPUTED_VALUE"""),"")</f>
        <v/>
      </c>
      <c r="BH204" s="144"/>
      <c r="BI204" s="150"/>
      <c r="BJ204" s="174"/>
      <c r="BK204" s="175"/>
      <c r="BL204" s="176"/>
      <c r="BM204" s="155"/>
      <c r="BN204" s="148"/>
      <c r="BO204" s="33"/>
      <c r="BP204" s="155"/>
      <c r="BQ204" s="148"/>
      <c r="BR204" s="33"/>
      <c r="BS204" s="33"/>
      <c r="BT204" s="143"/>
      <c r="BU204" s="38" t="str">
        <f>IFERROR(__xludf.DUMMYFUNCTION("""COMPUTED_VALUE"""),"")</f>
        <v/>
      </c>
      <c r="BV204" s="144"/>
      <c r="BW204" s="150"/>
      <c r="BX204" s="174"/>
      <c r="BY204" s="175"/>
      <c r="BZ204" s="176"/>
      <c r="CA204" s="155"/>
      <c r="CB204" s="148"/>
      <c r="CC204" s="33"/>
      <c r="CD204" s="155"/>
      <c r="CE204" s="148"/>
      <c r="CF204" s="33"/>
      <c r="CG204" s="33"/>
      <c r="CH204" s="143"/>
      <c r="CI204" s="38" t="str">
        <f>IFERROR(__xludf.DUMMYFUNCTION("""COMPUTED_VALUE"""),"")</f>
        <v/>
      </c>
      <c r="CJ204" s="144"/>
      <c r="CK204" s="150"/>
      <c r="CL204" s="174"/>
      <c r="CM204" s="175"/>
      <c r="CN204" s="176"/>
      <c r="CO204" s="155"/>
      <c r="CP204" s="148"/>
      <c r="CQ204" s="33"/>
      <c r="CR204" s="155"/>
      <c r="CS204" s="148"/>
      <c r="CT204" s="33"/>
      <c r="CU204" s="33"/>
      <c r="CV204" s="143"/>
      <c r="CW204" s="38" t="str">
        <f>IFERROR(__xludf.DUMMYFUNCTION("""COMPUTED_VALUE"""),"")</f>
        <v/>
      </c>
      <c r="CX204" s="144"/>
      <c r="CY204" s="150"/>
      <c r="CZ204" s="174"/>
      <c r="DA204" s="175"/>
      <c r="DB204" s="176"/>
      <c r="DC204" s="155"/>
      <c r="DD204" s="148"/>
      <c r="DE204" s="33"/>
      <c r="DF204" s="155"/>
      <c r="DG204" s="148"/>
      <c r="DH204" s="33"/>
      <c r="DI204" s="33"/>
      <c r="DJ204" s="143"/>
      <c r="DK204" s="38" t="str">
        <f>IFERROR(__xludf.DUMMYFUNCTION("""COMPUTED_VALUE"""),"")</f>
        <v/>
      </c>
      <c r="DL204" s="144"/>
      <c r="DM204" s="150"/>
      <c r="DN204" s="174"/>
      <c r="DO204" s="175"/>
      <c r="DP204" s="176"/>
      <c r="DQ204" s="155"/>
      <c r="DR204" s="148"/>
      <c r="DS204" s="33"/>
      <c r="DT204" s="155"/>
      <c r="DU204" s="148"/>
      <c r="DV204" s="33"/>
      <c r="DW204" s="33"/>
      <c r="DX204" s="143"/>
      <c r="DY204" s="38"/>
      <c r="DZ204" s="144"/>
      <c r="EA204" s="150"/>
      <c r="EB204" s="174"/>
      <c r="EC204" s="175"/>
      <c r="ED204" s="176"/>
      <c r="EE204" s="155"/>
      <c r="EF204" s="148"/>
      <c r="EG204" s="33"/>
      <c r="EH204" s="155"/>
      <c r="EI204" s="148"/>
      <c r="EJ204" s="33"/>
      <c r="EK204" s="33"/>
      <c r="EL204" s="143"/>
      <c r="EM204" s="38"/>
      <c r="EN204" s="144"/>
      <c r="EO204" s="150"/>
      <c r="EP204" s="174"/>
      <c r="EQ204" s="175"/>
      <c r="ER204" s="176"/>
      <c r="ES204" s="155"/>
      <c r="ET204" s="148"/>
      <c r="EU204" s="33"/>
      <c r="EV204" s="155"/>
      <c r="EW204" s="148"/>
      <c r="EX204" s="33"/>
      <c r="EY204" s="33"/>
      <c r="EZ204" s="143"/>
      <c r="FA204" s="38"/>
      <c r="FB204" s="144"/>
      <c r="FC204" s="150"/>
      <c r="FD204" s="174"/>
      <c r="FE204" s="175"/>
      <c r="FF204" s="176"/>
      <c r="FG204" s="155"/>
      <c r="FH204" s="148"/>
      <c r="FI204" s="33"/>
      <c r="FJ204" s="155"/>
      <c r="FK204" s="148"/>
      <c r="FL204" s="33"/>
      <c r="FM204" s="33"/>
      <c r="FN204" s="143"/>
      <c r="FO204" s="38"/>
      <c r="FP204" s="144"/>
      <c r="FQ204" s="150"/>
      <c r="FR204" s="174"/>
      <c r="FS204" s="175"/>
      <c r="FT204" s="176"/>
      <c r="FU204" s="155"/>
      <c r="FV204" s="148"/>
      <c r="FW204" s="33"/>
      <c r="FX204" s="155"/>
      <c r="FY204" s="148"/>
      <c r="FZ204" s="33"/>
      <c r="GA204" s="33"/>
      <c r="GB204" s="143"/>
      <c r="GC204" s="38"/>
      <c r="GD204" s="144"/>
      <c r="GE204" s="150"/>
      <c r="GF204" s="174"/>
      <c r="GG204" s="175"/>
      <c r="GH204" s="176"/>
      <c r="GI204" s="155"/>
      <c r="GJ204" s="148"/>
      <c r="GK204" s="33"/>
      <c r="GL204" s="155"/>
      <c r="GM204" s="148"/>
      <c r="GN204" s="33"/>
      <c r="GO204" s="33"/>
      <c r="GP204" s="143"/>
      <c r="GQ204" s="38"/>
      <c r="GR204" s="144"/>
      <c r="GS204" s="150"/>
      <c r="GT204" s="174"/>
      <c r="GU204" s="175"/>
      <c r="GV204" s="176"/>
      <c r="GW204" s="155"/>
      <c r="GX204" s="148"/>
      <c r="GY204" s="33"/>
      <c r="GZ204" s="155"/>
      <c r="HA204" s="148"/>
      <c r="HB204" s="33"/>
      <c r="HC204" s="33"/>
      <c r="HD204" s="143"/>
      <c r="HE204" s="38"/>
      <c r="HF204" s="144"/>
      <c r="HG204" s="150"/>
      <c r="HH204" s="174"/>
      <c r="HI204" s="175"/>
      <c r="HJ204" s="176"/>
      <c r="HK204" s="155"/>
      <c r="HL204" s="148"/>
      <c r="HM204" s="33"/>
      <c r="HN204" s="155"/>
      <c r="HO204" s="148"/>
      <c r="HP204" s="33"/>
      <c r="HQ204" s="33"/>
      <c r="HR204" s="143"/>
      <c r="HS204" s="38"/>
      <c r="HT204" s="144"/>
      <c r="HU204" s="150"/>
      <c r="HV204" s="174"/>
      <c r="HW204" s="175"/>
      <c r="HX204" s="176"/>
      <c r="HY204" s="155"/>
      <c r="HZ204" s="148"/>
      <c r="IA204" s="33"/>
      <c r="IB204" s="155"/>
      <c r="IC204" s="148"/>
      <c r="ID204" s="33"/>
      <c r="IE204" s="33"/>
      <c r="IF204" s="143"/>
      <c r="IG204" s="38"/>
      <c r="IH204" s="144"/>
      <c r="II204" s="150"/>
      <c r="IJ204" s="174"/>
      <c r="IK204" s="175"/>
      <c r="IL204" s="176"/>
      <c r="IM204" s="155"/>
      <c r="IN204" s="148"/>
      <c r="IO204" s="33"/>
      <c r="IP204" s="155"/>
      <c r="IQ204" s="148"/>
      <c r="IR204" s="33"/>
      <c r="IS204" s="33"/>
      <c r="IT204" s="143"/>
      <c r="IU204" s="38"/>
      <c r="IV204" s="144"/>
      <c r="IW204" s="143"/>
      <c r="IX204" s="38"/>
      <c r="IY204" s="144"/>
    </row>
    <row r="205">
      <c r="A205" s="33"/>
      <c r="B205" s="181"/>
      <c r="C205" s="38" t="str">
        <f>IFERROR(__xludf.DUMMYFUNCTION("""COMPUTED_VALUE"""),"")</f>
        <v/>
      </c>
      <c r="D205" s="144"/>
      <c r="E205" s="184"/>
      <c r="F205" s="174"/>
      <c r="G205" s="175"/>
      <c r="H205" s="185"/>
      <c r="I205" s="155"/>
      <c r="J205" s="148"/>
      <c r="K205" s="33"/>
      <c r="L205" s="155"/>
      <c r="M205" s="148"/>
      <c r="N205" s="33"/>
      <c r="O205" s="33"/>
      <c r="P205" s="143"/>
      <c r="Q205" s="38" t="str">
        <f>IFERROR(__xludf.DUMMYFUNCTION("""COMPUTED_VALUE"""),"")</f>
        <v/>
      </c>
      <c r="R205" s="144"/>
      <c r="S205" s="150"/>
      <c r="T205" s="174"/>
      <c r="U205" s="175"/>
      <c r="V205" s="176"/>
      <c r="W205" s="155"/>
      <c r="X205" s="148"/>
      <c r="Y205" s="33"/>
      <c r="Z205" s="155"/>
      <c r="AA205" s="148"/>
      <c r="AB205" s="33"/>
      <c r="AC205" s="33"/>
      <c r="AD205" s="143"/>
      <c r="AE205" s="38" t="str">
        <f>IFERROR(__xludf.DUMMYFUNCTION("""COMPUTED_VALUE"""),"")</f>
        <v/>
      </c>
      <c r="AF205" s="144"/>
      <c r="AG205" s="150"/>
      <c r="AH205" s="174"/>
      <c r="AI205" s="175"/>
      <c r="AJ205" s="176"/>
      <c r="AK205" s="155"/>
      <c r="AL205" s="148"/>
      <c r="AM205" s="33"/>
      <c r="AN205" s="155"/>
      <c r="AO205" s="148"/>
      <c r="AP205" s="33"/>
      <c r="AQ205" s="33"/>
      <c r="AR205" s="143"/>
      <c r="AS205" s="38" t="str">
        <f>IFERROR(__xludf.DUMMYFUNCTION("""COMPUTED_VALUE"""),"")</f>
        <v/>
      </c>
      <c r="AT205" s="144"/>
      <c r="AU205" s="150"/>
      <c r="AV205" s="174"/>
      <c r="AW205" s="175"/>
      <c r="AX205" s="176"/>
      <c r="AY205" s="155"/>
      <c r="AZ205" s="148"/>
      <c r="BA205" s="33"/>
      <c r="BB205" s="155"/>
      <c r="BC205" s="148"/>
      <c r="BD205" s="33"/>
      <c r="BE205" s="33"/>
      <c r="BF205" s="143"/>
      <c r="BG205" s="38" t="str">
        <f>IFERROR(__xludf.DUMMYFUNCTION("""COMPUTED_VALUE"""),"")</f>
        <v/>
      </c>
      <c r="BH205" s="144"/>
      <c r="BI205" s="150"/>
      <c r="BJ205" s="174"/>
      <c r="BK205" s="175"/>
      <c r="BL205" s="176"/>
      <c r="BM205" s="155"/>
      <c r="BN205" s="148"/>
      <c r="BO205" s="33"/>
      <c r="BP205" s="155"/>
      <c r="BQ205" s="148"/>
      <c r="BR205" s="33"/>
      <c r="BS205" s="33"/>
      <c r="BT205" s="143"/>
      <c r="BU205" s="38" t="str">
        <f>IFERROR(__xludf.DUMMYFUNCTION("""COMPUTED_VALUE"""),"")</f>
        <v/>
      </c>
      <c r="BV205" s="144"/>
      <c r="BW205" s="150"/>
      <c r="BX205" s="174"/>
      <c r="BY205" s="175"/>
      <c r="BZ205" s="176"/>
      <c r="CA205" s="155"/>
      <c r="CB205" s="148"/>
      <c r="CC205" s="33"/>
      <c r="CD205" s="155"/>
      <c r="CE205" s="148"/>
      <c r="CF205" s="33"/>
      <c r="CG205" s="33"/>
      <c r="CH205" s="143"/>
      <c r="CI205" s="38" t="str">
        <f>IFERROR(__xludf.DUMMYFUNCTION("""COMPUTED_VALUE"""),"")</f>
        <v/>
      </c>
      <c r="CJ205" s="144"/>
      <c r="CK205" s="150"/>
      <c r="CL205" s="174"/>
      <c r="CM205" s="175"/>
      <c r="CN205" s="176"/>
      <c r="CO205" s="155"/>
      <c r="CP205" s="148"/>
      <c r="CQ205" s="33"/>
      <c r="CR205" s="155"/>
      <c r="CS205" s="148"/>
      <c r="CT205" s="33"/>
      <c r="CU205" s="33"/>
      <c r="CV205" s="143"/>
      <c r="CW205" s="38" t="str">
        <f>IFERROR(__xludf.DUMMYFUNCTION("""COMPUTED_VALUE"""),"")</f>
        <v/>
      </c>
      <c r="CX205" s="144"/>
      <c r="CY205" s="150"/>
      <c r="CZ205" s="174"/>
      <c r="DA205" s="175"/>
      <c r="DB205" s="176"/>
      <c r="DC205" s="155"/>
      <c r="DD205" s="148"/>
      <c r="DE205" s="33"/>
      <c r="DF205" s="155"/>
      <c r="DG205" s="148"/>
      <c r="DH205" s="33"/>
      <c r="DI205" s="33"/>
      <c r="DJ205" s="143"/>
      <c r="DK205" s="38" t="str">
        <f>IFERROR(__xludf.DUMMYFUNCTION("""COMPUTED_VALUE"""),"")</f>
        <v/>
      </c>
      <c r="DL205" s="144"/>
      <c r="DM205" s="150"/>
      <c r="DN205" s="174"/>
      <c r="DO205" s="175"/>
      <c r="DP205" s="176"/>
      <c r="DQ205" s="155"/>
      <c r="DR205" s="148"/>
      <c r="DS205" s="33"/>
      <c r="DT205" s="155"/>
      <c r="DU205" s="148"/>
      <c r="DV205" s="33"/>
      <c r="DW205" s="33"/>
      <c r="DX205" s="143"/>
      <c r="DY205" s="38"/>
      <c r="DZ205" s="144"/>
      <c r="EA205" s="150"/>
      <c r="EB205" s="174"/>
      <c r="EC205" s="175"/>
      <c r="ED205" s="176"/>
      <c r="EE205" s="155"/>
      <c r="EF205" s="148"/>
      <c r="EG205" s="33"/>
      <c r="EH205" s="155"/>
      <c r="EI205" s="148"/>
      <c r="EJ205" s="33"/>
      <c r="EK205" s="33"/>
      <c r="EL205" s="143"/>
      <c r="EM205" s="38"/>
      <c r="EN205" s="144"/>
      <c r="EO205" s="150"/>
      <c r="EP205" s="174"/>
      <c r="EQ205" s="175"/>
      <c r="ER205" s="176"/>
      <c r="ES205" s="155"/>
      <c r="ET205" s="148"/>
      <c r="EU205" s="33"/>
      <c r="EV205" s="155"/>
      <c r="EW205" s="148"/>
      <c r="EX205" s="33"/>
      <c r="EY205" s="33"/>
      <c r="EZ205" s="143"/>
      <c r="FA205" s="38"/>
      <c r="FB205" s="144"/>
      <c r="FC205" s="150"/>
      <c r="FD205" s="174"/>
      <c r="FE205" s="175"/>
      <c r="FF205" s="176"/>
      <c r="FG205" s="155"/>
      <c r="FH205" s="148"/>
      <c r="FI205" s="33"/>
      <c r="FJ205" s="155"/>
      <c r="FK205" s="148"/>
      <c r="FL205" s="33"/>
      <c r="FM205" s="33"/>
      <c r="FN205" s="143"/>
      <c r="FO205" s="38"/>
      <c r="FP205" s="144"/>
      <c r="FQ205" s="150"/>
      <c r="FR205" s="174"/>
      <c r="FS205" s="175"/>
      <c r="FT205" s="176"/>
      <c r="FU205" s="155"/>
      <c r="FV205" s="148"/>
      <c r="FW205" s="33"/>
      <c r="FX205" s="155"/>
      <c r="FY205" s="148"/>
      <c r="FZ205" s="33"/>
      <c r="GA205" s="33"/>
      <c r="GB205" s="143"/>
      <c r="GC205" s="38"/>
      <c r="GD205" s="144"/>
      <c r="GE205" s="150"/>
      <c r="GF205" s="174"/>
      <c r="GG205" s="175"/>
      <c r="GH205" s="176"/>
      <c r="GI205" s="155"/>
      <c r="GJ205" s="148"/>
      <c r="GK205" s="33"/>
      <c r="GL205" s="155"/>
      <c r="GM205" s="148"/>
      <c r="GN205" s="33"/>
      <c r="GO205" s="33"/>
      <c r="GP205" s="143"/>
      <c r="GQ205" s="38"/>
      <c r="GR205" s="144"/>
      <c r="GS205" s="150"/>
      <c r="GT205" s="174"/>
      <c r="GU205" s="175"/>
      <c r="GV205" s="176"/>
      <c r="GW205" s="155"/>
      <c r="GX205" s="148"/>
      <c r="GY205" s="33"/>
      <c r="GZ205" s="155"/>
      <c r="HA205" s="148"/>
      <c r="HB205" s="33"/>
      <c r="HC205" s="33"/>
      <c r="HD205" s="143"/>
      <c r="HE205" s="38"/>
      <c r="HF205" s="144"/>
      <c r="HG205" s="150"/>
      <c r="HH205" s="174"/>
      <c r="HI205" s="175"/>
      <c r="HJ205" s="176"/>
      <c r="HK205" s="155"/>
      <c r="HL205" s="148"/>
      <c r="HM205" s="33"/>
      <c r="HN205" s="155"/>
      <c r="HO205" s="148"/>
      <c r="HP205" s="33"/>
      <c r="HQ205" s="33"/>
      <c r="HR205" s="143"/>
      <c r="HS205" s="38"/>
      <c r="HT205" s="144"/>
      <c r="HU205" s="150"/>
      <c r="HV205" s="174"/>
      <c r="HW205" s="175"/>
      <c r="HX205" s="176"/>
      <c r="HY205" s="155"/>
      <c r="HZ205" s="148"/>
      <c r="IA205" s="33"/>
      <c r="IB205" s="155"/>
      <c r="IC205" s="148"/>
      <c r="ID205" s="33"/>
      <c r="IE205" s="33"/>
      <c r="IF205" s="143"/>
      <c r="IG205" s="38"/>
      <c r="IH205" s="144"/>
      <c r="II205" s="150"/>
      <c r="IJ205" s="174"/>
      <c r="IK205" s="175"/>
      <c r="IL205" s="176"/>
      <c r="IM205" s="155"/>
      <c r="IN205" s="148"/>
      <c r="IO205" s="33"/>
      <c r="IP205" s="155"/>
      <c r="IQ205" s="148"/>
      <c r="IR205" s="33"/>
      <c r="IS205" s="33"/>
      <c r="IT205" s="143"/>
      <c r="IU205" s="38"/>
      <c r="IV205" s="144"/>
      <c r="IW205" s="143"/>
      <c r="IX205" s="38"/>
      <c r="IY205" s="144"/>
    </row>
    <row r="206">
      <c r="A206" s="33"/>
      <c r="B206" s="181"/>
      <c r="C206" s="38" t="str">
        <f>IFERROR(__xludf.DUMMYFUNCTION("""COMPUTED_VALUE"""),"")</f>
        <v/>
      </c>
      <c r="D206" s="144"/>
      <c r="E206" s="184"/>
      <c r="F206" s="174"/>
      <c r="G206" s="175"/>
      <c r="H206" s="185"/>
      <c r="I206" s="155"/>
      <c r="J206" s="148"/>
      <c r="K206" s="33"/>
      <c r="L206" s="155"/>
      <c r="M206" s="148"/>
      <c r="N206" s="33"/>
      <c r="O206" s="33"/>
      <c r="P206" s="143"/>
      <c r="Q206" s="38" t="str">
        <f>IFERROR(__xludf.DUMMYFUNCTION("""COMPUTED_VALUE"""),"")</f>
        <v/>
      </c>
      <c r="R206" s="144"/>
      <c r="S206" s="150"/>
      <c r="T206" s="174"/>
      <c r="U206" s="175"/>
      <c r="V206" s="176"/>
      <c r="W206" s="155"/>
      <c r="X206" s="148"/>
      <c r="Y206" s="33"/>
      <c r="Z206" s="155"/>
      <c r="AA206" s="148"/>
      <c r="AB206" s="33"/>
      <c r="AC206" s="33"/>
      <c r="AD206" s="143"/>
      <c r="AE206" s="38" t="str">
        <f>IFERROR(__xludf.DUMMYFUNCTION("""COMPUTED_VALUE"""),"")</f>
        <v/>
      </c>
      <c r="AF206" s="144"/>
      <c r="AG206" s="150"/>
      <c r="AH206" s="174"/>
      <c r="AI206" s="175"/>
      <c r="AJ206" s="176"/>
      <c r="AK206" s="155"/>
      <c r="AL206" s="148"/>
      <c r="AM206" s="33"/>
      <c r="AN206" s="155"/>
      <c r="AO206" s="148"/>
      <c r="AP206" s="33"/>
      <c r="AQ206" s="33"/>
      <c r="AR206" s="143"/>
      <c r="AS206" s="38" t="str">
        <f>IFERROR(__xludf.DUMMYFUNCTION("""COMPUTED_VALUE"""),"")</f>
        <v/>
      </c>
      <c r="AT206" s="144"/>
      <c r="AU206" s="150"/>
      <c r="AV206" s="174"/>
      <c r="AW206" s="175"/>
      <c r="AX206" s="176"/>
      <c r="AY206" s="155"/>
      <c r="AZ206" s="148"/>
      <c r="BA206" s="33"/>
      <c r="BB206" s="155"/>
      <c r="BC206" s="148"/>
      <c r="BD206" s="33"/>
      <c r="BE206" s="33"/>
      <c r="BF206" s="143"/>
      <c r="BG206" s="38" t="str">
        <f>IFERROR(__xludf.DUMMYFUNCTION("""COMPUTED_VALUE"""),"")</f>
        <v/>
      </c>
      <c r="BH206" s="144"/>
      <c r="BI206" s="150"/>
      <c r="BJ206" s="174"/>
      <c r="BK206" s="175"/>
      <c r="BL206" s="176"/>
      <c r="BM206" s="155"/>
      <c r="BN206" s="148"/>
      <c r="BO206" s="33"/>
      <c r="BP206" s="155"/>
      <c r="BQ206" s="148"/>
      <c r="BR206" s="33"/>
      <c r="BS206" s="33"/>
      <c r="BT206" s="143"/>
      <c r="BU206" s="38" t="str">
        <f>IFERROR(__xludf.DUMMYFUNCTION("""COMPUTED_VALUE"""),"")</f>
        <v/>
      </c>
      <c r="BV206" s="144"/>
      <c r="BW206" s="150"/>
      <c r="BX206" s="174"/>
      <c r="BY206" s="175"/>
      <c r="BZ206" s="176"/>
      <c r="CA206" s="155"/>
      <c r="CB206" s="148"/>
      <c r="CC206" s="33"/>
      <c r="CD206" s="155"/>
      <c r="CE206" s="148"/>
      <c r="CF206" s="33"/>
      <c r="CG206" s="33"/>
      <c r="CH206" s="143"/>
      <c r="CI206" s="38" t="str">
        <f>IFERROR(__xludf.DUMMYFUNCTION("""COMPUTED_VALUE"""),"")</f>
        <v/>
      </c>
      <c r="CJ206" s="144"/>
      <c r="CK206" s="150"/>
      <c r="CL206" s="174"/>
      <c r="CM206" s="175"/>
      <c r="CN206" s="176"/>
      <c r="CO206" s="155"/>
      <c r="CP206" s="148"/>
      <c r="CQ206" s="33"/>
      <c r="CR206" s="155"/>
      <c r="CS206" s="148"/>
      <c r="CT206" s="33"/>
      <c r="CU206" s="33"/>
      <c r="CV206" s="143"/>
      <c r="CW206" s="38" t="str">
        <f>IFERROR(__xludf.DUMMYFUNCTION("""COMPUTED_VALUE"""),"")</f>
        <v/>
      </c>
      <c r="CX206" s="144"/>
      <c r="CY206" s="150"/>
      <c r="CZ206" s="174"/>
      <c r="DA206" s="175"/>
      <c r="DB206" s="176"/>
      <c r="DC206" s="155"/>
      <c r="DD206" s="148"/>
      <c r="DE206" s="33"/>
      <c r="DF206" s="155"/>
      <c r="DG206" s="148"/>
      <c r="DH206" s="33"/>
      <c r="DI206" s="33"/>
      <c r="DJ206" s="143"/>
      <c r="DK206" s="38" t="str">
        <f>IFERROR(__xludf.DUMMYFUNCTION("""COMPUTED_VALUE"""),"")</f>
        <v/>
      </c>
      <c r="DL206" s="144"/>
      <c r="DM206" s="150"/>
      <c r="DN206" s="174"/>
      <c r="DO206" s="175"/>
      <c r="DP206" s="176"/>
      <c r="DQ206" s="155"/>
      <c r="DR206" s="148"/>
      <c r="DS206" s="33"/>
      <c r="DT206" s="155"/>
      <c r="DU206" s="148"/>
      <c r="DV206" s="33"/>
      <c r="DW206" s="33"/>
      <c r="DX206" s="143"/>
      <c r="DY206" s="38"/>
      <c r="DZ206" s="144"/>
      <c r="EA206" s="150"/>
      <c r="EB206" s="174"/>
      <c r="EC206" s="175"/>
      <c r="ED206" s="176"/>
      <c r="EE206" s="155"/>
      <c r="EF206" s="148"/>
      <c r="EG206" s="33"/>
      <c r="EH206" s="155"/>
      <c r="EI206" s="148"/>
      <c r="EJ206" s="33"/>
      <c r="EK206" s="33"/>
      <c r="EL206" s="143"/>
      <c r="EM206" s="38"/>
      <c r="EN206" s="144"/>
      <c r="EO206" s="150"/>
      <c r="EP206" s="174"/>
      <c r="EQ206" s="175"/>
      <c r="ER206" s="176"/>
      <c r="ES206" s="155"/>
      <c r="ET206" s="148"/>
      <c r="EU206" s="33"/>
      <c r="EV206" s="155"/>
      <c r="EW206" s="148"/>
      <c r="EX206" s="33"/>
      <c r="EY206" s="33"/>
      <c r="EZ206" s="143"/>
      <c r="FA206" s="38"/>
      <c r="FB206" s="144"/>
      <c r="FC206" s="150"/>
      <c r="FD206" s="174"/>
      <c r="FE206" s="175"/>
      <c r="FF206" s="176"/>
      <c r="FG206" s="155"/>
      <c r="FH206" s="148"/>
      <c r="FI206" s="33"/>
      <c r="FJ206" s="155"/>
      <c r="FK206" s="148"/>
      <c r="FL206" s="33"/>
      <c r="FM206" s="33"/>
      <c r="FN206" s="143"/>
      <c r="FO206" s="38"/>
      <c r="FP206" s="144"/>
      <c r="FQ206" s="150"/>
      <c r="FR206" s="174"/>
      <c r="FS206" s="175"/>
      <c r="FT206" s="176"/>
      <c r="FU206" s="155"/>
      <c r="FV206" s="148"/>
      <c r="FW206" s="33"/>
      <c r="FX206" s="155"/>
      <c r="FY206" s="148"/>
      <c r="FZ206" s="33"/>
      <c r="GA206" s="33"/>
      <c r="GB206" s="143"/>
      <c r="GC206" s="38"/>
      <c r="GD206" s="144"/>
      <c r="GE206" s="150"/>
      <c r="GF206" s="174"/>
      <c r="GG206" s="175"/>
      <c r="GH206" s="176"/>
      <c r="GI206" s="155"/>
      <c r="GJ206" s="148"/>
      <c r="GK206" s="33"/>
      <c r="GL206" s="155"/>
      <c r="GM206" s="148"/>
      <c r="GN206" s="33"/>
      <c r="GO206" s="33"/>
      <c r="GP206" s="143"/>
      <c r="GQ206" s="38"/>
      <c r="GR206" s="144"/>
      <c r="GS206" s="150"/>
      <c r="GT206" s="174"/>
      <c r="GU206" s="175"/>
      <c r="GV206" s="176"/>
      <c r="GW206" s="155"/>
      <c r="GX206" s="148"/>
      <c r="GY206" s="33"/>
      <c r="GZ206" s="155"/>
      <c r="HA206" s="148"/>
      <c r="HB206" s="33"/>
      <c r="HC206" s="33"/>
      <c r="HD206" s="143"/>
      <c r="HE206" s="38"/>
      <c r="HF206" s="144"/>
      <c r="HG206" s="150"/>
      <c r="HH206" s="174"/>
      <c r="HI206" s="175"/>
      <c r="HJ206" s="176"/>
      <c r="HK206" s="155"/>
      <c r="HL206" s="148"/>
      <c r="HM206" s="33"/>
      <c r="HN206" s="155"/>
      <c r="HO206" s="148"/>
      <c r="HP206" s="33"/>
      <c r="HQ206" s="33"/>
      <c r="HR206" s="143"/>
      <c r="HS206" s="38"/>
      <c r="HT206" s="144"/>
      <c r="HU206" s="150"/>
      <c r="HV206" s="174"/>
      <c r="HW206" s="175"/>
      <c r="HX206" s="176"/>
      <c r="HY206" s="155"/>
      <c r="HZ206" s="148"/>
      <c r="IA206" s="33"/>
      <c r="IB206" s="155"/>
      <c r="IC206" s="148"/>
      <c r="ID206" s="33"/>
      <c r="IE206" s="33"/>
      <c r="IF206" s="143"/>
      <c r="IG206" s="38"/>
      <c r="IH206" s="144"/>
      <c r="II206" s="150"/>
      <c r="IJ206" s="174"/>
      <c r="IK206" s="175"/>
      <c r="IL206" s="176"/>
      <c r="IM206" s="155"/>
      <c r="IN206" s="148"/>
      <c r="IO206" s="33"/>
      <c r="IP206" s="155"/>
      <c r="IQ206" s="148"/>
      <c r="IR206" s="33"/>
      <c r="IS206" s="33"/>
      <c r="IT206" s="143"/>
      <c r="IU206" s="38"/>
      <c r="IV206" s="144"/>
      <c r="IW206" s="143"/>
      <c r="IX206" s="38"/>
      <c r="IY206" s="144"/>
    </row>
    <row r="207">
      <c r="A207" s="33"/>
      <c r="B207" s="181"/>
      <c r="C207" s="38" t="str">
        <f>IFERROR(__xludf.DUMMYFUNCTION("""COMPUTED_VALUE"""),"")</f>
        <v/>
      </c>
      <c r="D207" s="144"/>
      <c r="E207" s="184"/>
      <c r="F207" s="174"/>
      <c r="G207" s="175"/>
      <c r="H207" s="185"/>
      <c r="I207" s="155"/>
      <c r="J207" s="148"/>
      <c r="K207" s="33"/>
      <c r="L207" s="155"/>
      <c r="M207" s="148"/>
      <c r="N207" s="33"/>
      <c r="O207" s="33"/>
      <c r="P207" s="143"/>
      <c r="Q207" s="38" t="str">
        <f>IFERROR(__xludf.DUMMYFUNCTION("""COMPUTED_VALUE"""),"")</f>
        <v/>
      </c>
      <c r="R207" s="144"/>
      <c r="S207" s="150"/>
      <c r="T207" s="174"/>
      <c r="U207" s="175"/>
      <c r="V207" s="176"/>
      <c r="W207" s="155"/>
      <c r="X207" s="148"/>
      <c r="Y207" s="33"/>
      <c r="Z207" s="155"/>
      <c r="AA207" s="148"/>
      <c r="AB207" s="33"/>
      <c r="AC207" s="33"/>
      <c r="AD207" s="143"/>
      <c r="AE207" s="38" t="str">
        <f>IFERROR(__xludf.DUMMYFUNCTION("""COMPUTED_VALUE"""),"")</f>
        <v/>
      </c>
      <c r="AF207" s="144"/>
      <c r="AG207" s="150"/>
      <c r="AH207" s="174"/>
      <c r="AI207" s="175"/>
      <c r="AJ207" s="176"/>
      <c r="AK207" s="155"/>
      <c r="AL207" s="148"/>
      <c r="AM207" s="33"/>
      <c r="AN207" s="155"/>
      <c r="AO207" s="148"/>
      <c r="AP207" s="33"/>
      <c r="AQ207" s="33"/>
      <c r="AR207" s="143"/>
      <c r="AS207" s="38" t="str">
        <f>IFERROR(__xludf.DUMMYFUNCTION("""COMPUTED_VALUE"""),"")</f>
        <v/>
      </c>
      <c r="AT207" s="144"/>
      <c r="AU207" s="150"/>
      <c r="AV207" s="174"/>
      <c r="AW207" s="175"/>
      <c r="AX207" s="176"/>
      <c r="AY207" s="155"/>
      <c r="AZ207" s="148"/>
      <c r="BA207" s="33"/>
      <c r="BB207" s="155"/>
      <c r="BC207" s="148"/>
      <c r="BD207" s="33"/>
      <c r="BE207" s="33"/>
      <c r="BF207" s="143"/>
      <c r="BG207" s="38" t="str">
        <f>IFERROR(__xludf.DUMMYFUNCTION("""COMPUTED_VALUE"""),"")</f>
        <v/>
      </c>
      <c r="BH207" s="144"/>
      <c r="BI207" s="150"/>
      <c r="BJ207" s="174"/>
      <c r="BK207" s="175"/>
      <c r="BL207" s="176"/>
      <c r="BM207" s="155"/>
      <c r="BN207" s="148"/>
      <c r="BO207" s="33"/>
      <c r="BP207" s="155"/>
      <c r="BQ207" s="148"/>
      <c r="BR207" s="33"/>
      <c r="BS207" s="33"/>
      <c r="BT207" s="143"/>
      <c r="BU207" s="38" t="str">
        <f>IFERROR(__xludf.DUMMYFUNCTION("""COMPUTED_VALUE"""),"")</f>
        <v/>
      </c>
      <c r="BV207" s="144"/>
      <c r="BW207" s="150"/>
      <c r="BX207" s="174"/>
      <c r="BY207" s="175"/>
      <c r="BZ207" s="176"/>
      <c r="CA207" s="155"/>
      <c r="CB207" s="148"/>
      <c r="CC207" s="33"/>
      <c r="CD207" s="155"/>
      <c r="CE207" s="148"/>
      <c r="CF207" s="33"/>
      <c r="CG207" s="33"/>
      <c r="CH207" s="143"/>
      <c r="CI207" s="38" t="str">
        <f>IFERROR(__xludf.DUMMYFUNCTION("""COMPUTED_VALUE"""),"")</f>
        <v/>
      </c>
      <c r="CJ207" s="144"/>
      <c r="CK207" s="150"/>
      <c r="CL207" s="174"/>
      <c r="CM207" s="175"/>
      <c r="CN207" s="176"/>
      <c r="CO207" s="155"/>
      <c r="CP207" s="148"/>
      <c r="CQ207" s="33"/>
      <c r="CR207" s="155"/>
      <c r="CS207" s="148"/>
      <c r="CT207" s="33"/>
      <c r="CU207" s="33"/>
      <c r="CV207" s="143"/>
      <c r="CW207" s="38" t="str">
        <f>IFERROR(__xludf.DUMMYFUNCTION("""COMPUTED_VALUE"""),"")</f>
        <v/>
      </c>
      <c r="CX207" s="144"/>
      <c r="CY207" s="150"/>
      <c r="CZ207" s="174"/>
      <c r="DA207" s="175"/>
      <c r="DB207" s="176"/>
      <c r="DC207" s="155"/>
      <c r="DD207" s="148"/>
      <c r="DE207" s="33"/>
      <c r="DF207" s="155"/>
      <c r="DG207" s="148"/>
      <c r="DH207" s="33"/>
      <c r="DI207" s="33"/>
      <c r="DJ207" s="143"/>
      <c r="DK207" s="38" t="str">
        <f>IFERROR(__xludf.DUMMYFUNCTION("""COMPUTED_VALUE"""),"")</f>
        <v/>
      </c>
      <c r="DL207" s="144"/>
      <c r="DM207" s="150"/>
      <c r="DN207" s="174"/>
      <c r="DO207" s="175"/>
      <c r="DP207" s="176"/>
      <c r="DQ207" s="155"/>
      <c r="DR207" s="148"/>
      <c r="DS207" s="33"/>
      <c r="DT207" s="155"/>
      <c r="DU207" s="148"/>
      <c r="DV207" s="33"/>
      <c r="DW207" s="33"/>
      <c r="DX207" s="143"/>
      <c r="DY207" s="38"/>
      <c r="DZ207" s="144"/>
      <c r="EA207" s="150"/>
      <c r="EB207" s="174"/>
      <c r="EC207" s="175"/>
      <c r="ED207" s="176"/>
      <c r="EE207" s="155"/>
      <c r="EF207" s="148"/>
      <c r="EG207" s="33"/>
      <c r="EH207" s="155"/>
      <c r="EI207" s="148"/>
      <c r="EJ207" s="33"/>
      <c r="EK207" s="33"/>
      <c r="EL207" s="143"/>
      <c r="EM207" s="38"/>
      <c r="EN207" s="144"/>
      <c r="EO207" s="150"/>
      <c r="EP207" s="174"/>
      <c r="EQ207" s="175"/>
      <c r="ER207" s="176"/>
      <c r="ES207" s="155"/>
      <c r="ET207" s="148"/>
      <c r="EU207" s="33"/>
      <c r="EV207" s="155"/>
      <c r="EW207" s="148"/>
      <c r="EX207" s="33"/>
      <c r="EY207" s="33"/>
      <c r="EZ207" s="143"/>
      <c r="FA207" s="38"/>
      <c r="FB207" s="144"/>
      <c r="FC207" s="150"/>
      <c r="FD207" s="174"/>
      <c r="FE207" s="175"/>
      <c r="FF207" s="176"/>
      <c r="FG207" s="155"/>
      <c r="FH207" s="148"/>
      <c r="FI207" s="33"/>
      <c r="FJ207" s="155"/>
      <c r="FK207" s="148"/>
      <c r="FL207" s="33"/>
      <c r="FM207" s="33"/>
      <c r="FN207" s="143"/>
      <c r="FO207" s="38"/>
      <c r="FP207" s="144"/>
      <c r="FQ207" s="150"/>
      <c r="FR207" s="174"/>
      <c r="FS207" s="175"/>
      <c r="FT207" s="176"/>
      <c r="FU207" s="155"/>
      <c r="FV207" s="148"/>
      <c r="FW207" s="33"/>
      <c r="FX207" s="155"/>
      <c r="FY207" s="148"/>
      <c r="FZ207" s="33"/>
      <c r="GA207" s="33"/>
      <c r="GB207" s="143"/>
      <c r="GC207" s="38"/>
      <c r="GD207" s="144"/>
      <c r="GE207" s="150"/>
      <c r="GF207" s="174"/>
      <c r="GG207" s="175"/>
      <c r="GH207" s="176"/>
      <c r="GI207" s="155"/>
      <c r="GJ207" s="148"/>
      <c r="GK207" s="33"/>
      <c r="GL207" s="155"/>
      <c r="GM207" s="148"/>
      <c r="GN207" s="33"/>
      <c r="GO207" s="33"/>
      <c r="GP207" s="143"/>
      <c r="GQ207" s="38"/>
      <c r="GR207" s="144"/>
      <c r="GS207" s="150"/>
      <c r="GT207" s="174"/>
      <c r="GU207" s="175"/>
      <c r="GV207" s="176"/>
      <c r="GW207" s="155"/>
      <c r="GX207" s="148"/>
      <c r="GY207" s="33"/>
      <c r="GZ207" s="155"/>
      <c r="HA207" s="148"/>
      <c r="HB207" s="33"/>
      <c r="HC207" s="33"/>
      <c r="HD207" s="143"/>
      <c r="HE207" s="38"/>
      <c r="HF207" s="144"/>
      <c r="HG207" s="150"/>
      <c r="HH207" s="174"/>
      <c r="HI207" s="175"/>
      <c r="HJ207" s="176"/>
      <c r="HK207" s="155"/>
      <c r="HL207" s="148"/>
      <c r="HM207" s="33"/>
      <c r="HN207" s="155"/>
      <c r="HO207" s="148"/>
      <c r="HP207" s="33"/>
      <c r="HQ207" s="33"/>
      <c r="HR207" s="143"/>
      <c r="HS207" s="38"/>
      <c r="HT207" s="144"/>
      <c r="HU207" s="150"/>
      <c r="HV207" s="174"/>
      <c r="HW207" s="175"/>
      <c r="HX207" s="176"/>
      <c r="HY207" s="155"/>
      <c r="HZ207" s="148"/>
      <c r="IA207" s="33"/>
      <c r="IB207" s="155"/>
      <c r="IC207" s="148"/>
      <c r="ID207" s="33"/>
      <c r="IE207" s="33"/>
      <c r="IF207" s="143"/>
      <c r="IG207" s="38"/>
      <c r="IH207" s="144"/>
      <c r="II207" s="150"/>
      <c r="IJ207" s="174"/>
      <c r="IK207" s="175"/>
      <c r="IL207" s="176"/>
      <c r="IM207" s="155"/>
      <c r="IN207" s="148"/>
      <c r="IO207" s="33"/>
      <c r="IP207" s="155"/>
      <c r="IQ207" s="148"/>
      <c r="IR207" s="33"/>
      <c r="IS207" s="33"/>
      <c r="IT207" s="143"/>
      <c r="IU207" s="38"/>
      <c r="IV207" s="144"/>
      <c r="IW207" s="143"/>
      <c r="IX207" s="38"/>
      <c r="IY207" s="144"/>
    </row>
    <row r="208">
      <c r="A208" s="33"/>
      <c r="B208" s="181"/>
      <c r="C208" s="38" t="str">
        <f>IFERROR(__xludf.DUMMYFUNCTION("""COMPUTED_VALUE"""),"")</f>
        <v/>
      </c>
      <c r="D208" s="144"/>
      <c r="E208" s="184"/>
      <c r="F208" s="174"/>
      <c r="G208" s="175"/>
      <c r="H208" s="185"/>
      <c r="I208" s="155"/>
      <c r="J208" s="148"/>
      <c r="K208" s="33"/>
      <c r="L208" s="155"/>
      <c r="M208" s="148"/>
      <c r="N208" s="33"/>
      <c r="O208" s="33"/>
      <c r="P208" s="143"/>
      <c r="Q208" s="38" t="str">
        <f>IFERROR(__xludf.DUMMYFUNCTION("""COMPUTED_VALUE"""),"")</f>
        <v/>
      </c>
      <c r="R208" s="144"/>
      <c r="S208" s="150"/>
      <c r="T208" s="174"/>
      <c r="U208" s="175"/>
      <c r="V208" s="176"/>
      <c r="W208" s="155"/>
      <c r="X208" s="148"/>
      <c r="Y208" s="33"/>
      <c r="Z208" s="155"/>
      <c r="AA208" s="148"/>
      <c r="AB208" s="33"/>
      <c r="AC208" s="33"/>
      <c r="AD208" s="143"/>
      <c r="AE208" s="38" t="str">
        <f>IFERROR(__xludf.DUMMYFUNCTION("""COMPUTED_VALUE"""),"")</f>
        <v/>
      </c>
      <c r="AF208" s="144"/>
      <c r="AG208" s="150"/>
      <c r="AH208" s="174"/>
      <c r="AI208" s="175"/>
      <c r="AJ208" s="176"/>
      <c r="AK208" s="155"/>
      <c r="AL208" s="148"/>
      <c r="AM208" s="33"/>
      <c r="AN208" s="155"/>
      <c r="AO208" s="148"/>
      <c r="AP208" s="33"/>
      <c r="AQ208" s="33"/>
      <c r="AR208" s="143"/>
      <c r="AS208" s="38" t="str">
        <f>IFERROR(__xludf.DUMMYFUNCTION("""COMPUTED_VALUE"""),"")</f>
        <v/>
      </c>
      <c r="AT208" s="144"/>
      <c r="AU208" s="150"/>
      <c r="AV208" s="174"/>
      <c r="AW208" s="175"/>
      <c r="AX208" s="176"/>
      <c r="AY208" s="155"/>
      <c r="AZ208" s="148"/>
      <c r="BA208" s="33"/>
      <c r="BB208" s="155"/>
      <c r="BC208" s="148"/>
      <c r="BD208" s="33"/>
      <c r="BE208" s="33"/>
      <c r="BF208" s="143"/>
      <c r="BG208" s="38" t="str">
        <f>IFERROR(__xludf.DUMMYFUNCTION("""COMPUTED_VALUE"""),"")</f>
        <v/>
      </c>
      <c r="BH208" s="144"/>
      <c r="BI208" s="150"/>
      <c r="BJ208" s="174"/>
      <c r="BK208" s="175"/>
      <c r="BL208" s="176"/>
      <c r="BM208" s="155"/>
      <c r="BN208" s="148"/>
      <c r="BO208" s="33"/>
      <c r="BP208" s="155"/>
      <c r="BQ208" s="148"/>
      <c r="BR208" s="33"/>
      <c r="BS208" s="33"/>
      <c r="BT208" s="143"/>
      <c r="BU208" s="38" t="str">
        <f>IFERROR(__xludf.DUMMYFUNCTION("""COMPUTED_VALUE"""),"")</f>
        <v/>
      </c>
      <c r="BV208" s="144"/>
      <c r="BW208" s="150"/>
      <c r="BX208" s="174"/>
      <c r="BY208" s="175"/>
      <c r="BZ208" s="176"/>
      <c r="CA208" s="155"/>
      <c r="CB208" s="148"/>
      <c r="CC208" s="33"/>
      <c r="CD208" s="155"/>
      <c r="CE208" s="148"/>
      <c r="CF208" s="33"/>
      <c r="CG208" s="33"/>
      <c r="CH208" s="143"/>
      <c r="CI208" s="38" t="str">
        <f>IFERROR(__xludf.DUMMYFUNCTION("""COMPUTED_VALUE"""),"")</f>
        <v/>
      </c>
      <c r="CJ208" s="144"/>
      <c r="CK208" s="150"/>
      <c r="CL208" s="174"/>
      <c r="CM208" s="175"/>
      <c r="CN208" s="176"/>
      <c r="CO208" s="155"/>
      <c r="CP208" s="148"/>
      <c r="CQ208" s="33"/>
      <c r="CR208" s="155"/>
      <c r="CS208" s="148"/>
      <c r="CT208" s="33"/>
      <c r="CU208" s="33"/>
      <c r="CV208" s="143"/>
      <c r="CW208" s="38" t="str">
        <f>IFERROR(__xludf.DUMMYFUNCTION("""COMPUTED_VALUE"""),"")</f>
        <v/>
      </c>
      <c r="CX208" s="144"/>
      <c r="CY208" s="150"/>
      <c r="CZ208" s="174"/>
      <c r="DA208" s="175"/>
      <c r="DB208" s="176"/>
      <c r="DC208" s="155"/>
      <c r="DD208" s="148"/>
      <c r="DE208" s="33"/>
      <c r="DF208" s="155"/>
      <c r="DG208" s="148"/>
      <c r="DH208" s="33"/>
      <c r="DI208" s="33"/>
      <c r="DJ208" s="143"/>
      <c r="DK208" s="38" t="str">
        <f>IFERROR(__xludf.DUMMYFUNCTION("""COMPUTED_VALUE"""),"")</f>
        <v/>
      </c>
      <c r="DL208" s="144"/>
      <c r="DM208" s="150"/>
      <c r="DN208" s="174"/>
      <c r="DO208" s="175"/>
      <c r="DP208" s="176"/>
      <c r="DQ208" s="155"/>
      <c r="DR208" s="148"/>
      <c r="DS208" s="33"/>
      <c r="DT208" s="155"/>
      <c r="DU208" s="148"/>
      <c r="DV208" s="33"/>
      <c r="DW208" s="33"/>
      <c r="DX208" s="143"/>
      <c r="DY208" s="38"/>
      <c r="DZ208" s="144"/>
      <c r="EA208" s="150"/>
      <c r="EB208" s="174"/>
      <c r="EC208" s="175"/>
      <c r="ED208" s="176"/>
      <c r="EE208" s="155"/>
      <c r="EF208" s="148"/>
      <c r="EG208" s="33"/>
      <c r="EH208" s="155"/>
      <c r="EI208" s="148"/>
      <c r="EJ208" s="33"/>
      <c r="EK208" s="33"/>
      <c r="EL208" s="143"/>
      <c r="EM208" s="38"/>
      <c r="EN208" s="144"/>
      <c r="EO208" s="150"/>
      <c r="EP208" s="174"/>
      <c r="EQ208" s="175"/>
      <c r="ER208" s="176"/>
      <c r="ES208" s="155"/>
      <c r="ET208" s="148"/>
      <c r="EU208" s="33"/>
      <c r="EV208" s="155"/>
      <c r="EW208" s="148"/>
      <c r="EX208" s="33"/>
      <c r="EY208" s="33"/>
      <c r="EZ208" s="143"/>
      <c r="FA208" s="38"/>
      <c r="FB208" s="144"/>
      <c r="FC208" s="150"/>
      <c r="FD208" s="174"/>
      <c r="FE208" s="175"/>
      <c r="FF208" s="176"/>
      <c r="FG208" s="155"/>
      <c r="FH208" s="148"/>
      <c r="FI208" s="33"/>
      <c r="FJ208" s="155"/>
      <c r="FK208" s="148"/>
      <c r="FL208" s="33"/>
      <c r="FM208" s="33"/>
      <c r="FN208" s="143"/>
      <c r="FO208" s="38"/>
      <c r="FP208" s="144"/>
      <c r="FQ208" s="150"/>
      <c r="FR208" s="174"/>
      <c r="FS208" s="175"/>
      <c r="FT208" s="176"/>
      <c r="FU208" s="155"/>
      <c r="FV208" s="148"/>
      <c r="FW208" s="33"/>
      <c r="FX208" s="155"/>
      <c r="FY208" s="148"/>
      <c r="FZ208" s="33"/>
      <c r="GA208" s="33"/>
      <c r="GB208" s="143"/>
      <c r="GC208" s="38"/>
      <c r="GD208" s="144"/>
      <c r="GE208" s="150"/>
      <c r="GF208" s="174"/>
      <c r="GG208" s="175"/>
      <c r="GH208" s="176"/>
      <c r="GI208" s="155"/>
      <c r="GJ208" s="148"/>
      <c r="GK208" s="33"/>
      <c r="GL208" s="155"/>
      <c r="GM208" s="148"/>
      <c r="GN208" s="33"/>
      <c r="GO208" s="33"/>
      <c r="GP208" s="143"/>
      <c r="GQ208" s="38"/>
      <c r="GR208" s="144"/>
      <c r="GS208" s="150"/>
      <c r="GT208" s="174"/>
      <c r="GU208" s="175"/>
      <c r="GV208" s="176"/>
      <c r="GW208" s="155"/>
      <c r="GX208" s="148"/>
      <c r="GY208" s="33"/>
      <c r="GZ208" s="155"/>
      <c r="HA208" s="148"/>
      <c r="HB208" s="33"/>
      <c r="HC208" s="33"/>
      <c r="HD208" s="143"/>
      <c r="HE208" s="38"/>
      <c r="HF208" s="144"/>
      <c r="HG208" s="150"/>
      <c r="HH208" s="174"/>
      <c r="HI208" s="175"/>
      <c r="HJ208" s="176"/>
      <c r="HK208" s="155"/>
      <c r="HL208" s="148"/>
      <c r="HM208" s="33"/>
      <c r="HN208" s="155"/>
      <c r="HO208" s="148"/>
      <c r="HP208" s="33"/>
      <c r="HQ208" s="33"/>
      <c r="HR208" s="143"/>
      <c r="HS208" s="38"/>
      <c r="HT208" s="144"/>
      <c r="HU208" s="150"/>
      <c r="HV208" s="174"/>
      <c r="HW208" s="175"/>
      <c r="HX208" s="176"/>
      <c r="HY208" s="155"/>
      <c r="HZ208" s="148"/>
      <c r="IA208" s="33"/>
      <c r="IB208" s="155"/>
      <c r="IC208" s="148"/>
      <c r="ID208" s="33"/>
      <c r="IE208" s="33"/>
      <c r="IF208" s="143"/>
      <c r="IG208" s="38"/>
      <c r="IH208" s="144"/>
      <c r="II208" s="150"/>
      <c r="IJ208" s="174"/>
      <c r="IK208" s="175"/>
      <c r="IL208" s="176"/>
      <c r="IM208" s="155"/>
      <c r="IN208" s="148"/>
      <c r="IO208" s="33"/>
      <c r="IP208" s="155"/>
      <c r="IQ208" s="148"/>
      <c r="IR208" s="33"/>
      <c r="IS208" s="33"/>
      <c r="IT208" s="143"/>
      <c r="IU208" s="38"/>
      <c r="IV208" s="144"/>
      <c r="IW208" s="143"/>
      <c r="IX208" s="38"/>
      <c r="IY208" s="144"/>
    </row>
    <row r="209">
      <c r="A209" s="33"/>
      <c r="B209" s="181"/>
      <c r="C209" s="38" t="str">
        <f>IFERROR(__xludf.DUMMYFUNCTION("""COMPUTED_VALUE"""),"")</f>
        <v/>
      </c>
      <c r="D209" s="144"/>
      <c r="E209" s="184"/>
      <c r="F209" s="174"/>
      <c r="G209" s="175"/>
      <c r="H209" s="185"/>
      <c r="I209" s="155"/>
      <c r="J209" s="148"/>
      <c r="K209" s="33"/>
      <c r="L209" s="155"/>
      <c r="M209" s="148"/>
      <c r="N209" s="33"/>
      <c r="O209" s="33"/>
      <c r="P209" s="143"/>
      <c r="Q209" s="38" t="str">
        <f>IFERROR(__xludf.DUMMYFUNCTION("""COMPUTED_VALUE"""),"")</f>
        <v/>
      </c>
      <c r="R209" s="144"/>
      <c r="S209" s="150"/>
      <c r="T209" s="174"/>
      <c r="U209" s="175"/>
      <c r="V209" s="176"/>
      <c r="W209" s="155"/>
      <c r="X209" s="148"/>
      <c r="Y209" s="33"/>
      <c r="Z209" s="155"/>
      <c r="AA209" s="148"/>
      <c r="AB209" s="33"/>
      <c r="AC209" s="33"/>
      <c r="AD209" s="143"/>
      <c r="AE209" s="38" t="str">
        <f>IFERROR(__xludf.DUMMYFUNCTION("""COMPUTED_VALUE"""),"")</f>
        <v/>
      </c>
      <c r="AF209" s="144"/>
      <c r="AG209" s="150"/>
      <c r="AH209" s="174"/>
      <c r="AI209" s="175"/>
      <c r="AJ209" s="176"/>
      <c r="AK209" s="155"/>
      <c r="AL209" s="148"/>
      <c r="AM209" s="33"/>
      <c r="AN209" s="155"/>
      <c r="AO209" s="148"/>
      <c r="AP209" s="33"/>
      <c r="AQ209" s="33"/>
      <c r="AR209" s="143"/>
      <c r="AS209" s="38" t="str">
        <f>IFERROR(__xludf.DUMMYFUNCTION("""COMPUTED_VALUE"""),"")</f>
        <v/>
      </c>
      <c r="AT209" s="144"/>
      <c r="AU209" s="150"/>
      <c r="AV209" s="174"/>
      <c r="AW209" s="175"/>
      <c r="AX209" s="176"/>
      <c r="AY209" s="155"/>
      <c r="AZ209" s="148"/>
      <c r="BA209" s="33"/>
      <c r="BB209" s="155"/>
      <c r="BC209" s="148"/>
      <c r="BD209" s="33"/>
      <c r="BE209" s="33"/>
      <c r="BF209" s="143"/>
      <c r="BG209" s="38" t="str">
        <f>IFERROR(__xludf.DUMMYFUNCTION("""COMPUTED_VALUE"""),"")</f>
        <v/>
      </c>
      <c r="BH209" s="144"/>
      <c r="BI209" s="150"/>
      <c r="BJ209" s="174"/>
      <c r="BK209" s="175"/>
      <c r="BL209" s="176"/>
      <c r="BM209" s="155"/>
      <c r="BN209" s="148"/>
      <c r="BO209" s="33"/>
      <c r="BP209" s="155"/>
      <c r="BQ209" s="148"/>
      <c r="BR209" s="33"/>
      <c r="BS209" s="33"/>
      <c r="BT209" s="143"/>
      <c r="BU209" s="38" t="str">
        <f>IFERROR(__xludf.DUMMYFUNCTION("""COMPUTED_VALUE"""),"")</f>
        <v/>
      </c>
      <c r="BV209" s="144"/>
      <c r="BW209" s="150"/>
      <c r="BX209" s="174"/>
      <c r="BY209" s="175"/>
      <c r="BZ209" s="176"/>
      <c r="CA209" s="155"/>
      <c r="CB209" s="148"/>
      <c r="CC209" s="33"/>
      <c r="CD209" s="155"/>
      <c r="CE209" s="148"/>
      <c r="CF209" s="33"/>
      <c r="CG209" s="33"/>
      <c r="CH209" s="143"/>
      <c r="CI209" s="38" t="str">
        <f>IFERROR(__xludf.DUMMYFUNCTION("""COMPUTED_VALUE"""),"")</f>
        <v/>
      </c>
      <c r="CJ209" s="144"/>
      <c r="CK209" s="150"/>
      <c r="CL209" s="174"/>
      <c r="CM209" s="175"/>
      <c r="CN209" s="176"/>
      <c r="CO209" s="155"/>
      <c r="CP209" s="148"/>
      <c r="CQ209" s="33"/>
      <c r="CR209" s="155"/>
      <c r="CS209" s="148"/>
      <c r="CT209" s="33"/>
      <c r="CU209" s="33"/>
      <c r="CV209" s="143"/>
      <c r="CW209" s="38" t="str">
        <f>IFERROR(__xludf.DUMMYFUNCTION("""COMPUTED_VALUE"""),"")</f>
        <v/>
      </c>
      <c r="CX209" s="144"/>
      <c r="CY209" s="150"/>
      <c r="CZ209" s="174"/>
      <c r="DA209" s="175"/>
      <c r="DB209" s="176"/>
      <c r="DC209" s="155"/>
      <c r="DD209" s="148"/>
      <c r="DE209" s="33"/>
      <c r="DF209" s="155"/>
      <c r="DG209" s="148"/>
      <c r="DH209" s="33"/>
      <c r="DI209" s="33"/>
      <c r="DJ209" s="143"/>
      <c r="DK209" s="38" t="str">
        <f>IFERROR(__xludf.DUMMYFUNCTION("""COMPUTED_VALUE"""),"")</f>
        <v/>
      </c>
      <c r="DL209" s="144"/>
      <c r="DM209" s="150"/>
      <c r="DN209" s="174"/>
      <c r="DO209" s="175"/>
      <c r="DP209" s="176"/>
      <c r="DQ209" s="155"/>
      <c r="DR209" s="148"/>
      <c r="DS209" s="33"/>
      <c r="DT209" s="155"/>
      <c r="DU209" s="148"/>
      <c r="DV209" s="33"/>
      <c r="DW209" s="33"/>
      <c r="DX209" s="143"/>
      <c r="DY209" s="38"/>
      <c r="DZ209" s="144"/>
      <c r="EA209" s="150"/>
      <c r="EB209" s="174"/>
      <c r="EC209" s="175"/>
      <c r="ED209" s="176"/>
      <c r="EE209" s="155"/>
      <c r="EF209" s="148"/>
      <c r="EG209" s="33"/>
      <c r="EH209" s="155"/>
      <c r="EI209" s="148"/>
      <c r="EJ209" s="33"/>
      <c r="EK209" s="33"/>
      <c r="EL209" s="143"/>
      <c r="EM209" s="38"/>
      <c r="EN209" s="144"/>
      <c r="EO209" s="150"/>
      <c r="EP209" s="174"/>
      <c r="EQ209" s="175"/>
      <c r="ER209" s="176"/>
      <c r="ES209" s="155"/>
      <c r="ET209" s="148"/>
      <c r="EU209" s="33"/>
      <c r="EV209" s="155"/>
      <c r="EW209" s="148"/>
      <c r="EX209" s="33"/>
      <c r="EY209" s="33"/>
      <c r="EZ209" s="143"/>
      <c r="FA209" s="38"/>
      <c r="FB209" s="144"/>
      <c r="FC209" s="150"/>
      <c r="FD209" s="174"/>
      <c r="FE209" s="175"/>
      <c r="FF209" s="176"/>
      <c r="FG209" s="155"/>
      <c r="FH209" s="148"/>
      <c r="FI209" s="33"/>
      <c r="FJ209" s="155"/>
      <c r="FK209" s="148"/>
      <c r="FL209" s="33"/>
      <c r="FM209" s="33"/>
      <c r="FN209" s="143"/>
      <c r="FO209" s="38"/>
      <c r="FP209" s="144"/>
      <c r="FQ209" s="150"/>
      <c r="FR209" s="174"/>
      <c r="FS209" s="175"/>
      <c r="FT209" s="176"/>
      <c r="FU209" s="155"/>
      <c r="FV209" s="148"/>
      <c r="FW209" s="33"/>
      <c r="FX209" s="155"/>
      <c r="FY209" s="148"/>
      <c r="FZ209" s="33"/>
      <c r="GA209" s="33"/>
      <c r="GB209" s="143"/>
      <c r="GC209" s="38"/>
      <c r="GD209" s="144"/>
      <c r="GE209" s="150"/>
      <c r="GF209" s="174"/>
      <c r="GG209" s="175"/>
      <c r="GH209" s="176"/>
      <c r="GI209" s="155"/>
      <c r="GJ209" s="148"/>
      <c r="GK209" s="33"/>
      <c r="GL209" s="155"/>
      <c r="GM209" s="148"/>
      <c r="GN209" s="33"/>
      <c r="GO209" s="33"/>
      <c r="GP209" s="143"/>
      <c r="GQ209" s="38"/>
      <c r="GR209" s="144"/>
      <c r="GS209" s="150"/>
      <c r="GT209" s="174"/>
      <c r="GU209" s="175"/>
      <c r="GV209" s="176"/>
      <c r="GW209" s="155"/>
      <c r="GX209" s="148"/>
      <c r="GY209" s="33"/>
      <c r="GZ209" s="155"/>
      <c r="HA209" s="148"/>
      <c r="HB209" s="33"/>
      <c r="HC209" s="33"/>
      <c r="HD209" s="143"/>
      <c r="HE209" s="38"/>
      <c r="HF209" s="144"/>
      <c r="HG209" s="150"/>
      <c r="HH209" s="174"/>
      <c r="HI209" s="175"/>
      <c r="HJ209" s="176"/>
      <c r="HK209" s="155"/>
      <c r="HL209" s="148"/>
      <c r="HM209" s="33"/>
      <c r="HN209" s="155"/>
      <c r="HO209" s="148"/>
      <c r="HP209" s="33"/>
      <c r="HQ209" s="33"/>
      <c r="HR209" s="143"/>
      <c r="HS209" s="38"/>
      <c r="HT209" s="144"/>
      <c r="HU209" s="150"/>
      <c r="HV209" s="174"/>
      <c r="HW209" s="175"/>
      <c r="HX209" s="176"/>
      <c r="HY209" s="155"/>
      <c r="HZ209" s="148"/>
      <c r="IA209" s="33"/>
      <c r="IB209" s="155"/>
      <c r="IC209" s="148"/>
      <c r="ID209" s="33"/>
      <c r="IE209" s="33"/>
      <c r="IF209" s="143"/>
      <c r="IG209" s="38"/>
      <c r="IH209" s="144"/>
      <c r="II209" s="150"/>
      <c r="IJ209" s="174"/>
      <c r="IK209" s="175"/>
      <c r="IL209" s="176"/>
      <c r="IM209" s="155"/>
      <c r="IN209" s="148"/>
      <c r="IO209" s="33"/>
      <c r="IP209" s="155"/>
      <c r="IQ209" s="148"/>
      <c r="IR209" s="33"/>
      <c r="IS209" s="33"/>
      <c r="IT209" s="143"/>
      <c r="IU209" s="38"/>
      <c r="IV209" s="144"/>
      <c r="IW209" s="143"/>
      <c r="IX209" s="38"/>
      <c r="IY209" s="144"/>
    </row>
    <row r="210">
      <c r="A210" s="33"/>
      <c r="B210" s="181"/>
      <c r="C210" s="38" t="str">
        <f>IFERROR(__xludf.DUMMYFUNCTION("""COMPUTED_VALUE"""),"")</f>
        <v/>
      </c>
      <c r="D210" s="144"/>
      <c r="E210" s="184"/>
      <c r="F210" s="174"/>
      <c r="G210" s="175"/>
      <c r="H210" s="185"/>
      <c r="I210" s="155"/>
      <c r="J210" s="148"/>
      <c r="K210" s="33"/>
      <c r="L210" s="155"/>
      <c r="M210" s="148"/>
      <c r="N210" s="33"/>
      <c r="O210" s="33"/>
      <c r="P210" s="143"/>
      <c r="Q210" s="38" t="str">
        <f>IFERROR(__xludf.DUMMYFUNCTION("""COMPUTED_VALUE"""),"")</f>
        <v/>
      </c>
      <c r="R210" s="144"/>
      <c r="S210" s="150"/>
      <c r="T210" s="174"/>
      <c r="U210" s="175"/>
      <c r="V210" s="176"/>
      <c r="W210" s="155"/>
      <c r="X210" s="148"/>
      <c r="Y210" s="33"/>
      <c r="Z210" s="155"/>
      <c r="AA210" s="148"/>
      <c r="AB210" s="33"/>
      <c r="AC210" s="33"/>
      <c r="AD210" s="143"/>
      <c r="AE210" s="38" t="str">
        <f>IFERROR(__xludf.DUMMYFUNCTION("""COMPUTED_VALUE"""),"")</f>
        <v/>
      </c>
      <c r="AF210" s="144"/>
      <c r="AG210" s="150"/>
      <c r="AH210" s="174"/>
      <c r="AI210" s="175"/>
      <c r="AJ210" s="176"/>
      <c r="AK210" s="155"/>
      <c r="AL210" s="148"/>
      <c r="AM210" s="33"/>
      <c r="AN210" s="155"/>
      <c r="AO210" s="148"/>
      <c r="AP210" s="33"/>
      <c r="AQ210" s="33"/>
      <c r="AR210" s="143"/>
      <c r="AS210" s="38" t="str">
        <f>IFERROR(__xludf.DUMMYFUNCTION("""COMPUTED_VALUE"""),"")</f>
        <v/>
      </c>
      <c r="AT210" s="144"/>
      <c r="AU210" s="150"/>
      <c r="AV210" s="174"/>
      <c r="AW210" s="175"/>
      <c r="AX210" s="176"/>
      <c r="AY210" s="155"/>
      <c r="AZ210" s="148"/>
      <c r="BA210" s="33"/>
      <c r="BB210" s="155"/>
      <c r="BC210" s="148"/>
      <c r="BD210" s="33"/>
      <c r="BE210" s="33"/>
      <c r="BF210" s="143"/>
      <c r="BG210" s="38" t="str">
        <f>IFERROR(__xludf.DUMMYFUNCTION("""COMPUTED_VALUE"""),"")</f>
        <v/>
      </c>
      <c r="BH210" s="144"/>
      <c r="BI210" s="150"/>
      <c r="BJ210" s="174"/>
      <c r="BK210" s="175"/>
      <c r="BL210" s="176"/>
      <c r="BM210" s="155"/>
      <c r="BN210" s="148"/>
      <c r="BO210" s="33"/>
      <c r="BP210" s="155"/>
      <c r="BQ210" s="148"/>
      <c r="BR210" s="33"/>
      <c r="BS210" s="33"/>
      <c r="BT210" s="143"/>
      <c r="BU210" s="38" t="str">
        <f>IFERROR(__xludf.DUMMYFUNCTION("""COMPUTED_VALUE"""),"")</f>
        <v/>
      </c>
      <c r="BV210" s="144"/>
      <c r="BW210" s="150"/>
      <c r="BX210" s="174"/>
      <c r="BY210" s="175"/>
      <c r="BZ210" s="176"/>
      <c r="CA210" s="155"/>
      <c r="CB210" s="148"/>
      <c r="CC210" s="33"/>
      <c r="CD210" s="155"/>
      <c r="CE210" s="148"/>
      <c r="CF210" s="33"/>
      <c r="CG210" s="33"/>
      <c r="CH210" s="143"/>
      <c r="CI210" s="38" t="str">
        <f>IFERROR(__xludf.DUMMYFUNCTION("""COMPUTED_VALUE"""),"")</f>
        <v/>
      </c>
      <c r="CJ210" s="144"/>
      <c r="CK210" s="150"/>
      <c r="CL210" s="174"/>
      <c r="CM210" s="175"/>
      <c r="CN210" s="176"/>
      <c r="CO210" s="155"/>
      <c r="CP210" s="148"/>
      <c r="CQ210" s="33"/>
      <c r="CR210" s="155"/>
      <c r="CS210" s="148"/>
      <c r="CT210" s="33"/>
      <c r="CU210" s="33"/>
      <c r="CV210" s="143"/>
      <c r="CW210" s="38" t="str">
        <f>IFERROR(__xludf.DUMMYFUNCTION("""COMPUTED_VALUE"""),"")</f>
        <v/>
      </c>
      <c r="CX210" s="144"/>
      <c r="CY210" s="150"/>
      <c r="CZ210" s="174"/>
      <c r="DA210" s="175"/>
      <c r="DB210" s="176"/>
      <c r="DC210" s="155"/>
      <c r="DD210" s="148"/>
      <c r="DE210" s="33"/>
      <c r="DF210" s="155"/>
      <c r="DG210" s="148"/>
      <c r="DH210" s="33"/>
      <c r="DI210" s="33"/>
      <c r="DJ210" s="143"/>
      <c r="DK210" s="38" t="str">
        <f>IFERROR(__xludf.DUMMYFUNCTION("""COMPUTED_VALUE"""),"")</f>
        <v/>
      </c>
      <c r="DL210" s="144"/>
      <c r="DM210" s="150"/>
      <c r="DN210" s="174"/>
      <c r="DO210" s="175"/>
      <c r="DP210" s="176"/>
      <c r="DQ210" s="155"/>
      <c r="DR210" s="148"/>
      <c r="DS210" s="33"/>
      <c r="DT210" s="155"/>
      <c r="DU210" s="148"/>
      <c r="DV210" s="33"/>
      <c r="DW210" s="33"/>
      <c r="DX210" s="143"/>
      <c r="DY210" s="38"/>
      <c r="DZ210" s="144"/>
      <c r="EA210" s="150"/>
      <c r="EB210" s="174"/>
      <c r="EC210" s="175"/>
      <c r="ED210" s="176"/>
      <c r="EE210" s="155"/>
      <c r="EF210" s="148"/>
      <c r="EG210" s="33"/>
      <c r="EH210" s="155"/>
      <c r="EI210" s="148"/>
      <c r="EJ210" s="33"/>
      <c r="EK210" s="33"/>
      <c r="EL210" s="143"/>
      <c r="EM210" s="38"/>
      <c r="EN210" s="144"/>
      <c r="EO210" s="150"/>
      <c r="EP210" s="174"/>
      <c r="EQ210" s="175"/>
      <c r="ER210" s="176"/>
      <c r="ES210" s="155"/>
      <c r="ET210" s="148"/>
      <c r="EU210" s="33"/>
      <c r="EV210" s="155"/>
      <c r="EW210" s="148"/>
      <c r="EX210" s="33"/>
      <c r="EY210" s="33"/>
      <c r="EZ210" s="143"/>
      <c r="FA210" s="38"/>
      <c r="FB210" s="144"/>
      <c r="FC210" s="150"/>
      <c r="FD210" s="174"/>
      <c r="FE210" s="175"/>
      <c r="FF210" s="176"/>
      <c r="FG210" s="155"/>
      <c r="FH210" s="148"/>
      <c r="FI210" s="33"/>
      <c r="FJ210" s="155"/>
      <c r="FK210" s="148"/>
      <c r="FL210" s="33"/>
      <c r="FM210" s="33"/>
      <c r="FN210" s="143"/>
      <c r="FO210" s="38"/>
      <c r="FP210" s="144"/>
      <c r="FQ210" s="150"/>
      <c r="FR210" s="174"/>
      <c r="FS210" s="175"/>
      <c r="FT210" s="176"/>
      <c r="FU210" s="155"/>
      <c r="FV210" s="148"/>
      <c r="FW210" s="33"/>
      <c r="FX210" s="155"/>
      <c r="FY210" s="148"/>
      <c r="FZ210" s="33"/>
      <c r="GA210" s="33"/>
      <c r="GB210" s="143"/>
      <c r="GC210" s="38"/>
      <c r="GD210" s="144"/>
      <c r="GE210" s="150"/>
      <c r="GF210" s="174"/>
      <c r="GG210" s="175"/>
      <c r="GH210" s="176"/>
      <c r="GI210" s="155"/>
      <c r="GJ210" s="148"/>
      <c r="GK210" s="33"/>
      <c r="GL210" s="155"/>
      <c r="GM210" s="148"/>
      <c r="GN210" s="33"/>
      <c r="GO210" s="33"/>
      <c r="GP210" s="143"/>
      <c r="GQ210" s="38"/>
      <c r="GR210" s="144"/>
      <c r="GS210" s="150"/>
      <c r="GT210" s="174"/>
      <c r="GU210" s="175"/>
      <c r="GV210" s="176"/>
      <c r="GW210" s="155"/>
      <c r="GX210" s="148"/>
      <c r="GY210" s="33"/>
      <c r="GZ210" s="155"/>
      <c r="HA210" s="148"/>
      <c r="HB210" s="33"/>
      <c r="HC210" s="33"/>
      <c r="HD210" s="143"/>
      <c r="HE210" s="38"/>
      <c r="HF210" s="144"/>
      <c r="HG210" s="150"/>
      <c r="HH210" s="174"/>
      <c r="HI210" s="175"/>
      <c r="HJ210" s="176"/>
      <c r="HK210" s="155"/>
      <c r="HL210" s="148"/>
      <c r="HM210" s="33"/>
      <c r="HN210" s="155"/>
      <c r="HO210" s="148"/>
      <c r="HP210" s="33"/>
      <c r="HQ210" s="33"/>
      <c r="HR210" s="143"/>
      <c r="HS210" s="38"/>
      <c r="HT210" s="144"/>
      <c r="HU210" s="150"/>
      <c r="HV210" s="174"/>
      <c r="HW210" s="175"/>
      <c r="HX210" s="176"/>
      <c r="HY210" s="155"/>
      <c r="HZ210" s="148"/>
      <c r="IA210" s="33"/>
      <c r="IB210" s="155"/>
      <c r="IC210" s="148"/>
      <c r="ID210" s="33"/>
      <c r="IE210" s="33"/>
      <c r="IF210" s="143"/>
      <c r="IG210" s="38"/>
      <c r="IH210" s="144"/>
      <c r="II210" s="150"/>
      <c r="IJ210" s="174"/>
      <c r="IK210" s="175"/>
      <c r="IL210" s="176"/>
      <c r="IM210" s="155"/>
      <c r="IN210" s="148"/>
      <c r="IO210" s="33"/>
      <c r="IP210" s="155"/>
      <c r="IQ210" s="148"/>
      <c r="IR210" s="33"/>
      <c r="IS210" s="33"/>
      <c r="IT210" s="143"/>
      <c r="IU210" s="38"/>
      <c r="IV210" s="144"/>
      <c r="IW210" s="143"/>
      <c r="IX210" s="38"/>
      <c r="IY210" s="144"/>
    </row>
  </sheetData>
  <mergeCells count="1">
    <mergeCell ref="F7:G7"/>
  </mergeCells>
  <conditionalFormatting sqref="E1:E5 S1:S210 AG1:AG210 AU1:AU210 BI1:BI210 BW1:BW210 CK1:CK210 CY1:CY210 DM1:DM210 EA1:EA210 EO1:EO210 FC1:FC210 FQ1:FQ210 GE1:GE210 GS1:GS210 HG1:HG210 HU1:HU210 II1:II210 DN6:DO6 E7:E210">
    <cfRule type="containsText" dxfId="3" priority="1" operator="containsText" text="Day">
      <formula>NOT(ISERROR(SEARCH(("Day"),(E1))))</formula>
    </cfRule>
  </conditionalFormatting>
  <conditionalFormatting sqref="C10:I210">
    <cfRule type="expression" dxfId="4" priority="2">
      <formula>$C10="bn"</formula>
    </cfRule>
  </conditionalFormatting>
  <conditionalFormatting sqref="C10:I210">
    <cfRule type="expression" dxfId="5" priority="3">
      <formula>$C10="sq"</formula>
    </cfRule>
  </conditionalFormatting>
  <conditionalFormatting sqref="C10:I210">
    <cfRule type="expression" dxfId="6" priority="4">
      <formula>$C10="dl"</formula>
    </cfRule>
  </conditionalFormatting>
  <conditionalFormatting sqref="Q10:W210 BL79 BZ79 CN79">
    <cfRule type="expression" dxfId="5" priority="5">
      <formula>$Q10="sq"</formula>
    </cfRule>
  </conditionalFormatting>
  <conditionalFormatting sqref="Q10:W210 BL79 BZ79 CN79">
    <cfRule type="expression" dxfId="7" priority="6">
      <formula>$Q10="bn"</formula>
    </cfRule>
  </conditionalFormatting>
  <conditionalFormatting sqref="Q10:W210 BL79 BZ79 CN79">
    <cfRule type="expression" dxfId="6" priority="7">
      <formula>$Q10="dl"</formula>
    </cfRule>
  </conditionalFormatting>
  <conditionalFormatting sqref="AE10:AK210">
    <cfRule type="expression" dxfId="6" priority="8">
      <formula>$AE10="dl"</formula>
    </cfRule>
  </conditionalFormatting>
  <conditionalFormatting sqref="AE10:AK210">
    <cfRule type="expression" dxfId="5" priority="9">
      <formula>$AE10="sq"</formula>
    </cfRule>
  </conditionalFormatting>
  <conditionalFormatting sqref="AE10:AK210">
    <cfRule type="expression" dxfId="7" priority="10">
      <formula>$AE10="bn"</formula>
    </cfRule>
  </conditionalFormatting>
  <conditionalFormatting sqref="AS10:AY210">
    <cfRule type="expression" dxfId="5" priority="11">
      <formula>$AS10="sq"</formula>
    </cfRule>
  </conditionalFormatting>
  <conditionalFormatting sqref="AS10:AY210">
    <cfRule type="expression" dxfId="7" priority="12">
      <formula>$AS10="bn"</formula>
    </cfRule>
  </conditionalFormatting>
  <conditionalFormatting sqref="AS10:AY210">
    <cfRule type="expression" dxfId="6" priority="13">
      <formula>$AS10="dl"</formula>
    </cfRule>
  </conditionalFormatting>
  <conditionalFormatting sqref="BG10:BM210">
    <cfRule type="expression" dxfId="6" priority="14">
      <formula>$BG10="dl"</formula>
    </cfRule>
  </conditionalFormatting>
  <conditionalFormatting sqref="BG10:BM210">
    <cfRule type="expression" dxfId="5" priority="15">
      <formula>$BG10="sq"</formula>
    </cfRule>
  </conditionalFormatting>
  <conditionalFormatting sqref="BU10:CA210">
    <cfRule type="expression" dxfId="7" priority="16">
      <formula>$BU10="bn"</formula>
    </cfRule>
  </conditionalFormatting>
  <conditionalFormatting sqref="BU10:CA210">
    <cfRule type="expression" dxfId="5" priority="17">
      <formula>$BU10="sq"</formula>
    </cfRule>
  </conditionalFormatting>
  <conditionalFormatting sqref="BU10:CA210">
    <cfRule type="expression" dxfId="6" priority="18">
      <formula>$BU10="dl"</formula>
    </cfRule>
  </conditionalFormatting>
  <conditionalFormatting sqref="BG10:BM210">
    <cfRule type="expression" dxfId="7" priority="19">
      <formula>$BG10="bn"</formula>
    </cfRule>
  </conditionalFormatting>
  <conditionalFormatting sqref="CI10:CO210">
    <cfRule type="expression" dxfId="6" priority="20">
      <formula>$CI10="dl"</formula>
    </cfRule>
  </conditionalFormatting>
  <conditionalFormatting sqref="CI10:CO210">
    <cfRule type="expression" dxfId="7" priority="21">
      <formula>$CI10="bn"</formula>
    </cfRule>
  </conditionalFormatting>
  <conditionalFormatting sqref="CI10:CO210">
    <cfRule type="expression" dxfId="5" priority="22">
      <formula>$CI10="sq"</formula>
    </cfRule>
  </conditionalFormatting>
  <conditionalFormatting sqref="CW10:DC210">
    <cfRule type="expression" dxfId="5" priority="23">
      <formula>$CW10="sq"</formula>
    </cfRule>
  </conditionalFormatting>
  <conditionalFormatting sqref="CW10:DC210">
    <cfRule type="expression" dxfId="7" priority="24">
      <formula>$CW10="bn"</formula>
    </cfRule>
  </conditionalFormatting>
  <conditionalFormatting sqref="CW10:DC210">
    <cfRule type="expression" dxfId="6" priority="25">
      <formula>$CW10="dl"</formula>
    </cfRule>
  </conditionalFormatting>
  <conditionalFormatting sqref="DK10:DQ210">
    <cfRule type="expression" dxfId="6" priority="26">
      <formula>$DK10="dl"</formula>
    </cfRule>
  </conditionalFormatting>
  <conditionalFormatting sqref="DK10:DQ210">
    <cfRule type="expression" dxfId="5" priority="27">
      <formula>$DK10="sq"</formula>
    </cfRule>
  </conditionalFormatting>
  <conditionalFormatting sqref="DK10:DQ210">
    <cfRule type="expression" dxfId="7" priority="28">
      <formula>$DK10="bn"</formula>
    </cfRule>
  </conditionalFormatting>
  <conditionalFormatting sqref="DY10:EE210">
    <cfRule type="expression" dxfId="7" priority="29">
      <formula>$DY10="bn"</formula>
    </cfRule>
  </conditionalFormatting>
  <conditionalFormatting sqref="DY10:EE210">
    <cfRule type="expression" dxfId="5" priority="30">
      <formula>$DY10="sq"</formula>
    </cfRule>
  </conditionalFormatting>
  <conditionalFormatting sqref="DY10:EE210">
    <cfRule type="expression" dxfId="6" priority="31">
      <formula>$DY10="dl"</formula>
    </cfRule>
  </conditionalFormatting>
  <conditionalFormatting sqref="EM10:ES210">
    <cfRule type="expression" dxfId="6" priority="32">
      <formula>$EM10="dl"</formula>
    </cfRule>
  </conditionalFormatting>
  <conditionalFormatting sqref="EM10:ES210">
    <cfRule type="expression" dxfId="5" priority="33">
      <formula>$EM10="sq"</formula>
    </cfRule>
  </conditionalFormatting>
  <conditionalFormatting sqref="EM10:ES210">
    <cfRule type="expression" dxfId="7" priority="34">
      <formula>$EM10="bn"</formula>
    </cfRule>
  </conditionalFormatting>
  <conditionalFormatting sqref="FA10:FG210">
    <cfRule type="expression" dxfId="7" priority="35">
      <formula>$FA10="bn"</formula>
    </cfRule>
  </conditionalFormatting>
  <conditionalFormatting sqref="FA10:FG210">
    <cfRule type="expression" dxfId="5" priority="36">
      <formula>$FA10="sq"</formula>
    </cfRule>
  </conditionalFormatting>
  <conditionalFormatting sqref="FA10:FG210">
    <cfRule type="expression" dxfId="6" priority="37">
      <formula>$FA10="dl"</formula>
    </cfRule>
  </conditionalFormatting>
  <conditionalFormatting sqref="FO10:FU210">
    <cfRule type="expression" dxfId="6" priority="38">
      <formula>$FO10="dl"</formula>
    </cfRule>
  </conditionalFormatting>
  <conditionalFormatting sqref="FO10:FU210">
    <cfRule type="expression" dxfId="5" priority="39">
      <formula>$FO10="sq"</formula>
    </cfRule>
  </conditionalFormatting>
  <conditionalFormatting sqref="FO10:FU210">
    <cfRule type="expression" dxfId="7" priority="40">
      <formula>$FO10="bn"</formula>
    </cfRule>
  </conditionalFormatting>
  <dataValidations>
    <dataValidation type="list" allowBlank="1" sqref="F7">
      <formula1>"SELECT,MALE,FEMALE"</formula1>
    </dataValidation>
    <dataValidation type="list" allowBlank="1" sqref="E58">
      <formula1>"SELECT,DB Incline Bench Press,DB Overhead Press,Barbell Overhead Press,DB Bench Press"</formula1>
    </dataValidation>
    <dataValidation type="list" allowBlank="1" sqref="L10:L199 Z10:Z199 AN10:AN199 BB10:BB199 BP10:BP199 CD10:CD199 CR10:CR199 DF10:DF199 DT10:DT199">
      <formula1>"&lt;5,5.5,6,6.5,7,7.5,8,8.5,9,9.5,10"</formula1>
    </dataValidation>
    <dataValidation type="list" allowBlank="1" sqref="E67">
      <formula1>"Athlete Movement of Choice,Cable Rope Crunch,Decline Weighted Sit-up,Hanging Leg Raise,Ab Wheel,GHD Sit-up,Enter your own"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0.0"/>
    <col customWidth="1" min="3" max="3" width="11.38"/>
    <col customWidth="1" min="4" max="4" width="7.25"/>
    <col customWidth="1" min="5" max="5" width="6.88"/>
    <col customWidth="1" min="6" max="6" width="12.75"/>
    <col customWidth="1" min="7" max="7" width="9.0"/>
    <col customWidth="1" min="8" max="8" width="9.75"/>
    <col customWidth="1" min="9" max="9" width="12.13"/>
    <col customWidth="1" min="10" max="10" width="13.75"/>
    <col customWidth="1" min="11" max="11" width="15.38"/>
    <col customWidth="1" min="12" max="12" width="10.63"/>
    <col customWidth="1" min="13" max="13" width="9.88"/>
    <col customWidth="1" min="14" max="14" width="13.88"/>
    <col customWidth="1" min="15" max="15" width="10.63"/>
    <col customWidth="1" min="16" max="16" width="13.0"/>
    <col customWidth="1" min="17" max="17" width="7.0"/>
    <col hidden="1" min="19" max="19" width="12.63"/>
    <col customWidth="1" hidden="1" min="20" max="20" width="31.13"/>
    <col hidden="1" min="21" max="22" width="12.63"/>
    <col customWidth="1" min="23" max="23" width="26.88"/>
  </cols>
  <sheetData>
    <row r="1" ht="23.25" customHeight="1">
      <c r="A1" s="186"/>
      <c r="B1" s="187"/>
      <c r="C1" s="188"/>
      <c r="D1" s="188"/>
      <c r="E1" s="188"/>
      <c r="F1" s="188"/>
      <c r="G1" s="188"/>
      <c r="H1" s="188"/>
      <c r="I1" s="188"/>
      <c r="J1" s="188"/>
      <c r="K1" s="188"/>
      <c r="L1" s="118" t="str">
        <f>IFS(ISNUMBER(VALUE(LEFT(meetctdn,2))),LEFT(meetctdn,2), ISNUMBER(VALUE(LEFT(meetctdn,1))), LEFT(meetctdn,1), TRUE,"N/A")</f>
        <v>N/A</v>
      </c>
      <c r="M1" s="118"/>
      <c r="N1" s="189"/>
      <c r="O1" s="189"/>
      <c r="P1" s="189"/>
      <c r="Q1" s="189"/>
      <c r="R1" s="122"/>
      <c r="S1" s="122"/>
      <c r="T1" s="122"/>
      <c r="U1" s="122"/>
      <c r="V1" s="122"/>
      <c r="W1" s="122"/>
    </row>
    <row r="2">
      <c r="A2" s="122"/>
      <c r="B2" s="190"/>
      <c r="C2" s="190"/>
      <c r="D2" s="190"/>
      <c r="E2" s="190"/>
      <c r="F2" s="190"/>
      <c r="G2" s="190"/>
      <c r="H2" s="190"/>
      <c r="I2" s="190"/>
      <c r="J2" s="190"/>
      <c r="K2" s="190"/>
      <c r="M2" s="191" t="str">
        <f>IF(AND(TIME(HOUR(NOW()),MINUTE(NOW()),SECOND(NOW()))&gt;=TIME(0,0,0),TIME(HOUR(NOW()),MINUTE(NOW()),SECOND(NOW()))&lt;=TIME(12,0,0)),"Good morning, ",      IF(AND(TIME(HOUR(NOW()),MINUTE(NOW()),SECOND(NOW()))&gt;TIME(12,0,0),TIME(HOUR(NOW()),MINUTE(NOW()),SECOND(NOW()))&lt;=TIME(18,0,0)),"Good afternoon, ",      IF(AND(TIME(HOUR(NOW()),MINUTE(NOW()),SECOND(NOW()))&gt;=TIME(18,0,0),TIME(HOUR(NOW()),MINUTE(NOW()),SECOND(NOW()))&lt;=TIME(23,59,59)),"Good evening, ", "error")))&amp;C5&amp;"."</f>
        <v>Good morning, First.</v>
      </c>
      <c r="N2" s="192"/>
      <c r="O2" s="1"/>
      <c r="P2" s="1"/>
      <c r="Q2" s="118"/>
      <c r="R2" s="122"/>
      <c r="S2" s="122"/>
      <c r="T2" s="122"/>
      <c r="U2" s="122"/>
      <c r="V2" s="122"/>
      <c r="W2" s="122"/>
    </row>
    <row r="3" ht="12.75" customHeight="1">
      <c r="A3" s="122"/>
      <c r="B3" s="190"/>
      <c r="C3" s="190"/>
      <c r="D3" s="190"/>
      <c r="E3" s="190"/>
      <c r="F3" s="193"/>
      <c r="G3" s="193"/>
      <c r="H3" s="193"/>
      <c r="I3" s="193"/>
      <c r="J3" s="193"/>
      <c r="K3" s="193"/>
      <c r="M3" s="194"/>
      <c r="Q3" s="118"/>
      <c r="R3" s="195"/>
      <c r="S3" s="195"/>
      <c r="T3" s="195"/>
      <c r="U3" s="195"/>
      <c r="V3" s="195"/>
      <c r="W3" s="195"/>
    </row>
    <row r="4" ht="32.25" customHeight="1">
      <c r="A4" s="122"/>
      <c r="B4" s="196"/>
      <c r="C4" s="196"/>
      <c r="D4" s="196"/>
      <c r="E4" s="196"/>
      <c r="F4" s="197"/>
      <c r="G4" s="197"/>
      <c r="H4" s="197"/>
      <c r="J4" s="122"/>
      <c r="Q4" s="118"/>
      <c r="R4" s="122"/>
      <c r="S4" s="122"/>
      <c r="T4" s="122"/>
      <c r="U4" s="122"/>
      <c r="V4" s="122"/>
    </row>
    <row r="5" ht="19.5" customHeight="1">
      <c r="A5" s="122"/>
      <c r="B5" s="196"/>
      <c r="C5" s="198" t="str">
        <f>'Personal Info'!L26</f>
        <v>First</v>
      </c>
      <c r="D5" s="196"/>
      <c r="E5" s="196"/>
      <c r="F5" s="197"/>
      <c r="G5" s="197"/>
      <c r="H5" s="197"/>
      <c r="I5" s="199"/>
      <c r="J5" s="199"/>
      <c r="K5" s="199"/>
      <c r="M5" s="200"/>
      <c r="Q5" s="118"/>
      <c r="R5" s="122"/>
      <c r="S5" s="201" t="s">
        <v>351</v>
      </c>
      <c r="T5" s="201" t="s">
        <v>352</v>
      </c>
      <c r="U5" s="201" t="s">
        <v>353</v>
      </c>
      <c r="V5" s="201" t="s">
        <v>354</v>
      </c>
    </row>
    <row r="6" ht="37.5" customHeight="1">
      <c r="A6" s="122"/>
      <c r="B6" s="196"/>
      <c r="C6" s="198" t="str">
        <f>'Personal Info'!L27</f>
        <v>Last</v>
      </c>
      <c r="D6" s="196"/>
      <c r="E6" s="196"/>
      <c r="F6" s="197"/>
      <c r="G6" s="202"/>
      <c r="H6" s="202"/>
      <c r="I6" s="203"/>
      <c r="J6" s="203"/>
      <c r="K6" s="203"/>
      <c r="M6" s="204" t="str">
        <f>IFERROR(IF('Personal Info'!Q29=0,"F: "&amp;'Personal Info'!Q26&amp;", C: "&amp;'Personal Info'!R26&amp;", P: "&amp;'Personal Info'!S26, LOWER('Personal Info'!P26)&amp;": "&amp;'Personal Info'!Q26&amp;"/"&amp;'Personal Info'!R26&amp;"/"&amp;'Personal Info'!S26&amp;", "&amp;'Personal Info'!L49&amp;" days"),"")</f>
        <v/>
      </c>
      <c r="Q6" s="118"/>
      <c r="R6" s="122"/>
      <c r="S6" s="205" t="s">
        <v>355</v>
      </c>
      <c r="T6" s="206">
        <f>IF(_uom="lbs",CEILING(('Personal Info'!L30/2.2)*0.0417,0.1),CEILING(('Personal Info'!L30)*0.0417,0.1))</f>
        <v>3.5</v>
      </c>
      <c r="U6" s="206">
        <f>T6+4</f>
        <v>7.5</v>
      </c>
      <c r="V6" s="206" t="str">
        <f>T6&amp;" - "&amp;U6</f>
        <v>3.5 - 7.5</v>
      </c>
    </row>
    <row r="7">
      <c r="A7" s="122"/>
      <c r="B7" s="196"/>
      <c r="C7" s="196"/>
      <c r="D7" s="196"/>
      <c r="E7" s="196"/>
      <c r="F7" s="196"/>
      <c r="G7" s="196"/>
      <c r="H7" s="196"/>
      <c r="I7" s="122"/>
      <c r="J7" s="122"/>
      <c r="K7" s="122"/>
      <c r="L7" s="122"/>
      <c r="M7" s="204" t="str">
        <f>IF('Personal Info'!Q29=0,"",LOWER('Personal Info'!P29)&amp;": "&amp;'Personal Info'!Q29&amp;"/"&amp;'Personal Info'!R29&amp;"/"&amp;'Personal Info'!S29&amp;", "&amp;'Personal Info'!L54&amp;" days")</f>
        <v/>
      </c>
      <c r="Q7" s="118"/>
      <c r="R7" s="122"/>
      <c r="S7" s="207"/>
      <c r="T7" s="208"/>
      <c r="U7" s="209"/>
      <c r="V7" s="209"/>
    </row>
    <row r="8">
      <c r="A8" s="122"/>
      <c r="B8" s="210"/>
      <c r="C8" s="210"/>
      <c r="D8" s="210"/>
      <c r="E8" s="210"/>
      <c r="F8" s="210"/>
      <c r="G8" s="210"/>
      <c r="H8" s="210"/>
      <c r="I8" s="211"/>
      <c r="J8" s="211"/>
      <c r="K8" s="211"/>
      <c r="L8" s="211"/>
      <c r="M8" s="211"/>
      <c r="N8" s="211"/>
      <c r="O8" s="211"/>
      <c r="P8" s="211"/>
      <c r="Q8" s="118"/>
      <c r="R8" s="122"/>
      <c r="S8" s="207" t="s">
        <v>356</v>
      </c>
      <c r="T8" s="208" t="str">
        <f>MROUND(IF('Personal Info'!T30=0,'Personal Info'!T27,AVERAGE('Personal Info'!T27,'Personal Info'!T30))/1000,1)</f>
        <v>#NUM!</v>
      </c>
      <c r="U8" s="209" t="str">
        <f>T8+4</f>
        <v>#NUM!</v>
      </c>
      <c r="V8" s="209" t="str">
        <f>TEXT(T8,"0")&amp;" - "&amp;TEXT(U8,"0")&amp;" servings"</f>
        <v>#NUM!</v>
      </c>
    </row>
    <row r="9" ht="25.5" customHeight="1">
      <c r="A9" s="122"/>
      <c r="B9" s="107"/>
      <c r="C9" s="107"/>
      <c r="D9" s="107"/>
      <c r="E9" s="107"/>
      <c r="F9" s="212"/>
      <c r="G9" s="213"/>
      <c r="H9" s="213"/>
      <c r="I9" s="213"/>
      <c r="J9" s="214"/>
      <c r="K9" s="213"/>
      <c r="L9" s="215"/>
      <c r="M9" s="216"/>
      <c r="N9" s="216"/>
      <c r="O9" s="216"/>
      <c r="P9" s="216"/>
      <c r="Q9" s="217"/>
      <c r="R9" s="122"/>
      <c r="S9" s="205" t="s">
        <v>357</v>
      </c>
      <c r="T9" s="206" t="str">
        <f>MROUND('Personal Info'!L51*0.05,5)/5</f>
        <v>#NUM!</v>
      </c>
      <c r="U9" s="206" t="str">
        <f>MROUND('Personal Info'!L51*0.2,5)/5</f>
        <v>#NUM!</v>
      </c>
      <c r="V9" s="206" t="str">
        <f>25&amp;" - "&amp;MROUND('Personal Info'!L51*0.2,5)</f>
        <v>#NUM!</v>
      </c>
    </row>
    <row r="10">
      <c r="A10" s="122"/>
      <c r="B10" s="107"/>
      <c r="C10" s="218" t="str">
        <f>IFERROR(TEXT(AVERAGE(IF(COUNTA(C22:C404)&lt;7,C22:C28,OFFSET(C22,COUNTA(C22:C404)-$K$19,0,$K$19,1))),"0.0"),"")&amp;_uom</f>
        <v>180.1lbs</v>
      </c>
      <c r="D10" s="107"/>
      <c r="F10" s="219"/>
      <c r="G10" s="220" t="str">
        <f>'Personal Info'!L28</f>
        <v>5'6"</v>
      </c>
      <c r="J10" s="219"/>
      <c r="K10" s="220">
        <f>'Personal Info'!L29</f>
        <v>18</v>
      </c>
      <c r="L10" s="221"/>
      <c r="N10" s="222" t="str">
        <f>IFERROR(MROUND(AVERAGE(IF(COUNTA(C22:C404)&lt;7,G22:G28,OFFSET(C21,COUNTA(C22:C404)-6,4,7,1))),1),"")</f>
        <v/>
      </c>
      <c r="Q10" s="223"/>
      <c r="R10" s="122"/>
      <c r="S10" s="224" t="s">
        <v>358</v>
      </c>
      <c r="T10" s="209">
        <v>7.0</v>
      </c>
      <c r="U10" s="209">
        <v>10.0</v>
      </c>
      <c r="V10" s="209" t="s">
        <v>359</v>
      </c>
    </row>
    <row r="11">
      <c r="A11" s="122"/>
      <c r="B11" s="107"/>
      <c r="C11" s="225" t="s">
        <v>360</v>
      </c>
      <c r="D11" s="107"/>
      <c r="F11" s="226"/>
      <c r="G11" s="225" t="s">
        <v>361</v>
      </c>
      <c r="J11" s="219"/>
      <c r="K11" s="225" t="s">
        <v>362</v>
      </c>
      <c r="L11" s="221"/>
      <c r="N11" s="225" t="s">
        <v>363</v>
      </c>
      <c r="Q11" s="223"/>
      <c r="R11" s="122"/>
      <c r="S11" s="205" t="s">
        <v>364</v>
      </c>
      <c r="T11" s="206">
        <v>3.0</v>
      </c>
      <c r="U11" s="206">
        <v>6.0</v>
      </c>
      <c r="V11" s="227">
        <v>43165.0</v>
      </c>
    </row>
    <row r="12" ht="11.25" customHeight="1">
      <c r="A12" s="122"/>
      <c r="B12" s="120"/>
      <c r="C12" s="122" t="str">
        <f>IFERROR(__xludf.DUMMYFUNCTION("sparkline(IF(COUNTA(C22:C404)&lt;7,C22:C28,OFFSET(C22,COUNTA(C22:C404)-$K$19,0,$K$19,1)), {""color"", ""9E424B"";""linewidth"",2.5;""empty"",""ignore""})"),"")</f>
        <v/>
      </c>
      <c r="E12" s="122"/>
      <c r="F12" s="228"/>
      <c r="G12" s="122"/>
      <c r="I12" s="122"/>
      <c r="J12" s="228"/>
      <c r="K12" s="122"/>
      <c r="L12" s="221"/>
      <c r="M12" s="122"/>
      <c r="N12" s="122"/>
      <c r="O12" s="122"/>
      <c r="P12" s="122"/>
      <c r="Q12" s="118"/>
      <c r="R12" s="122"/>
      <c r="S12" s="122"/>
      <c r="T12" s="122"/>
      <c r="U12" s="122"/>
      <c r="V12" s="122"/>
    </row>
    <row r="13">
      <c r="A13" s="122"/>
      <c r="B13" s="229"/>
      <c r="C13" s="230"/>
      <c r="D13" s="230"/>
      <c r="E13" s="230"/>
      <c r="F13" s="231"/>
      <c r="G13" s="230"/>
      <c r="H13" s="230"/>
      <c r="I13" s="230"/>
      <c r="J13" s="231"/>
      <c r="K13" s="230"/>
      <c r="L13" s="232"/>
      <c r="M13" s="230"/>
      <c r="N13" s="230"/>
      <c r="O13" s="230"/>
      <c r="P13" s="230"/>
      <c r="Q13" s="118"/>
      <c r="R13" s="122"/>
      <c r="S13" s="122"/>
      <c r="T13" s="122"/>
      <c r="U13" s="122"/>
      <c r="V13" s="122"/>
      <c r="W13" s="122"/>
    </row>
    <row r="14" ht="18.75" customHeight="1">
      <c r="A14" s="122"/>
      <c r="B14" s="120"/>
      <c r="C14" s="122"/>
      <c r="D14" s="122"/>
      <c r="E14" s="122"/>
      <c r="F14" s="228"/>
      <c r="G14" s="122"/>
      <c r="H14" s="122"/>
      <c r="I14" s="122"/>
      <c r="J14" s="228"/>
      <c r="K14" s="122"/>
      <c r="L14" s="221"/>
      <c r="M14" s="122"/>
      <c r="N14" s="122"/>
      <c r="O14" s="122"/>
      <c r="P14" s="122"/>
      <c r="Q14" s="118"/>
      <c r="R14" s="122"/>
      <c r="S14" s="122"/>
      <c r="T14" s="122"/>
      <c r="U14" s="122"/>
      <c r="V14" s="122"/>
      <c r="W14" s="122"/>
    </row>
    <row r="15" ht="13.5" customHeight="1">
      <c r="A15" s="122"/>
      <c r="C15" s="222" t="str">
        <f>IFERROR(MROUND(AVERAGE(IF(COUNTA(C22:C404)&lt;7,D22:D28,OFFSET(C21,COUNTA(C22:C404)-$K$19+1,1,$K$19,1))),1),"")&amp;"g"</f>
        <v>g</v>
      </c>
      <c r="D15" s="122"/>
      <c r="F15" s="233"/>
      <c r="G15" s="222" t="str">
        <f>IFERROR(MROUND(AVERAGE(IF(COUNTA(C22:C404)&lt;7,E22:E28,OFFSET(C21,COUNTA(C22:C404)-$K$19+1,2,$K$19,1))),1),"")&amp;"g"</f>
        <v>g</v>
      </c>
      <c r="H15" s="122"/>
      <c r="J15" s="228"/>
      <c r="K15" s="222" t="str">
        <f>IFERROR(MROUND(AVERAGE(IF(COUNTA(C22:C404)&lt;7,F22:F28,OFFSET(C21,COUNTA(C22:C404)-$K$19+1,3,$K$19,1))),1),"")&amp;"g"</f>
        <v>181g</v>
      </c>
      <c r="L15" s="221"/>
      <c r="M15" s="122"/>
      <c r="N15" s="234" t="str">
        <f>TEXT(AVERAGE(L19,10-M19,N19,10-O19,P19),"0.00")</f>
        <v>7.70</v>
      </c>
      <c r="Q15" s="118"/>
      <c r="R15" s="122"/>
      <c r="S15" s="122"/>
      <c r="T15" s="122"/>
      <c r="U15" s="122"/>
      <c r="V15" s="122"/>
      <c r="W15" s="122"/>
    </row>
    <row r="16" ht="19.5" customHeight="1">
      <c r="A16" s="122"/>
      <c r="B16" s="167"/>
      <c r="C16" s="225" t="s">
        <v>365</v>
      </c>
      <c r="D16" s="122"/>
      <c r="F16" s="228"/>
      <c r="G16" s="225" t="s">
        <v>366</v>
      </c>
      <c r="H16" s="122"/>
      <c r="J16" s="235"/>
      <c r="K16" s="225" t="s">
        <v>367</v>
      </c>
      <c r="L16" s="221"/>
      <c r="M16" s="122"/>
      <c r="N16" s="225" t="s">
        <v>368</v>
      </c>
      <c r="Q16" s="118"/>
      <c r="R16" s="122"/>
      <c r="S16" s="122"/>
      <c r="T16" s="122"/>
      <c r="U16" s="122"/>
      <c r="V16" s="122"/>
    </row>
    <row r="17" ht="13.5" customHeight="1">
      <c r="A17" s="122"/>
      <c r="C17" s="122" t="str">
        <f>IFERROR(__xludf.DUMMYFUNCTION("sparkline(IF(COUNTA(C22:C404)&lt;7,D22:D28,OFFSET(C21,COUNTA(C22:C404)-$K$19+1,1,$K$19,1)), {""color"", ""9E424B"";""linewidth"",2.5;""empty"",""ignore""})"),"#N/A")</f>
        <v>#N/A</v>
      </c>
      <c r="E17" s="122"/>
      <c r="F17" s="228"/>
      <c r="G17" s="236" t="str">
        <f>IFERROR(__xludf.DUMMYFUNCTION("IFERROR(sparkline(IF(COUNTA(C22:C404)&lt;7,E22:E28,OFFSET(C21,COUNTA(C22:C404)-$K$19+1,2,$K$19,1)), {""color"", ""6E8EA0"";""linewidth"",2.5;""empty"",""ignore""}),"""")"),"")</f>
        <v/>
      </c>
      <c r="I17" s="122"/>
      <c r="J17" s="228"/>
      <c r="K17" s="122" t="str">
        <f>IFERROR(__xludf.DUMMYFUNCTION("sparkline(IF(COUNTA(C22:C404)&lt;7,F22:F28,OFFSET(C21,COUNTA(C22:C404)-$K$19+1,3,$K$19,1)), {""color"", ""9EA3B0"";""linewidth"",2.5;""empty"",""ignore""})"),"")</f>
        <v/>
      </c>
      <c r="L17" s="221"/>
      <c r="M17" s="122"/>
      <c r="N17" s="122" t="str">
        <f>IFERROR(__xludf.DUMMYFUNCTION("sparkline(IF(COUNTA(C22:C404)&lt;7,Q22:Q28,OFFSET(C21,COUNTA(C22:C404)-$K$19+1,14,$K$19,1)), {""color"", ""60282E"";""linewidth"",2.5;""empty"",""ignore""})"),"")</f>
        <v/>
      </c>
      <c r="P17" s="122"/>
      <c r="Q17" s="118"/>
      <c r="R17" s="122"/>
      <c r="S17" s="122"/>
      <c r="T17" s="122"/>
      <c r="U17" s="122"/>
      <c r="V17" s="122"/>
    </row>
    <row r="18" ht="12.0" customHeight="1">
      <c r="A18" s="122"/>
      <c r="B18" s="230"/>
      <c r="C18" s="230"/>
      <c r="D18" s="230"/>
      <c r="E18" s="230"/>
      <c r="F18" s="231"/>
      <c r="G18" s="230"/>
      <c r="H18" s="230"/>
      <c r="I18" s="230"/>
      <c r="J18" s="231"/>
      <c r="K18" s="230"/>
      <c r="L18" s="232"/>
      <c r="M18" s="230"/>
      <c r="N18" s="230"/>
      <c r="O18" s="230"/>
      <c r="P18" s="230"/>
      <c r="Q18" s="118"/>
      <c r="R18" s="122"/>
      <c r="S18" s="122"/>
      <c r="T18" s="122"/>
      <c r="U18" s="122"/>
      <c r="V18" s="122"/>
    </row>
    <row r="19" ht="33.75" customHeight="1">
      <c r="A19" s="122"/>
      <c r="B19" s="122"/>
      <c r="C19" s="122"/>
      <c r="D19" s="237"/>
      <c r="E19" s="237"/>
      <c r="F19" s="237"/>
      <c r="G19" s="238"/>
      <c r="H19" s="237"/>
      <c r="I19" s="237"/>
      <c r="J19" s="237"/>
      <c r="K19" s="239">
        <v>7.0</v>
      </c>
      <c r="L19" s="240">
        <f>IFERROR(MROUND(AVERAGE(IF(COUNTA(C22:C404)&lt;7,L22:L404,OFFSET(C21,COUNTA(C22:C404)-6,9,$K$19,1))),0.1),"")</f>
        <v>5.5</v>
      </c>
      <c r="M19" s="240">
        <f>IFERROR(MROUND(AVERAGE(IF(COUNTA(C22:C404)&lt;7,M22:M404,OFFSET(C21,COUNTA(C22:C404)-6,10,$K$19,1))),0.1),"")</f>
        <v>2</v>
      </c>
      <c r="N19" s="240">
        <f>IFERROR(MROUND(AVERAGE(IF(COUNTA(C22:C404)&lt;7,N22:N404,OFFSET(C21,COUNTA(C22:C404)-6,11,$K$19,1))),0.1),"")</f>
        <v>8</v>
      </c>
      <c r="O19" s="240">
        <f>IFERROR(MROUND(AVERAGE(IF(COUNTA(C22:C404)&lt;7,O22:O404,OFFSET(C21,COUNTA(C22:C404)-6,12,$K$19,1))),0.1),"")</f>
        <v>1</v>
      </c>
      <c r="P19" s="240">
        <f>IFERROR(MROUND(AVERAGE(IF(COUNTA(C22:C404)&lt;7,P22:P404,OFFSET(C21,COUNTA(C22:C404)-6,13,$K$19,1))),0.1),"")</f>
        <v>8</v>
      </c>
      <c r="Q19" s="241"/>
      <c r="R19" s="122"/>
      <c r="S19" s="122"/>
      <c r="T19" s="122"/>
      <c r="U19" s="122"/>
      <c r="V19" s="122"/>
    </row>
    <row r="20" ht="45.0" customHeight="1">
      <c r="A20" s="122"/>
      <c r="B20" s="122"/>
      <c r="C20" s="120"/>
      <c r="D20" s="122"/>
      <c r="E20" s="122"/>
      <c r="F20" s="122"/>
      <c r="G20" s="122"/>
      <c r="H20" s="122"/>
      <c r="I20" s="122"/>
      <c r="J20" s="122"/>
      <c r="K20" s="118"/>
      <c r="L20" s="242" t="str">
        <f>IF(ISBLANK(L29),"0.0",(IF(AVERAGE(OFFSET(C21,COUNTA(C22:C404)-6,9,7,1))-AVERAGE(OFFSET(C21,COUNTA(C22:C404)-13,9,7,1))&gt;0,"↑ ","↓ ")&amp;TEXT(ABS(AVERAGE(OFFSET(C21,COUNTA(C22:C404)-6,9,7,1))-AVERAGE(OFFSET(C21,COUNTA(C22:C404)-13,9,7,1))),"0.0")))</f>
        <v>0.0</v>
      </c>
      <c r="M20" s="242" t="str">
        <f>IF(ISBLANK(M29),"0.0",IF(AVERAGE(OFFSET(C21,COUNTA(C22:C404)-6,10,7,1))-AVERAGE(OFFSET(C21,COUNTA(C22:C404)-13,10,7,1))&gt;0,"↑ ", "↓ ")&amp;TEXT(ABS(AVERAGE(OFFSET(C21,COUNTA(C22:C404)-6,10,7,1))-AVERAGE(OFFSET(C21,COUNTA(C22:C404)-13,10,7,1))),"0.0"))</f>
        <v>0.0</v>
      </c>
      <c r="N20" s="242" t="str">
        <f>IF(ISBLANK(N29),"0.0",IF(AVERAGE(OFFSET(C21,COUNTA(C22:C404)-6,11,7,1))-AVERAGE(OFFSET(C21,COUNTA(C22:C404)-13,11,7,1))&gt;0,"↑ ", "↓ ")&amp;TEXT(ABS(AVERAGE(OFFSET(C21,COUNTA(C22:C404)-6,11,7,1))-AVERAGE(OFFSET(C21,COUNTA(C22:C404)-13,11,7,1))),"0.0"))</f>
        <v>0.0</v>
      </c>
      <c r="O20" s="242" t="str">
        <f>IF(ISBLANK(O29),"0.0",IF(AVERAGE(OFFSET(C21,COUNTA(C22:C404)-6,12,7,1))-AVERAGE(OFFSET(C21,COUNTA(C22:C404)-13,12,7,1))&gt;0,"↑ ", "↓ ")&amp;TEXT(ABS(AVERAGE(OFFSET(C21,COUNTA(C22:C404)-6,12,7,1))-AVERAGE(OFFSET(C21,COUNTA(C22:C404)-13,12,7,1))),"0.0"))</f>
        <v>0.0</v>
      </c>
      <c r="P20" s="242" t="str">
        <f>IF(ISBLANK(P29),"0.0",IF(AVERAGE(OFFSET(C21,COUNTA(C22:C404)-6,13,7,1))-AVERAGE(OFFSET(C21,COUNTA(C22:C404)-13,13,7,1))&gt;0,"↑ ", "↓ ")&amp;TEXT(ABS(AVERAGE(OFFSET(C21,COUNTA(C22:C404)-6,13,7,1))-AVERAGE(OFFSET(C21,COUNTA(C22:C404)-13,13,7,1))),"0.0"))</f>
        <v>0.0</v>
      </c>
      <c r="Q20" s="118"/>
      <c r="R20" s="122"/>
      <c r="S20" s="122"/>
      <c r="T20" s="122"/>
      <c r="U20" s="122"/>
      <c r="V20" s="122"/>
    </row>
    <row r="21">
      <c r="A21" s="122"/>
      <c r="B21" s="243" t="s">
        <v>85</v>
      </c>
      <c r="C21" s="243" t="s">
        <v>86</v>
      </c>
      <c r="D21" s="243" t="s">
        <v>140</v>
      </c>
      <c r="E21" s="243" t="s">
        <v>141</v>
      </c>
      <c r="F21" s="243" t="s">
        <v>142</v>
      </c>
      <c r="G21" s="243" t="s">
        <v>143</v>
      </c>
      <c r="H21" s="243" t="s">
        <v>198</v>
      </c>
      <c r="I21" s="243" t="s">
        <v>369</v>
      </c>
      <c r="J21" s="243" t="s">
        <v>370</v>
      </c>
      <c r="K21" s="244"/>
      <c r="L21" s="245" t="s">
        <v>371</v>
      </c>
      <c r="M21" s="245" t="s">
        <v>372</v>
      </c>
      <c r="N21" s="245" t="s">
        <v>373</v>
      </c>
      <c r="O21" s="245" t="s">
        <v>374</v>
      </c>
      <c r="P21" s="245" t="s">
        <v>375</v>
      </c>
      <c r="Q21" s="246"/>
      <c r="R21" s="122"/>
      <c r="S21" s="122"/>
      <c r="T21" s="122"/>
      <c r="U21" s="122"/>
      <c r="V21" s="122"/>
    </row>
    <row r="22" ht="18.0" customHeight="1">
      <c r="A22" s="122"/>
      <c r="B22" s="247">
        <f>progdt</f>
        <v>46109</v>
      </c>
      <c r="C22" s="248">
        <f>'Personal Info'!L30</f>
        <v>180</v>
      </c>
      <c r="D22" s="249"/>
      <c r="E22" s="249"/>
      <c r="F22" s="249">
        <f>'Personal Info'!S27</f>
        <v>180</v>
      </c>
      <c r="G22" s="249" t="str">
        <f t="array" ref="G22:G404">IFS(ISBLANK(D22:D404),"",ISBLANK(E22:E404),"",ISBLANK(F22:F404),"",TRUE, D22:D404*9+E22:E404*4+F22:F404*4)</f>
        <v/>
      </c>
      <c r="H22" s="248" t="s">
        <v>376</v>
      </c>
      <c r="I22" s="248">
        <v>1.0</v>
      </c>
      <c r="J22" s="250" t="s">
        <v>377</v>
      </c>
      <c r="L22" s="248">
        <v>9.0</v>
      </c>
      <c r="M22" s="248">
        <v>2.0</v>
      </c>
      <c r="N22" s="248">
        <v>8.0</v>
      </c>
      <c r="O22" s="248">
        <v>1.0</v>
      </c>
      <c r="P22" s="248">
        <v>8.0</v>
      </c>
      <c r="Q22" s="251">
        <f t="array" ref="Q22:Q404">IF((L22:L404+(10-M22:M404)+N22:N404+(10-O22:O404)+P22:P404)/5=4,"",(L22:L404+(10-M22:M404)+N22:N404+(10-O22:O404)+P22:P404)/5)</f>
        <v>8.4</v>
      </c>
      <c r="R22" s="122"/>
      <c r="S22" s="122"/>
      <c r="T22" s="122"/>
      <c r="U22" s="122"/>
      <c r="V22" s="122"/>
    </row>
    <row r="23">
      <c r="A23" s="122"/>
      <c r="B23" s="252">
        <f t="shared" ref="B23:B402" si="1">B22+1</f>
        <v>46110</v>
      </c>
      <c r="C23" s="253">
        <f>C22+0.2</f>
        <v>180.2</v>
      </c>
      <c r="D23" s="253"/>
      <c r="E23" s="253"/>
      <c r="F23" s="253">
        <f>F22+2</f>
        <v>182</v>
      </c>
      <c r="G23" s="254" t="s">
        <v>110</v>
      </c>
      <c r="H23" s="254"/>
      <c r="I23" s="254"/>
      <c r="J23" s="255"/>
      <c r="L23" s="253">
        <v>2.0</v>
      </c>
      <c r="M23" s="253">
        <v>2.0</v>
      </c>
      <c r="N23" s="253">
        <v>8.0</v>
      </c>
      <c r="O23" s="253">
        <v>1.0</v>
      </c>
      <c r="P23" s="253">
        <v>8.0</v>
      </c>
      <c r="Q23" s="251">
        <v>7.0</v>
      </c>
      <c r="R23" s="122"/>
      <c r="S23" s="122"/>
      <c r="T23" s="122"/>
      <c r="U23" s="122"/>
      <c r="V23" s="122"/>
    </row>
    <row r="24">
      <c r="A24" s="122"/>
      <c r="B24" s="247">
        <f t="shared" si="1"/>
        <v>46111</v>
      </c>
      <c r="C24" s="248"/>
      <c r="D24" s="248"/>
      <c r="E24" s="248"/>
      <c r="F24" s="248"/>
      <c r="G24" s="249" t="s">
        <v>110</v>
      </c>
      <c r="H24" s="249"/>
      <c r="I24" s="249"/>
      <c r="J24" s="256"/>
      <c r="L24" s="248"/>
      <c r="M24" s="248"/>
      <c r="N24" s="248"/>
      <c r="O24" s="248"/>
      <c r="P24" s="248"/>
      <c r="Q24" s="251" t="s">
        <v>110</v>
      </c>
      <c r="R24" s="122"/>
      <c r="S24" s="122"/>
      <c r="T24" s="122"/>
      <c r="U24" s="122"/>
      <c r="V24" s="122"/>
    </row>
    <row r="25">
      <c r="A25" s="122"/>
      <c r="B25" s="252">
        <f t="shared" si="1"/>
        <v>46112</v>
      </c>
      <c r="C25" s="253"/>
      <c r="D25" s="254"/>
      <c r="E25" s="253"/>
      <c r="F25" s="254"/>
      <c r="G25" s="254" t="s">
        <v>110</v>
      </c>
      <c r="H25" s="254"/>
      <c r="I25" s="254"/>
      <c r="J25" s="255"/>
      <c r="L25" s="254"/>
      <c r="M25" s="254"/>
      <c r="N25" s="254"/>
      <c r="O25" s="254"/>
      <c r="P25" s="254"/>
      <c r="Q25" s="251" t="s">
        <v>110</v>
      </c>
      <c r="R25" s="122"/>
      <c r="S25" s="122"/>
      <c r="T25" s="122"/>
      <c r="U25" s="122"/>
      <c r="V25" s="122"/>
    </row>
    <row r="26">
      <c r="A26" s="122"/>
      <c r="B26" s="247">
        <f t="shared" si="1"/>
        <v>46113</v>
      </c>
      <c r="C26" s="248"/>
      <c r="D26" s="249"/>
      <c r="E26" s="248"/>
      <c r="F26" s="249"/>
      <c r="G26" s="249" t="s">
        <v>110</v>
      </c>
      <c r="H26" s="249"/>
      <c r="I26" s="249"/>
      <c r="J26" s="256"/>
      <c r="L26" s="249"/>
      <c r="M26" s="249"/>
      <c r="N26" s="249"/>
      <c r="O26" s="249"/>
      <c r="P26" s="249"/>
      <c r="Q26" s="251" t="s">
        <v>110</v>
      </c>
      <c r="R26" s="122"/>
      <c r="S26" s="122"/>
      <c r="T26" s="122"/>
      <c r="U26" s="122"/>
      <c r="V26" s="122"/>
    </row>
    <row r="27">
      <c r="A27" s="122"/>
      <c r="B27" s="252">
        <f t="shared" si="1"/>
        <v>46114</v>
      </c>
      <c r="C27" s="253"/>
      <c r="D27" s="254"/>
      <c r="E27" s="253"/>
      <c r="F27" s="254"/>
      <c r="G27" s="254" t="s">
        <v>110</v>
      </c>
      <c r="H27" s="254"/>
      <c r="I27" s="254"/>
      <c r="J27" s="255"/>
      <c r="L27" s="254"/>
      <c r="M27" s="254"/>
      <c r="N27" s="254"/>
      <c r="O27" s="254"/>
      <c r="P27" s="254"/>
      <c r="Q27" s="251" t="s">
        <v>110</v>
      </c>
      <c r="R27" s="122"/>
      <c r="S27" s="122"/>
      <c r="T27" s="122"/>
      <c r="U27" s="122"/>
      <c r="V27" s="122"/>
    </row>
    <row r="28">
      <c r="A28" s="122"/>
      <c r="B28" s="247">
        <f t="shared" si="1"/>
        <v>46115</v>
      </c>
      <c r="C28" s="248"/>
      <c r="D28" s="249"/>
      <c r="E28" s="249"/>
      <c r="F28" s="249"/>
      <c r="G28" s="249" t="s">
        <v>110</v>
      </c>
      <c r="H28" s="249"/>
      <c r="I28" s="249"/>
      <c r="J28" s="256"/>
      <c r="L28" s="249"/>
      <c r="M28" s="249"/>
      <c r="N28" s="249"/>
      <c r="O28" s="249"/>
      <c r="P28" s="249"/>
      <c r="Q28" s="251" t="s">
        <v>110</v>
      </c>
      <c r="R28" s="122"/>
      <c r="S28" s="122"/>
      <c r="T28" s="122"/>
      <c r="U28" s="122"/>
      <c r="V28" s="122"/>
    </row>
    <row r="29">
      <c r="A29" s="122"/>
      <c r="B29" s="252">
        <f t="shared" si="1"/>
        <v>46116</v>
      </c>
      <c r="C29" s="254"/>
      <c r="D29" s="254"/>
      <c r="E29" s="254"/>
      <c r="F29" s="254"/>
      <c r="G29" s="254" t="s">
        <v>110</v>
      </c>
      <c r="H29" s="254"/>
      <c r="I29" s="254"/>
      <c r="J29" s="255"/>
      <c r="L29" s="254"/>
      <c r="M29" s="254"/>
      <c r="N29" s="254"/>
      <c r="O29" s="254"/>
      <c r="P29" s="254"/>
      <c r="Q29" s="251" t="s">
        <v>110</v>
      </c>
      <c r="R29" s="122"/>
      <c r="S29" s="122"/>
      <c r="T29" s="122"/>
      <c r="U29" s="122"/>
      <c r="V29" s="122"/>
    </row>
    <row r="30">
      <c r="A30" s="122"/>
      <c r="B30" s="247">
        <f t="shared" si="1"/>
        <v>46117</v>
      </c>
      <c r="C30" s="249"/>
      <c r="D30" s="249"/>
      <c r="E30" s="249"/>
      <c r="F30" s="249"/>
      <c r="G30" s="249" t="s">
        <v>110</v>
      </c>
      <c r="H30" s="249"/>
      <c r="I30" s="249"/>
      <c r="J30" s="256"/>
      <c r="L30" s="249"/>
      <c r="M30" s="249"/>
      <c r="N30" s="249"/>
      <c r="O30" s="249"/>
      <c r="P30" s="249"/>
      <c r="Q30" s="251" t="s">
        <v>110</v>
      </c>
      <c r="R30" s="122"/>
      <c r="S30" s="257" t="s">
        <v>378</v>
      </c>
      <c r="T30" s="258" t="s">
        <v>379</v>
      </c>
      <c r="U30" s="259">
        <v>15.0</v>
      </c>
      <c r="V30" s="257" t="s">
        <v>380</v>
      </c>
    </row>
    <row r="31">
      <c r="A31" s="122"/>
      <c r="B31" s="252">
        <f t="shared" si="1"/>
        <v>46118</v>
      </c>
      <c r="C31" s="254"/>
      <c r="D31" s="254"/>
      <c r="E31" s="254"/>
      <c r="F31" s="254"/>
      <c r="G31" s="254" t="s">
        <v>110</v>
      </c>
      <c r="H31" s="254"/>
      <c r="I31" s="254"/>
      <c r="J31" s="255"/>
      <c r="L31" s="254"/>
      <c r="M31" s="254"/>
      <c r="N31" s="254"/>
      <c r="O31" s="254"/>
      <c r="P31" s="254"/>
      <c r="Q31" s="251" t="s">
        <v>110</v>
      </c>
      <c r="R31" s="122"/>
      <c r="S31" s="257" t="s">
        <v>192</v>
      </c>
      <c r="T31" s="259" t="s">
        <v>192</v>
      </c>
      <c r="U31" s="259">
        <f t="shared" ref="U31:U105" si="2">U30+1</f>
        <v>16</v>
      </c>
      <c r="V31" s="257" t="s">
        <v>381</v>
      </c>
    </row>
    <row r="32">
      <c r="A32" s="122"/>
      <c r="B32" s="247">
        <f t="shared" si="1"/>
        <v>46119</v>
      </c>
      <c r="C32" s="249"/>
      <c r="D32" s="249"/>
      <c r="E32" s="249"/>
      <c r="F32" s="249"/>
      <c r="G32" s="249" t="s">
        <v>110</v>
      </c>
      <c r="H32" s="249"/>
      <c r="I32" s="249"/>
      <c r="J32" s="256"/>
      <c r="L32" s="249"/>
      <c r="M32" s="249"/>
      <c r="N32" s="249"/>
      <c r="O32" s="249"/>
      <c r="P32" s="249"/>
      <c r="Q32" s="251" t="s">
        <v>110</v>
      </c>
      <c r="R32" s="122"/>
      <c r="S32" s="260">
        <v>0.04</v>
      </c>
      <c r="T32" s="259" t="s">
        <v>382</v>
      </c>
      <c r="U32" s="259">
        <f t="shared" si="2"/>
        <v>17</v>
      </c>
      <c r="V32" s="257" t="s">
        <v>383</v>
      </c>
    </row>
    <row r="33">
      <c r="A33" s="122"/>
      <c r="B33" s="252">
        <f t="shared" si="1"/>
        <v>46120</v>
      </c>
      <c r="C33" s="254"/>
      <c r="D33" s="254"/>
      <c r="E33" s="254"/>
      <c r="F33" s="254"/>
      <c r="G33" s="254" t="s">
        <v>110</v>
      </c>
      <c r="H33" s="254"/>
      <c r="I33" s="254"/>
      <c r="J33" s="255"/>
      <c r="L33" s="254"/>
      <c r="M33" s="254"/>
      <c r="N33" s="254"/>
      <c r="O33" s="254"/>
      <c r="P33" s="254"/>
      <c r="Q33" s="251" t="s">
        <v>110</v>
      </c>
      <c r="R33" s="122"/>
      <c r="S33" s="260">
        <v>0.05</v>
      </c>
      <c r="T33" s="259" t="s">
        <v>384</v>
      </c>
      <c r="U33" s="259">
        <f t="shared" si="2"/>
        <v>18</v>
      </c>
      <c r="V33" s="257" t="s">
        <v>385</v>
      </c>
    </row>
    <row r="34">
      <c r="A34" s="122"/>
      <c r="B34" s="247">
        <f t="shared" si="1"/>
        <v>46121</v>
      </c>
      <c r="C34" s="249"/>
      <c r="D34" s="249"/>
      <c r="E34" s="249"/>
      <c r="F34" s="249"/>
      <c r="G34" s="249" t="s">
        <v>110</v>
      </c>
      <c r="H34" s="249"/>
      <c r="I34" s="249"/>
      <c r="J34" s="256"/>
      <c r="L34" s="249"/>
      <c r="M34" s="249"/>
      <c r="N34" s="249"/>
      <c r="O34" s="249"/>
      <c r="P34" s="249"/>
      <c r="Q34" s="251" t="s">
        <v>110</v>
      </c>
      <c r="R34" s="122"/>
      <c r="S34" s="260">
        <v>0.06</v>
      </c>
      <c r="T34" s="259" t="s">
        <v>386</v>
      </c>
      <c r="U34" s="259">
        <f t="shared" si="2"/>
        <v>19</v>
      </c>
      <c r="V34" s="257" t="s">
        <v>387</v>
      </c>
    </row>
    <row r="35">
      <c r="A35" s="122"/>
      <c r="B35" s="252">
        <f t="shared" si="1"/>
        <v>46122</v>
      </c>
      <c r="C35" s="254"/>
      <c r="D35" s="254"/>
      <c r="E35" s="254"/>
      <c r="F35" s="254"/>
      <c r="G35" s="254" t="s">
        <v>110</v>
      </c>
      <c r="H35" s="254"/>
      <c r="I35" s="254"/>
      <c r="J35" s="255"/>
      <c r="L35" s="254"/>
      <c r="M35" s="254"/>
      <c r="N35" s="254"/>
      <c r="O35" s="254"/>
      <c r="P35" s="254"/>
      <c r="Q35" s="251" t="s">
        <v>110</v>
      </c>
      <c r="R35" s="122"/>
      <c r="S35" s="260">
        <v>0.07</v>
      </c>
      <c r="T35" s="257"/>
      <c r="U35" s="259">
        <f t="shared" si="2"/>
        <v>20</v>
      </c>
      <c r="V35" s="257" t="s">
        <v>388</v>
      </c>
    </row>
    <row r="36">
      <c r="A36" s="122"/>
      <c r="B36" s="247">
        <f t="shared" si="1"/>
        <v>46123</v>
      </c>
      <c r="C36" s="249"/>
      <c r="D36" s="249"/>
      <c r="E36" s="249"/>
      <c r="F36" s="249"/>
      <c r="G36" s="249" t="s">
        <v>110</v>
      </c>
      <c r="H36" s="249"/>
      <c r="I36" s="249"/>
      <c r="J36" s="256"/>
      <c r="L36" s="249"/>
      <c r="M36" s="249"/>
      <c r="N36" s="249"/>
      <c r="O36" s="249"/>
      <c r="P36" s="249"/>
      <c r="Q36" s="251" t="s">
        <v>110</v>
      </c>
      <c r="R36" s="122"/>
      <c r="S36" s="260">
        <v>0.08</v>
      </c>
      <c r="T36" s="258" t="s">
        <v>389</v>
      </c>
      <c r="U36" s="259">
        <f t="shared" si="2"/>
        <v>21</v>
      </c>
      <c r="V36" s="238" t="s">
        <v>390</v>
      </c>
    </row>
    <row r="37">
      <c r="A37" s="122"/>
      <c r="B37" s="252">
        <f t="shared" si="1"/>
        <v>46124</v>
      </c>
      <c r="C37" s="254"/>
      <c r="D37" s="254"/>
      <c r="E37" s="254"/>
      <c r="F37" s="254"/>
      <c r="G37" s="254" t="s">
        <v>110</v>
      </c>
      <c r="H37" s="254"/>
      <c r="I37" s="254"/>
      <c r="J37" s="255"/>
      <c r="L37" s="254"/>
      <c r="M37" s="254"/>
      <c r="N37" s="254"/>
      <c r="O37" s="254"/>
      <c r="P37" s="254"/>
      <c r="Q37" s="251" t="s">
        <v>110</v>
      </c>
      <c r="R37" s="122"/>
      <c r="S37" s="260">
        <v>0.09</v>
      </c>
      <c r="T37" s="259" t="s">
        <v>192</v>
      </c>
      <c r="U37" s="259">
        <f t="shared" si="2"/>
        <v>22</v>
      </c>
      <c r="V37" s="238" t="s">
        <v>391</v>
      </c>
    </row>
    <row r="38">
      <c r="A38" s="122"/>
      <c r="B38" s="247">
        <f t="shared" si="1"/>
        <v>46125</v>
      </c>
      <c r="C38" s="249"/>
      <c r="D38" s="249"/>
      <c r="E38" s="249"/>
      <c r="F38" s="249"/>
      <c r="G38" s="249" t="s">
        <v>110</v>
      </c>
      <c r="H38" s="249"/>
      <c r="I38" s="249"/>
      <c r="J38" s="256"/>
      <c r="L38" s="249"/>
      <c r="M38" s="249"/>
      <c r="N38" s="249"/>
      <c r="O38" s="249"/>
      <c r="P38" s="249"/>
      <c r="Q38" s="251" t="s">
        <v>110</v>
      </c>
      <c r="R38" s="122"/>
      <c r="S38" s="260">
        <v>0.1</v>
      </c>
      <c r="T38" s="259" t="s">
        <v>392</v>
      </c>
      <c r="U38" s="259">
        <f t="shared" si="2"/>
        <v>23</v>
      </c>
      <c r="V38" s="238" t="s">
        <v>393</v>
      </c>
    </row>
    <row r="39">
      <c r="A39" s="122"/>
      <c r="B39" s="252">
        <f t="shared" si="1"/>
        <v>46126</v>
      </c>
      <c r="C39" s="254"/>
      <c r="D39" s="254"/>
      <c r="E39" s="254"/>
      <c r="F39" s="254"/>
      <c r="G39" s="254" t="s">
        <v>110</v>
      </c>
      <c r="H39" s="254"/>
      <c r="I39" s="254"/>
      <c r="J39" s="255"/>
      <c r="L39" s="254"/>
      <c r="M39" s="254"/>
      <c r="N39" s="254"/>
      <c r="O39" s="254"/>
      <c r="P39" s="254"/>
      <c r="Q39" s="251" t="s">
        <v>110</v>
      </c>
      <c r="R39" s="122"/>
      <c r="S39" s="260">
        <v>0.11</v>
      </c>
      <c r="T39" s="259" t="s">
        <v>394</v>
      </c>
      <c r="U39" s="259">
        <f t="shared" si="2"/>
        <v>24</v>
      </c>
      <c r="V39" s="238" t="s">
        <v>395</v>
      </c>
    </row>
    <row r="40">
      <c r="A40" s="122"/>
      <c r="B40" s="247">
        <f t="shared" si="1"/>
        <v>46127</v>
      </c>
      <c r="C40" s="249"/>
      <c r="D40" s="249"/>
      <c r="E40" s="249"/>
      <c r="F40" s="249"/>
      <c r="G40" s="249" t="s">
        <v>110</v>
      </c>
      <c r="H40" s="249"/>
      <c r="I40" s="249"/>
      <c r="J40" s="256"/>
      <c r="L40" s="249"/>
      <c r="M40" s="249"/>
      <c r="N40" s="249"/>
      <c r="O40" s="249"/>
      <c r="P40" s="249"/>
      <c r="Q40" s="251" t="s">
        <v>110</v>
      </c>
      <c r="R40" s="122"/>
      <c r="S40" s="260">
        <v>0.12</v>
      </c>
      <c r="T40" s="259" t="s">
        <v>396</v>
      </c>
      <c r="U40" s="259">
        <f t="shared" si="2"/>
        <v>25</v>
      </c>
      <c r="V40" s="238" t="s">
        <v>397</v>
      </c>
    </row>
    <row r="41">
      <c r="A41" s="122"/>
      <c r="B41" s="252">
        <f t="shared" si="1"/>
        <v>46128</v>
      </c>
      <c r="C41" s="254"/>
      <c r="D41" s="254"/>
      <c r="E41" s="254"/>
      <c r="F41" s="254"/>
      <c r="G41" s="254" t="s">
        <v>110</v>
      </c>
      <c r="H41" s="254"/>
      <c r="I41" s="254"/>
      <c r="J41" s="255"/>
      <c r="L41" s="254"/>
      <c r="M41" s="254"/>
      <c r="N41" s="254"/>
      <c r="O41" s="254"/>
      <c r="P41" s="254"/>
      <c r="Q41" s="251" t="s">
        <v>110</v>
      </c>
      <c r="R41" s="122"/>
      <c r="S41" s="260">
        <v>0.13</v>
      </c>
      <c r="T41" s="122"/>
      <c r="U41" s="259">
        <f t="shared" si="2"/>
        <v>26</v>
      </c>
      <c r="V41" s="238" t="s">
        <v>398</v>
      </c>
    </row>
    <row r="42">
      <c r="A42" s="122"/>
      <c r="B42" s="247">
        <f t="shared" si="1"/>
        <v>46129</v>
      </c>
      <c r="C42" s="249"/>
      <c r="D42" s="249"/>
      <c r="E42" s="249"/>
      <c r="F42" s="249"/>
      <c r="G42" s="249" t="s">
        <v>110</v>
      </c>
      <c r="H42" s="249"/>
      <c r="I42" s="249"/>
      <c r="J42" s="256"/>
      <c r="L42" s="249"/>
      <c r="M42" s="249"/>
      <c r="N42" s="249"/>
      <c r="O42" s="249"/>
      <c r="P42" s="249"/>
      <c r="Q42" s="251" t="s">
        <v>110</v>
      </c>
      <c r="R42" s="122"/>
      <c r="S42" s="260">
        <v>0.14</v>
      </c>
      <c r="T42" s="258" t="s">
        <v>399</v>
      </c>
      <c r="U42" s="259">
        <f t="shared" si="2"/>
        <v>27</v>
      </c>
      <c r="V42" s="238" t="s">
        <v>400</v>
      </c>
    </row>
    <row r="43">
      <c r="A43" s="122"/>
      <c r="B43" s="252">
        <f t="shared" si="1"/>
        <v>46130</v>
      </c>
      <c r="C43" s="254"/>
      <c r="D43" s="254"/>
      <c r="E43" s="254"/>
      <c r="F43" s="254"/>
      <c r="G43" s="254" t="s">
        <v>110</v>
      </c>
      <c r="H43" s="254"/>
      <c r="I43" s="254"/>
      <c r="J43" s="255"/>
      <c r="L43" s="254"/>
      <c r="M43" s="254"/>
      <c r="N43" s="254"/>
      <c r="O43" s="254"/>
      <c r="P43" s="254"/>
      <c r="Q43" s="251" t="s">
        <v>110</v>
      </c>
      <c r="R43" s="122"/>
      <c r="S43" s="260">
        <v>0.15</v>
      </c>
      <c r="T43" s="259" t="s">
        <v>192</v>
      </c>
      <c r="U43" s="259">
        <f t="shared" si="2"/>
        <v>28</v>
      </c>
      <c r="V43" s="238" t="s">
        <v>401</v>
      </c>
    </row>
    <row r="44">
      <c r="A44" s="122"/>
      <c r="B44" s="247">
        <f t="shared" si="1"/>
        <v>46131</v>
      </c>
      <c r="C44" s="249"/>
      <c r="D44" s="249"/>
      <c r="E44" s="249"/>
      <c r="F44" s="249"/>
      <c r="G44" s="249" t="s">
        <v>110</v>
      </c>
      <c r="H44" s="249"/>
      <c r="I44" s="249"/>
      <c r="J44" s="256"/>
      <c r="L44" s="249"/>
      <c r="M44" s="249"/>
      <c r="N44" s="249"/>
      <c r="O44" s="249"/>
      <c r="P44" s="249"/>
      <c r="Q44" s="251" t="s">
        <v>110</v>
      </c>
      <c r="R44" s="122"/>
      <c r="S44" s="260">
        <v>0.16</v>
      </c>
      <c r="T44" s="259" t="s">
        <v>402</v>
      </c>
      <c r="U44" s="259">
        <f t="shared" si="2"/>
        <v>29</v>
      </c>
      <c r="V44" s="238" t="s">
        <v>403</v>
      </c>
    </row>
    <row r="45">
      <c r="A45" s="122"/>
      <c r="B45" s="252">
        <f t="shared" si="1"/>
        <v>46132</v>
      </c>
      <c r="C45" s="254"/>
      <c r="D45" s="254"/>
      <c r="E45" s="254"/>
      <c r="F45" s="254"/>
      <c r="G45" s="254" t="s">
        <v>110</v>
      </c>
      <c r="H45" s="254"/>
      <c r="I45" s="254"/>
      <c r="J45" s="255"/>
      <c r="L45" s="254"/>
      <c r="M45" s="254"/>
      <c r="N45" s="254"/>
      <c r="O45" s="254"/>
      <c r="P45" s="254"/>
      <c r="Q45" s="251" t="s">
        <v>110</v>
      </c>
      <c r="R45" s="122"/>
      <c r="S45" s="260">
        <v>0.17</v>
      </c>
      <c r="T45" s="259" t="s">
        <v>179</v>
      </c>
      <c r="U45" s="259">
        <f t="shared" si="2"/>
        <v>30</v>
      </c>
      <c r="V45" s="238" t="s">
        <v>404</v>
      </c>
    </row>
    <row r="46">
      <c r="A46" s="122"/>
      <c r="B46" s="247">
        <f t="shared" si="1"/>
        <v>46133</v>
      </c>
      <c r="C46" s="249"/>
      <c r="D46" s="249"/>
      <c r="E46" s="249"/>
      <c r="F46" s="249"/>
      <c r="G46" s="249" t="s">
        <v>110</v>
      </c>
      <c r="H46" s="249"/>
      <c r="I46" s="249"/>
      <c r="J46" s="256"/>
      <c r="L46" s="249"/>
      <c r="M46" s="249"/>
      <c r="N46" s="249"/>
      <c r="O46" s="249"/>
      <c r="P46" s="249"/>
      <c r="Q46" s="251" t="s">
        <v>110</v>
      </c>
      <c r="R46" s="122"/>
      <c r="S46" s="260">
        <v>0.18</v>
      </c>
      <c r="T46" s="259" t="s">
        <v>405</v>
      </c>
      <c r="U46" s="259">
        <f t="shared" si="2"/>
        <v>31</v>
      </c>
      <c r="V46" s="238" t="s">
        <v>406</v>
      </c>
      <c r="W46" s="261"/>
    </row>
    <row r="47">
      <c r="A47" s="122"/>
      <c r="B47" s="252">
        <f t="shared" si="1"/>
        <v>46134</v>
      </c>
      <c r="C47" s="254"/>
      <c r="D47" s="254"/>
      <c r="E47" s="254"/>
      <c r="F47" s="254"/>
      <c r="G47" s="254" t="s">
        <v>110</v>
      </c>
      <c r="H47" s="254"/>
      <c r="I47" s="254"/>
      <c r="J47" s="255"/>
      <c r="L47" s="254"/>
      <c r="M47" s="254"/>
      <c r="N47" s="254"/>
      <c r="O47" s="254"/>
      <c r="P47" s="254"/>
      <c r="Q47" s="251" t="s">
        <v>110</v>
      </c>
      <c r="R47" s="122"/>
      <c r="S47" s="260">
        <v>0.19</v>
      </c>
      <c r="T47" s="259" t="s">
        <v>407</v>
      </c>
      <c r="U47" s="259">
        <f t="shared" si="2"/>
        <v>32</v>
      </c>
      <c r="V47" s="238" t="s">
        <v>408</v>
      </c>
      <c r="W47" s="122"/>
    </row>
    <row r="48">
      <c r="A48" s="122"/>
      <c r="B48" s="247">
        <f t="shared" si="1"/>
        <v>46135</v>
      </c>
      <c r="C48" s="249"/>
      <c r="D48" s="249"/>
      <c r="E48" s="249"/>
      <c r="F48" s="249"/>
      <c r="G48" s="249" t="s">
        <v>110</v>
      </c>
      <c r="H48" s="249"/>
      <c r="I48" s="249"/>
      <c r="J48" s="256"/>
      <c r="L48" s="249"/>
      <c r="M48" s="249"/>
      <c r="N48" s="249"/>
      <c r="O48" s="249"/>
      <c r="P48" s="249"/>
      <c r="Q48" s="251" t="s">
        <v>110</v>
      </c>
      <c r="R48" s="122"/>
      <c r="S48" s="260">
        <v>0.2</v>
      </c>
      <c r="T48" s="122"/>
      <c r="U48" s="259">
        <f t="shared" si="2"/>
        <v>33</v>
      </c>
      <c r="V48" s="238" t="s">
        <v>160</v>
      </c>
      <c r="W48" s="122"/>
    </row>
    <row r="49">
      <c r="A49" s="122"/>
      <c r="B49" s="252">
        <f t="shared" si="1"/>
        <v>46136</v>
      </c>
      <c r="C49" s="254"/>
      <c r="D49" s="254"/>
      <c r="E49" s="254"/>
      <c r="F49" s="254"/>
      <c r="G49" s="254" t="s">
        <v>110</v>
      </c>
      <c r="H49" s="254"/>
      <c r="I49" s="254"/>
      <c r="J49" s="255"/>
      <c r="L49" s="254"/>
      <c r="M49" s="254"/>
      <c r="N49" s="254"/>
      <c r="O49" s="254"/>
      <c r="P49" s="254"/>
      <c r="Q49" s="251" t="s">
        <v>110</v>
      </c>
      <c r="R49" s="122"/>
      <c r="S49" s="260">
        <v>0.21</v>
      </c>
      <c r="T49" s="262" t="str">
        <f t="array" ref="T49">if('Personal Info'!L36=T30,T31:T34,if('Personal Info'!L36=T36,T37:T40,""))</f>
        <v/>
      </c>
      <c r="U49" s="259">
        <f t="shared" si="2"/>
        <v>34</v>
      </c>
      <c r="V49" s="238" t="s">
        <v>409</v>
      </c>
      <c r="W49" s="122"/>
    </row>
    <row r="50">
      <c r="A50" s="122"/>
      <c r="B50" s="247">
        <f t="shared" si="1"/>
        <v>46137</v>
      </c>
      <c r="C50" s="249"/>
      <c r="D50" s="249"/>
      <c r="E50" s="249"/>
      <c r="F50" s="249"/>
      <c r="G50" s="249" t="s">
        <v>110</v>
      </c>
      <c r="H50" s="249"/>
      <c r="I50" s="249"/>
      <c r="J50" s="256"/>
      <c r="L50" s="249"/>
      <c r="M50" s="249"/>
      <c r="N50" s="249"/>
      <c r="O50" s="249"/>
      <c r="P50" s="249"/>
      <c r="Q50" s="251" t="s">
        <v>110</v>
      </c>
      <c r="R50" s="122"/>
      <c r="S50" s="260">
        <v>0.22</v>
      </c>
      <c r="T50" s="262"/>
      <c r="U50" s="259">
        <f t="shared" si="2"/>
        <v>35</v>
      </c>
      <c r="V50" s="238" t="s">
        <v>410</v>
      </c>
      <c r="W50" s="122"/>
    </row>
    <row r="51">
      <c r="A51" s="122"/>
      <c r="B51" s="252">
        <f t="shared" si="1"/>
        <v>46138</v>
      </c>
      <c r="C51" s="254"/>
      <c r="D51" s="254"/>
      <c r="E51" s="254"/>
      <c r="F51" s="254"/>
      <c r="G51" s="254" t="s">
        <v>110</v>
      </c>
      <c r="H51" s="254"/>
      <c r="I51" s="254"/>
      <c r="J51" s="255"/>
      <c r="L51" s="254"/>
      <c r="M51" s="254"/>
      <c r="N51" s="254"/>
      <c r="O51" s="254"/>
      <c r="P51" s="254"/>
      <c r="Q51" s="251" t="s">
        <v>110</v>
      </c>
      <c r="R51" s="122"/>
      <c r="S51" s="260">
        <v>0.23</v>
      </c>
      <c r="T51" s="262"/>
      <c r="U51" s="259">
        <f t="shared" si="2"/>
        <v>36</v>
      </c>
      <c r="V51" s="238" t="s">
        <v>411</v>
      </c>
      <c r="W51" s="122"/>
    </row>
    <row r="52">
      <c r="A52" s="122"/>
      <c r="B52" s="247">
        <f t="shared" si="1"/>
        <v>46139</v>
      </c>
      <c r="C52" s="249"/>
      <c r="D52" s="249"/>
      <c r="E52" s="249"/>
      <c r="F52" s="249"/>
      <c r="G52" s="249" t="s">
        <v>110</v>
      </c>
      <c r="H52" s="249"/>
      <c r="I52" s="249"/>
      <c r="J52" s="256"/>
      <c r="L52" s="249"/>
      <c r="M52" s="249"/>
      <c r="N52" s="249"/>
      <c r="O52" s="249"/>
      <c r="P52" s="249"/>
      <c r="Q52" s="251" t="s">
        <v>110</v>
      </c>
      <c r="R52" s="122"/>
      <c r="S52" s="260">
        <v>0.24</v>
      </c>
      <c r="T52" s="262"/>
      <c r="U52" s="259">
        <f t="shared" si="2"/>
        <v>37</v>
      </c>
      <c r="V52" s="238" t="s">
        <v>412</v>
      </c>
      <c r="W52" s="122"/>
    </row>
    <row r="53">
      <c r="A53" s="122"/>
      <c r="B53" s="252">
        <f t="shared" si="1"/>
        <v>46140</v>
      </c>
      <c r="C53" s="254"/>
      <c r="D53" s="254"/>
      <c r="E53" s="254"/>
      <c r="F53" s="254"/>
      <c r="G53" s="254" t="s">
        <v>110</v>
      </c>
      <c r="H53" s="254"/>
      <c r="I53" s="254"/>
      <c r="J53" s="255"/>
      <c r="L53" s="254"/>
      <c r="M53" s="254"/>
      <c r="N53" s="254"/>
      <c r="O53" s="254"/>
      <c r="P53" s="254"/>
      <c r="Q53" s="251" t="s">
        <v>110</v>
      </c>
      <c r="R53" s="122"/>
      <c r="S53" s="260">
        <v>0.25</v>
      </c>
      <c r="T53" s="262"/>
      <c r="U53" s="259">
        <f t="shared" si="2"/>
        <v>38</v>
      </c>
      <c r="V53" s="238" t="s">
        <v>413</v>
      </c>
      <c r="W53" s="122"/>
    </row>
    <row r="54">
      <c r="A54" s="122"/>
      <c r="B54" s="247">
        <f t="shared" si="1"/>
        <v>46141</v>
      </c>
      <c r="C54" s="249"/>
      <c r="D54" s="249"/>
      <c r="E54" s="249"/>
      <c r="F54" s="249"/>
      <c r="G54" s="249" t="s">
        <v>110</v>
      </c>
      <c r="H54" s="249"/>
      <c r="I54" s="249"/>
      <c r="J54" s="256"/>
      <c r="L54" s="249"/>
      <c r="M54" s="249"/>
      <c r="N54" s="249"/>
      <c r="O54" s="249"/>
      <c r="P54" s="249"/>
      <c r="Q54" s="251" t="s">
        <v>110</v>
      </c>
      <c r="R54" s="122"/>
      <c r="S54" s="260">
        <v>0.26</v>
      </c>
      <c r="T54" s="262"/>
      <c r="U54" s="259">
        <f t="shared" si="2"/>
        <v>39</v>
      </c>
      <c r="V54" s="238" t="s">
        <v>414</v>
      </c>
      <c r="W54" s="122"/>
    </row>
    <row r="55">
      <c r="A55" s="122"/>
      <c r="B55" s="252">
        <f t="shared" si="1"/>
        <v>46142</v>
      </c>
      <c r="C55" s="254"/>
      <c r="D55" s="254"/>
      <c r="E55" s="254"/>
      <c r="F55" s="254"/>
      <c r="G55" s="254" t="s">
        <v>110</v>
      </c>
      <c r="H55" s="254"/>
      <c r="I55" s="254"/>
      <c r="J55" s="255"/>
      <c r="L55" s="254"/>
      <c r="M55" s="254"/>
      <c r="N55" s="254"/>
      <c r="O55" s="254"/>
      <c r="P55" s="254"/>
      <c r="Q55" s="251" t="s">
        <v>110</v>
      </c>
      <c r="R55" s="122"/>
      <c r="S55" s="260">
        <v>0.27</v>
      </c>
      <c r="T55" s="122"/>
      <c r="U55" s="259">
        <f t="shared" si="2"/>
        <v>40</v>
      </c>
      <c r="V55" s="238" t="s">
        <v>415</v>
      </c>
      <c r="W55" s="122"/>
    </row>
    <row r="56">
      <c r="A56" s="122"/>
      <c r="B56" s="247">
        <f t="shared" si="1"/>
        <v>46143</v>
      </c>
      <c r="C56" s="249"/>
      <c r="D56" s="249"/>
      <c r="E56" s="249"/>
      <c r="F56" s="249"/>
      <c r="G56" s="249" t="s">
        <v>110</v>
      </c>
      <c r="H56" s="249"/>
      <c r="I56" s="249"/>
      <c r="J56" s="256"/>
      <c r="L56" s="249"/>
      <c r="M56" s="249"/>
      <c r="N56" s="249"/>
      <c r="O56" s="249"/>
      <c r="P56" s="249"/>
      <c r="Q56" s="251" t="s">
        <v>110</v>
      </c>
      <c r="R56" s="122"/>
      <c r="S56" s="260">
        <v>0.28</v>
      </c>
      <c r="T56" s="122"/>
      <c r="U56" s="259">
        <f t="shared" si="2"/>
        <v>41</v>
      </c>
      <c r="V56" s="238" t="s">
        <v>416</v>
      </c>
      <c r="W56" s="122"/>
    </row>
    <row r="57">
      <c r="A57" s="122"/>
      <c r="B57" s="252">
        <f t="shared" si="1"/>
        <v>46144</v>
      </c>
      <c r="C57" s="254"/>
      <c r="D57" s="254"/>
      <c r="E57" s="254"/>
      <c r="F57" s="254"/>
      <c r="G57" s="254" t="s">
        <v>110</v>
      </c>
      <c r="H57" s="254"/>
      <c r="I57" s="254"/>
      <c r="J57" s="255"/>
      <c r="L57" s="254"/>
      <c r="M57" s="254"/>
      <c r="N57" s="254"/>
      <c r="O57" s="254"/>
      <c r="P57" s="254"/>
      <c r="Q57" s="251" t="s">
        <v>110</v>
      </c>
      <c r="R57" s="122"/>
      <c r="S57" s="260">
        <v>0.29</v>
      </c>
      <c r="T57" s="122"/>
      <c r="U57" s="259">
        <f t="shared" si="2"/>
        <v>42</v>
      </c>
      <c r="V57" s="238" t="s">
        <v>417</v>
      </c>
      <c r="W57" s="122"/>
    </row>
    <row r="58">
      <c r="A58" s="122"/>
      <c r="B58" s="247">
        <f t="shared" si="1"/>
        <v>46145</v>
      </c>
      <c r="C58" s="249"/>
      <c r="D58" s="249"/>
      <c r="E58" s="249"/>
      <c r="F58" s="249"/>
      <c r="G58" s="249" t="s">
        <v>110</v>
      </c>
      <c r="H58" s="249"/>
      <c r="I58" s="249"/>
      <c r="J58" s="256"/>
      <c r="L58" s="249"/>
      <c r="M58" s="249"/>
      <c r="N58" s="249"/>
      <c r="O58" s="249"/>
      <c r="P58" s="249"/>
      <c r="Q58" s="251" t="s">
        <v>110</v>
      </c>
      <c r="R58" s="122"/>
      <c r="S58" s="260">
        <v>0.3</v>
      </c>
      <c r="T58" s="122"/>
      <c r="U58" s="259">
        <f t="shared" si="2"/>
        <v>43</v>
      </c>
      <c r="V58" s="238" t="s">
        <v>418</v>
      </c>
      <c r="W58" s="122"/>
    </row>
    <row r="59">
      <c r="A59" s="122"/>
      <c r="B59" s="252">
        <f t="shared" si="1"/>
        <v>46146</v>
      </c>
      <c r="C59" s="254"/>
      <c r="D59" s="254"/>
      <c r="E59" s="254"/>
      <c r="F59" s="254"/>
      <c r="G59" s="254" t="s">
        <v>110</v>
      </c>
      <c r="H59" s="254"/>
      <c r="I59" s="254"/>
      <c r="J59" s="255"/>
      <c r="L59" s="254"/>
      <c r="M59" s="254"/>
      <c r="N59" s="254"/>
      <c r="O59" s="254"/>
      <c r="P59" s="254"/>
      <c r="Q59" s="251" t="s">
        <v>110</v>
      </c>
      <c r="R59" s="122"/>
      <c r="S59" s="260">
        <v>0.31</v>
      </c>
      <c r="T59" s="122"/>
      <c r="U59" s="259">
        <f t="shared" si="2"/>
        <v>44</v>
      </c>
      <c r="V59" s="238" t="s">
        <v>419</v>
      </c>
      <c r="W59" s="122"/>
    </row>
    <row r="60">
      <c r="A60" s="122"/>
      <c r="B60" s="247">
        <f t="shared" si="1"/>
        <v>46147</v>
      </c>
      <c r="C60" s="249"/>
      <c r="D60" s="249"/>
      <c r="E60" s="249"/>
      <c r="F60" s="249"/>
      <c r="G60" s="249" t="s">
        <v>110</v>
      </c>
      <c r="H60" s="249"/>
      <c r="I60" s="249"/>
      <c r="J60" s="256"/>
      <c r="L60" s="249"/>
      <c r="M60" s="249"/>
      <c r="N60" s="249"/>
      <c r="O60" s="249"/>
      <c r="P60" s="249"/>
      <c r="Q60" s="251" t="s">
        <v>110</v>
      </c>
      <c r="R60" s="122"/>
      <c r="S60" s="260">
        <v>0.32</v>
      </c>
      <c r="T60" s="122"/>
      <c r="U60" s="259">
        <f t="shared" si="2"/>
        <v>45</v>
      </c>
      <c r="V60" s="238" t="s">
        <v>420</v>
      </c>
      <c r="W60" s="122"/>
    </row>
    <row r="61">
      <c r="A61" s="122"/>
      <c r="B61" s="252">
        <f t="shared" si="1"/>
        <v>46148</v>
      </c>
      <c r="C61" s="254"/>
      <c r="D61" s="254"/>
      <c r="E61" s="254"/>
      <c r="F61" s="254"/>
      <c r="G61" s="254" t="s">
        <v>110</v>
      </c>
      <c r="H61" s="254"/>
      <c r="I61" s="254"/>
      <c r="J61" s="255"/>
      <c r="L61" s="254"/>
      <c r="M61" s="254"/>
      <c r="N61" s="254"/>
      <c r="O61" s="254"/>
      <c r="P61" s="254"/>
      <c r="Q61" s="251" t="s">
        <v>110</v>
      </c>
      <c r="R61" s="122"/>
      <c r="S61" s="260">
        <v>0.33</v>
      </c>
      <c r="T61" s="122"/>
      <c r="U61" s="259">
        <f t="shared" si="2"/>
        <v>46</v>
      </c>
      <c r="V61" s="238" t="s">
        <v>421</v>
      </c>
      <c r="W61" s="122"/>
    </row>
    <row r="62">
      <c r="A62" s="122"/>
      <c r="B62" s="247">
        <f t="shared" si="1"/>
        <v>46149</v>
      </c>
      <c r="C62" s="249"/>
      <c r="D62" s="249"/>
      <c r="E62" s="249"/>
      <c r="F62" s="249"/>
      <c r="G62" s="249" t="s">
        <v>110</v>
      </c>
      <c r="H62" s="249"/>
      <c r="I62" s="249"/>
      <c r="J62" s="256"/>
      <c r="L62" s="249"/>
      <c r="M62" s="249"/>
      <c r="N62" s="249"/>
      <c r="O62" s="249"/>
      <c r="P62" s="249"/>
      <c r="Q62" s="251" t="s">
        <v>110</v>
      </c>
      <c r="R62" s="122"/>
      <c r="S62" s="260">
        <v>0.34</v>
      </c>
      <c r="T62" s="122"/>
      <c r="U62" s="259">
        <f t="shared" si="2"/>
        <v>47</v>
      </c>
      <c r="V62" s="238" t="s">
        <v>422</v>
      </c>
      <c r="W62" s="122"/>
    </row>
    <row r="63">
      <c r="A63" s="122"/>
      <c r="B63" s="252">
        <f t="shared" si="1"/>
        <v>46150</v>
      </c>
      <c r="C63" s="254"/>
      <c r="D63" s="254"/>
      <c r="E63" s="254"/>
      <c r="F63" s="254"/>
      <c r="G63" s="254" t="s">
        <v>110</v>
      </c>
      <c r="H63" s="254"/>
      <c r="I63" s="254"/>
      <c r="J63" s="255"/>
      <c r="L63" s="254"/>
      <c r="M63" s="254"/>
      <c r="N63" s="254"/>
      <c r="O63" s="254"/>
      <c r="P63" s="254"/>
      <c r="Q63" s="251" t="s">
        <v>110</v>
      </c>
      <c r="R63" s="122"/>
      <c r="S63" s="260">
        <v>0.35</v>
      </c>
      <c r="T63" s="122"/>
      <c r="U63" s="259">
        <f t="shared" si="2"/>
        <v>48</v>
      </c>
      <c r="V63" s="238" t="s">
        <v>423</v>
      </c>
      <c r="W63" s="122"/>
    </row>
    <row r="64">
      <c r="A64" s="122"/>
      <c r="B64" s="247">
        <f t="shared" si="1"/>
        <v>46151</v>
      </c>
      <c r="C64" s="249"/>
      <c r="D64" s="249"/>
      <c r="E64" s="249"/>
      <c r="F64" s="249"/>
      <c r="G64" s="249" t="s">
        <v>110</v>
      </c>
      <c r="H64" s="249"/>
      <c r="I64" s="249"/>
      <c r="J64" s="256"/>
      <c r="L64" s="249"/>
      <c r="M64" s="249"/>
      <c r="N64" s="249"/>
      <c r="O64" s="249"/>
      <c r="P64" s="249"/>
      <c r="Q64" s="251" t="s">
        <v>110</v>
      </c>
      <c r="R64" s="122"/>
      <c r="S64" s="260">
        <v>0.36</v>
      </c>
      <c r="T64" s="122"/>
      <c r="U64" s="259">
        <f t="shared" si="2"/>
        <v>49</v>
      </c>
      <c r="V64" s="238" t="s">
        <v>424</v>
      </c>
      <c r="W64" s="122"/>
    </row>
    <row r="65">
      <c r="A65" s="122"/>
      <c r="B65" s="252">
        <f t="shared" si="1"/>
        <v>46152</v>
      </c>
      <c r="C65" s="254"/>
      <c r="D65" s="254"/>
      <c r="E65" s="254"/>
      <c r="F65" s="254"/>
      <c r="G65" s="254" t="s">
        <v>110</v>
      </c>
      <c r="H65" s="254"/>
      <c r="I65" s="254"/>
      <c r="J65" s="255"/>
      <c r="L65" s="254"/>
      <c r="M65" s="254"/>
      <c r="N65" s="254"/>
      <c r="O65" s="254"/>
      <c r="P65" s="254"/>
      <c r="Q65" s="251" t="s">
        <v>110</v>
      </c>
      <c r="R65" s="122"/>
      <c r="S65" s="260">
        <v>0.37</v>
      </c>
      <c r="T65" s="122"/>
      <c r="U65" s="259">
        <f t="shared" si="2"/>
        <v>50</v>
      </c>
      <c r="V65" s="238" t="s">
        <v>425</v>
      </c>
      <c r="W65" s="122"/>
    </row>
    <row r="66">
      <c r="A66" s="122"/>
      <c r="B66" s="247">
        <f t="shared" si="1"/>
        <v>46153</v>
      </c>
      <c r="C66" s="249"/>
      <c r="D66" s="249"/>
      <c r="E66" s="249"/>
      <c r="F66" s="249"/>
      <c r="G66" s="249" t="s">
        <v>110</v>
      </c>
      <c r="H66" s="249"/>
      <c r="I66" s="249"/>
      <c r="J66" s="256"/>
      <c r="L66" s="249"/>
      <c r="M66" s="249"/>
      <c r="N66" s="249"/>
      <c r="O66" s="249"/>
      <c r="P66" s="249"/>
      <c r="Q66" s="251" t="s">
        <v>110</v>
      </c>
      <c r="R66" s="122"/>
      <c r="S66" s="260">
        <v>0.38</v>
      </c>
      <c r="T66" s="122"/>
      <c r="U66" s="259">
        <f t="shared" si="2"/>
        <v>51</v>
      </c>
      <c r="V66" s="238" t="s">
        <v>426</v>
      </c>
      <c r="W66" s="122"/>
    </row>
    <row r="67">
      <c r="A67" s="122"/>
      <c r="B67" s="252">
        <f t="shared" si="1"/>
        <v>46154</v>
      </c>
      <c r="C67" s="254"/>
      <c r="D67" s="254"/>
      <c r="E67" s="254"/>
      <c r="F67" s="254"/>
      <c r="G67" s="254" t="s">
        <v>110</v>
      </c>
      <c r="H67" s="254"/>
      <c r="I67" s="254"/>
      <c r="J67" s="255"/>
      <c r="L67" s="254"/>
      <c r="M67" s="254"/>
      <c r="N67" s="254"/>
      <c r="O67" s="254"/>
      <c r="P67" s="254"/>
      <c r="Q67" s="251" t="s">
        <v>110</v>
      </c>
      <c r="R67" s="122"/>
      <c r="S67" s="260">
        <v>0.39</v>
      </c>
      <c r="T67" s="122"/>
      <c r="U67" s="259">
        <f t="shared" si="2"/>
        <v>52</v>
      </c>
      <c r="V67" s="237"/>
      <c r="W67" s="122"/>
    </row>
    <row r="68">
      <c r="A68" s="122"/>
      <c r="B68" s="247">
        <f t="shared" si="1"/>
        <v>46155</v>
      </c>
      <c r="C68" s="249"/>
      <c r="D68" s="249"/>
      <c r="E68" s="249"/>
      <c r="F68" s="249"/>
      <c r="G68" s="249" t="s">
        <v>110</v>
      </c>
      <c r="H68" s="249"/>
      <c r="I68" s="249"/>
      <c r="J68" s="256"/>
      <c r="L68" s="249"/>
      <c r="M68" s="249"/>
      <c r="N68" s="249"/>
      <c r="O68" s="249"/>
      <c r="P68" s="249"/>
      <c r="Q68" s="251" t="s">
        <v>110</v>
      </c>
      <c r="R68" s="122"/>
      <c r="S68" s="260">
        <v>0.4</v>
      </c>
      <c r="T68" s="122"/>
      <c r="U68" s="259">
        <f t="shared" si="2"/>
        <v>53</v>
      </c>
      <c r="V68" s="237"/>
      <c r="W68" s="122"/>
    </row>
    <row r="69">
      <c r="A69" s="122"/>
      <c r="B69" s="252">
        <f t="shared" si="1"/>
        <v>46156</v>
      </c>
      <c r="C69" s="254"/>
      <c r="D69" s="254"/>
      <c r="E69" s="254"/>
      <c r="F69" s="254"/>
      <c r="G69" s="254" t="s">
        <v>110</v>
      </c>
      <c r="H69" s="254"/>
      <c r="I69" s="254"/>
      <c r="J69" s="255"/>
      <c r="L69" s="254"/>
      <c r="M69" s="254"/>
      <c r="N69" s="254"/>
      <c r="O69" s="254"/>
      <c r="P69" s="254"/>
      <c r="Q69" s="251" t="s">
        <v>110</v>
      </c>
      <c r="R69" s="122"/>
      <c r="S69" s="260">
        <v>0.41</v>
      </c>
      <c r="T69" s="122"/>
      <c r="U69" s="259">
        <f t="shared" si="2"/>
        <v>54</v>
      </c>
      <c r="V69" s="237"/>
      <c r="W69" s="122"/>
    </row>
    <row r="70">
      <c r="A70" s="122"/>
      <c r="B70" s="247">
        <f t="shared" si="1"/>
        <v>46157</v>
      </c>
      <c r="C70" s="249"/>
      <c r="D70" s="249"/>
      <c r="E70" s="249"/>
      <c r="F70" s="249"/>
      <c r="G70" s="249" t="s">
        <v>110</v>
      </c>
      <c r="H70" s="249"/>
      <c r="I70" s="249"/>
      <c r="J70" s="256"/>
      <c r="L70" s="249"/>
      <c r="M70" s="249"/>
      <c r="N70" s="249"/>
      <c r="O70" s="249"/>
      <c r="P70" s="249"/>
      <c r="Q70" s="251" t="s">
        <v>110</v>
      </c>
      <c r="R70" s="122"/>
      <c r="S70" s="260">
        <v>0.42</v>
      </c>
      <c r="T70" s="122"/>
      <c r="U70" s="259">
        <f t="shared" si="2"/>
        <v>55</v>
      </c>
      <c r="V70" s="237"/>
      <c r="W70" s="122"/>
    </row>
    <row r="71">
      <c r="A71" s="122"/>
      <c r="B71" s="252">
        <f t="shared" si="1"/>
        <v>46158</v>
      </c>
      <c r="C71" s="254"/>
      <c r="D71" s="254"/>
      <c r="E71" s="254"/>
      <c r="F71" s="254"/>
      <c r="G71" s="254" t="s">
        <v>110</v>
      </c>
      <c r="H71" s="254"/>
      <c r="I71" s="254"/>
      <c r="J71" s="255"/>
      <c r="L71" s="254"/>
      <c r="M71" s="254"/>
      <c r="N71" s="254"/>
      <c r="O71" s="254"/>
      <c r="P71" s="254"/>
      <c r="Q71" s="251" t="s">
        <v>110</v>
      </c>
      <c r="R71" s="122"/>
      <c r="S71" s="260">
        <v>0.43</v>
      </c>
      <c r="T71" s="122"/>
      <c r="U71" s="259">
        <f t="shared" si="2"/>
        <v>56</v>
      </c>
      <c r="V71" s="237"/>
      <c r="W71" s="122"/>
    </row>
    <row r="72">
      <c r="A72" s="122"/>
      <c r="B72" s="247">
        <f t="shared" si="1"/>
        <v>46159</v>
      </c>
      <c r="C72" s="249"/>
      <c r="D72" s="249"/>
      <c r="E72" s="249"/>
      <c r="F72" s="249"/>
      <c r="G72" s="249" t="s">
        <v>110</v>
      </c>
      <c r="H72" s="249"/>
      <c r="I72" s="249"/>
      <c r="J72" s="256"/>
      <c r="L72" s="249"/>
      <c r="M72" s="249"/>
      <c r="N72" s="249"/>
      <c r="O72" s="249"/>
      <c r="P72" s="249"/>
      <c r="Q72" s="251" t="s">
        <v>110</v>
      </c>
      <c r="R72" s="122"/>
      <c r="S72" s="260">
        <v>0.44</v>
      </c>
      <c r="T72" s="122"/>
      <c r="U72" s="259">
        <f t="shared" si="2"/>
        <v>57</v>
      </c>
      <c r="V72" s="237"/>
      <c r="W72" s="122"/>
    </row>
    <row r="73">
      <c r="A73" s="122"/>
      <c r="B73" s="252">
        <f t="shared" si="1"/>
        <v>46160</v>
      </c>
      <c r="C73" s="254"/>
      <c r="D73" s="254"/>
      <c r="E73" s="254"/>
      <c r="F73" s="254"/>
      <c r="G73" s="254" t="s">
        <v>110</v>
      </c>
      <c r="H73" s="254"/>
      <c r="I73" s="254"/>
      <c r="J73" s="255"/>
      <c r="L73" s="254"/>
      <c r="M73" s="254"/>
      <c r="N73" s="254"/>
      <c r="O73" s="254"/>
      <c r="P73" s="254"/>
      <c r="Q73" s="251" t="s">
        <v>110</v>
      </c>
      <c r="R73" s="122"/>
      <c r="S73" s="260">
        <v>0.45</v>
      </c>
      <c r="T73" s="122"/>
      <c r="U73" s="259">
        <f t="shared" si="2"/>
        <v>58</v>
      </c>
      <c r="V73" s="237"/>
      <c r="W73" s="122"/>
    </row>
    <row r="74">
      <c r="A74" s="122"/>
      <c r="B74" s="247">
        <f t="shared" si="1"/>
        <v>46161</v>
      </c>
      <c r="C74" s="249"/>
      <c r="D74" s="249"/>
      <c r="E74" s="249"/>
      <c r="F74" s="249"/>
      <c r="G74" s="249" t="s">
        <v>110</v>
      </c>
      <c r="H74" s="249"/>
      <c r="I74" s="249"/>
      <c r="J74" s="256"/>
      <c r="L74" s="249"/>
      <c r="M74" s="249"/>
      <c r="N74" s="249"/>
      <c r="O74" s="249"/>
      <c r="P74" s="249"/>
      <c r="Q74" s="251" t="s">
        <v>110</v>
      </c>
      <c r="R74" s="122"/>
      <c r="S74" s="260">
        <v>0.46</v>
      </c>
      <c r="T74" s="122"/>
      <c r="U74" s="259">
        <f t="shared" si="2"/>
        <v>59</v>
      </c>
      <c r="V74" s="237"/>
      <c r="W74" s="122"/>
    </row>
    <row r="75">
      <c r="A75" s="122"/>
      <c r="B75" s="252">
        <f t="shared" si="1"/>
        <v>46162</v>
      </c>
      <c r="C75" s="254"/>
      <c r="D75" s="254"/>
      <c r="E75" s="254"/>
      <c r="F75" s="254"/>
      <c r="G75" s="254" t="s">
        <v>110</v>
      </c>
      <c r="H75" s="254"/>
      <c r="I75" s="254"/>
      <c r="J75" s="255"/>
      <c r="L75" s="254"/>
      <c r="M75" s="254"/>
      <c r="N75" s="254"/>
      <c r="O75" s="254"/>
      <c r="P75" s="254"/>
      <c r="Q75" s="251" t="s">
        <v>110</v>
      </c>
      <c r="R75" s="122"/>
      <c r="S75" s="260">
        <v>0.47</v>
      </c>
      <c r="T75" s="122"/>
      <c r="U75" s="259">
        <f t="shared" si="2"/>
        <v>60</v>
      </c>
      <c r="V75" s="237"/>
      <c r="W75" s="122"/>
    </row>
    <row r="76">
      <c r="A76" s="122"/>
      <c r="B76" s="247">
        <f t="shared" si="1"/>
        <v>46163</v>
      </c>
      <c r="C76" s="249"/>
      <c r="D76" s="249"/>
      <c r="E76" s="249"/>
      <c r="F76" s="249"/>
      <c r="G76" s="249" t="s">
        <v>110</v>
      </c>
      <c r="H76" s="249"/>
      <c r="I76" s="249"/>
      <c r="J76" s="256"/>
      <c r="L76" s="249"/>
      <c r="M76" s="249"/>
      <c r="N76" s="249"/>
      <c r="O76" s="249"/>
      <c r="P76" s="249"/>
      <c r="Q76" s="251" t="s">
        <v>110</v>
      </c>
      <c r="R76" s="122"/>
      <c r="S76" s="260">
        <v>0.48</v>
      </c>
      <c r="T76" s="122"/>
      <c r="U76" s="259">
        <f t="shared" si="2"/>
        <v>61</v>
      </c>
      <c r="V76" s="237"/>
      <c r="W76" s="122"/>
    </row>
    <row r="77">
      <c r="A77" s="122"/>
      <c r="B77" s="252">
        <f t="shared" si="1"/>
        <v>46164</v>
      </c>
      <c r="C77" s="254"/>
      <c r="D77" s="254"/>
      <c r="E77" s="254"/>
      <c r="F77" s="254"/>
      <c r="G77" s="254" t="s">
        <v>110</v>
      </c>
      <c r="H77" s="254"/>
      <c r="I77" s="254"/>
      <c r="J77" s="255"/>
      <c r="L77" s="254"/>
      <c r="M77" s="254"/>
      <c r="N77" s="254"/>
      <c r="O77" s="254"/>
      <c r="P77" s="254"/>
      <c r="Q77" s="251" t="s">
        <v>110</v>
      </c>
      <c r="R77" s="122"/>
      <c r="S77" s="260">
        <v>0.49</v>
      </c>
      <c r="T77" s="122"/>
      <c r="U77" s="259">
        <f t="shared" si="2"/>
        <v>62</v>
      </c>
      <c r="V77" s="237"/>
      <c r="W77" s="122"/>
    </row>
    <row r="78">
      <c r="A78" s="122"/>
      <c r="B78" s="247">
        <f t="shared" si="1"/>
        <v>46165</v>
      </c>
      <c r="C78" s="249"/>
      <c r="D78" s="249"/>
      <c r="E78" s="249"/>
      <c r="F78" s="249"/>
      <c r="G78" s="249" t="s">
        <v>110</v>
      </c>
      <c r="H78" s="249"/>
      <c r="I78" s="249"/>
      <c r="J78" s="256"/>
      <c r="L78" s="249"/>
      <c r="M78" s="249"/>
      <c r="N78" s="249"/>
      <c r="O78" s="249"/>
      <c r="P78" s="249"/>
      <c r="Q78" s="251" t="s">
        <v>110</v>
      </c>
      <c r="R78" s="122"/>
      <c r="S78" s="260">
        <v>0.5</v>
      </c>
      <c r="T78" s="122"/>
      <c r="U78" s="259">
        <f t="shared" si="2"/>
        <v>63</v>
      </c>
      <c r="V78" s="237"/>
      <c r="W78" s="122"/>
    </row>
    <row r="79">
      <c r="A79" s="122"/>
      <c r="B79" s="252">
        <f t="shared" si="1"/>
        <v>46166</v>
      </c>
      <c r="C79" s="254"/>
      <c r="D79" s="254"/>
      <c r="E79" s="254"/>
      <c r="F79" s="254"/>
      <c r="G79" s="254" t="s">
        <v>110</v>
      </c>
      <c r="H79" s="254"/>
      <c r="I79" s="254"/>
      <c r="J79" s="255"/>
      <c r="L79" s="254"/>
      <c r="M79" s="254"/>
      <c r="N79" s="254"/>
      <c r="O79" s="254"/>
      <c r="P79" s="254"/>
      <c r="Q79" s="251" t="s">
        <v>110</v>
      </c>
      <c r="R79" s="122"/>
      <c r="S79" s="122"/>
      <c r="T79" s="122"/>
      <c r="U79" s="259">
        <f t="shared" si="2"/>
        <v>64</v>
      </c>
      <c r="V79" s="237"/>
      <c r="W79" s="122"/>
    </row>
    <row r="80">
      <c r="A80" s="122"/>
      <c r="B80" s="247">
        <f t="shared" si="1"/>
        <v>46167</v>
      </c>
      <c r="C80" s="249"/>
      <c r="D80" s="249"/>
      <c r="E80" s="249"/>
      <c r="F80" s="249"/>
      <c r="G80" s="249" t="s">
        <v>110</v>
      </c>
      <c r="H80" s="249"/>
      <c r="I80" s="249"/>
      <c r="J80" s="256"/>
      <c r="L80" s="249"/>
      <c r="M80" s="249"/>
      <c r="N80" s="249"/>
      <c r="O80" s="249"/>
      <c r="P80" s="249"/>
      <c r="Q80" s="251" t="s">
        <v>110</v>
      </c>
      <c r="R80" s="122"/>
      <c r="S80" s="122"/>
      <c r="T80" s="122"/>
      <c r="U80" s="259">
        <f t="shared" si="2"/>
        <v>65</v>
      </c>
      <c r="V80" s="237"/>
      <c r="W80" s="122"/>
    </row>
    <row r="81">
      <c r="A81" s="122"/>
      <c r="B81" s="252">
        <f t="shared" si="1"/>
        <v>46168</v>
      </c>
      <c r="C81" s="254"/>
      <c r="D81" s="254"/>
      <c r="E81" s="254"/>
      <c r="F81" s="254"/>
      <c r="G81" s="254" t="s">
        <v>110</v>
      </c>
      <c r="H81" s="254"/>
      <c r="I81" s="254"/>
      <c r="J81" s="255"/>
      <c r="L81" s="254"/>
      <c r="M81" s="254"/>
      <c r="N81" s="254"/>
      <c r="O81" s="254"/>
      <c r="P81" s="254"/>
      <c r="Q81" s="251" t="s">
        <v>110</v>
      </c>
      <c r="R81" s="122"/>
      <c r="S81" s="122"/>
      <c r="T81" s="122"/>
      <c r="U81" s="259">
        <f t="shared" si="2"/>
        <v>66</v>
      </c>
      <c r="V81" s="237"/>
      <c r="W81" s="122"/>
    </row>
    <row r="82">
      <c r="A82" s="122"/>
      <c r="B82" s="247">
        <f t="shared" si="1"/>
        <v>46169</v>
      </c>
      <c r="C82" s="249"/>
      <c r="D82" s="249"/>
      <c r="E82" s="249"/>
      <c r="F82" s="249"/>
      <c r="G82" s="249" t="s">
        <v>110</v>
      </c>
      <c r="H82" s="249"/>
      <c r="I82" s="249"/>
      <c r="J82" s="256"/>
      <c r="L82" s="249"/>
      <c r="M82" s="249"/>
      <c r="N82" s="249"/>
      <c r="O82" s="249"/>
      <c r="P82" s="249"/>
      <c r="Q82" s="251" t="s">
        <v>110</v>
      </c>
      <c r="R82" s="122"/>
      <c r="S82" s="122"/>
      <c r="T82" s="122"/>
      <c r="U82" s="259">
        <f t="shared" si="2"/>
        <v>67</v>
      </c>
      <c r="V82" s="237"/>
      <c r="W82" s="122"/>
    </row>
    <row r="83">
      <c r="A83" s="122"/>
      <c r="B83" s="252">
        <f t="shared" si="1"/>
        <v>46170</v>
      </c>
      <c r="C83" s="254"/>
      <c r="D83" s="254"/>
      <c r="E83" s="254"/>
      <c r="F83" s="254"/>
      <c r="G83" s="254" t="s">
        <v>110</v>
      </c>
      <c r="H83" s="254"/>
      <c r="I83" s="254"/>
      <c r="J83" s="255"/>
      <c r="L83" s="254"/>
      <c r="M83" s="254"/>
      <c r="N83" s="254"/>
      <c r="O83" s="254"/>
      <c r="P83" s="254"/>
      <c r="Q83" s="251" t="s">
        <v>110</v>
      </c>
      <c r="R83" s="122"/>
      <c r="S83" s="122"/>
      <c r="T83" s="122"/>
      <c r="U83" s="259">
        <f t="shared" si="2"/>
        <v>68</v>
      </c>
      <c r="V83" s="237"/>
      <c r="W83" s="122"/>
    </row>
    <row r="84">
      <c r="A84" s="122"/>
      <c r="B84" s="247">
        <f t="shared" si="1"/>
        <v>46171</v>
      </c>
      <c r="C84" s="249"/>
      <c r="D84" s="249"/>
      <c r="E84" s="249"/>
      <c r="F84" s="249"/>
      <c r="G84" s="249" t="s">
        <v>110</v>
      </c>
      <c r="H84" s="249"/>
      <c r="I84" s="249"/>
      <c r="J84" s="256"/>
      <c r="L84" s="249"/>
      <c r="M84" s="249"/>
      <c r="N84" s="249"/>
      <c r="O84" s="249"/>
      <c r="P84" s="249"/>
      <c r="Q84" s="251" t="s">
        <v>110</v>
      </c>
      <c r="R84" s="122"/>
      <c r="S84" s="122"/>
      <c r="T84" s="122"/>
      <c r="U84" s="259">
        <f t="shared" si="2"/>
        <v>69</v>
      </c>
      <c r="V84" s="237"/>
      <c r="W84" s="122"/>
    </row>
    <row r="85">
      <c r="A85" s="122"/>
      <c r="B85" s="252">
        <f t="shared" si="1"/>
        <v>46172</v>
      </c>
      <c r="C85" s="254"/>
      <c r="D85" s="254"/>
      <c r="E85" s="254"/>
      <c r="F85" s="254"/>
      <c r="G85" s="254" t="s">
        <v>110</v>
      </c>
      <c r="H85" s="254"/>
      <c r="I85" s="254"/>
      <c r="J85" s="255"/>
      <c r="L85" s="254"/>
      <c r="M85" s="254"/>
      <c r="N85" s="254"/>
      <c r="O85" s="254"/>
      <c r="P85" s="254"/>
      <c r="Q85" s="251" t="s">
        <v>110</v>
      </c>
      <c r="R85" s="122"/>
      <c r="S85" s="122"/>
      <c r="T85" s="122"/>
      <c r="U85" s="259">
        <f t="shared" si="2"/>
        <v>70</v>
      </c>
      <c r="V85" s="237"/>
      <c r="W85" s="122"/>
    </row>
    <row r="86">
      <c r="A86" s="122"/>
      <c r="B86" s="247">
        <f t="shared" si="1"/>
        <v>46173</v>
      </c>
      <c r="C86" s="249"/>
      <c r="D86" s="249"/>
      <c r="E86" s="249"/>
      <c r="F86" s="249"/>
      <c r="G86" s="249" t="s">
        <v>110</v>
      </c>
      <c r="H86" s="249"/>
      <c r="I86" s="249"/>
      <c r="J86" s="256"/>
      <c r="L86" s="249"/>
      <c r="M86" s="249"/>
      <c r="N86" s="249"/>
      <c r="O86" s="249"/>
      <c r="P86" s="249"/>
      <c r="Q86" s="251" t="s">
        <v>110</v>
      </c>
      <c r="R86" s="122"/>
      <c r="S86" s="122"/>
      <c r="T86" s="122"/>
      <c r="U86" s="259">
        <f t="shared" si="2"/>
        <v>71</v>
      </c>
      <c r="V86" s="237"/>
      <c r="W86" s="122"/>
    </row>
    <row r="87">
      <c r="A87" s="122"/>
      <c r="B87" s="252">
        <f t="shared" si="1"/>
        <v>46174</v>
      </c>
      <c r="C87" s="254"/>
      <c r="D87" s="254"/>
      <c r="E87" s="254"/>
      <c r="F87" s="254"/>
      <c r="G87" s="254" t="s">
        <v>110</v>
      </c>
      <c r="H87" s="254"/>
      <c r="I87" s="254"/>
      <c r="J87" s="255"/>
      <c r="L87" s="254"/>
      <c r="M87" s="254"/>
      <c r="N87" s="254"/>
      <c r="O87" s="254"/>
      <c r="P87" s="254"/>
      <c r="Q87" s="251" t="s">
        <v>110</v>
      </c>
      <c r="R87" s="122"/>
      <c r="S87" s="122"/>
      <c r="T87" s="122"/>
      <c r="U87" s="259">
        <f t="shared" si="2"/>
        <v>72</v>
      </c>
      <c r="V87" s="237"/>
      <c r="W87" s="122"/>
    </row>
    <row r="88">
      <c r="A88" s="122"/>
      <c r="B88" s="247">
        <f t="shared" si="1"/>
        <v>46175</v>
      </c>
      <c r="C88" s="249"/>
      <c r="D88" s="249"/>
      <c r="E88" s="249"/>
      <c r="F88" s="249"/>
      <c r="G88" s="249" t="s">
        <v>110</v>
      </c>
      <c r="H88" s="249"/>
      <c r="I88" s="249"/>
      <c r="J88" s="256"/>
      <c r="L88" s="249"/>
      <c r="M88" s="249"/>
      <c r="N88" s="249"/>
      <c r="O88" s="249"/>
      <c r="P88" s="249"/>
      <c r="Q88" s="251" t="s">
        <v>110</v>
      </c>
      <c r="R88" s="122"/>
      <c r="S88" s="122"/>
      <c r="T88" s="122"/>
      <c r="U88" s="259">
        <f t="shared" si="2"/>
        <v>73</v>
      </c>
      <c r="V88" s="237"/>
      <c r="W88" s="122"/>
    </row>
    <row r="89">
      <c r="A89" s="122"/>
      <c r="B89" s="252">
        <f t="shared" si="1"/>
        <v>46176</v>
      </c>
      <c r="C89" s="254"/>
      <c r="D89" s="254"/>
      <c r="E89" s="254"/>
      <c r="F89" s="254"/>
      <c r="G89" s="254" t="s">
        <v>110</v>
      </c>
      <c r="H89" s="254"/>
      <c r="I89" s="254"/>
      <c r="J89" s="255"/>
      <c r="L89" s="254"/>
      <c r="M89" s="254"/>
      <c r="N89" s="254"/>
      <c r="O89" s="254"/>
      <c r="P89" s="254"/>
      <c r="Q89" s="251" t="s">
        <v>110</v>
      </c>
      <c r="R89" s="122"/>
      <c r="S89" s="122"/>
      <c r="T89" s="122"/>
      <c r="U89" s="259">
        <f t="shared" si="2"/>
        <v>74</v>
      </c>
      <c r="V89" s="122"/>
      <c r="W89" s="122"/>
    </row>
    <row r="90">
      <c r="A90" s="122"/>
      <c r="B90" s="247">
        <f t="shared" si="1"/>
        <v>46177</v>
      </c>
      <c r="C90" s="249"/>
      <c r="D90" s="249"/>
      <c r="E90" s="249"/>
      <c r="F90" s="249"/>
      <c r="G90" s="249" t="s">
        <v>110</v>
      </c>
      <c r="H90" s="249"/>
      <c r="I90" s="249"/>
      <c r="J90" s="256"/>
      <c r="L90" s="249"/>
      <c r="M90" s="249"/>
      <c r="N90" s="249"/>
      <c r="O90" s="249"/>
      <c r="P90" s="249"/>
      <c r="Q90" s="251" t="s">
        <v>110</v>
      </c>
      <c r="R90" s="122"/>
      <c r="S90" s="122"/>
      <c r="T90" s="122"/>
      <c r="U90" s="259">
        <f t="shared" si="2"/>
        <v>75</v>
      </c>
      <c r="V90" s="122"/>
      <c r="W90" s="122"/>
    </row>
    <row r="91">
      <c r="A91" s="122"/>
      <c r="B91" s="252">
        <f t="shared" si="1"/>
        <v>46178</v>
      </c>
      <c r="C91" s="254"/>
      <c r="D91" s="254"/>
      <c r="E91" s="254"/>
      <c r="F91" s="254"/>
      <c r="G91" s="254" t="s">
        <v>110</v>
      </c>
      <c r="H91" s="254"/>
      <c r="I91" s="254"/>
      <c r="J91" s="255"/>
      <c r="L91" s="254"/>
      <c r="M91" s="254"/>
      <c r="N91" s="254"/>
      <c r="O91" s="254"/>
      <c r="P91" s="254"/>
      <c r="Q91" s="251" t="s">
        <v>110</v>
      </c>
      <c r="R91" s="122"/>
      <c r="S91" s="122"/>
      <c r="T91" s="122"/>
      <c r="U91" s="259">
        <f t="shared" si="2"/>
        <v>76</v>
      </c>
      <c r="V91" s="122"/>
      <c r="W91" s="122"/>
    </row>
    <row r="92">
      <c r="A92" s="122"/>
      <c r="B92" s="247">
        <f t="shared" si="1"/>
        <v>46179</v>
      </c>
      <c r="C92" s="249"/>
      <c r="D92" s="249"/>
      <c r="E92" s="249"/>
      <c r="F92" s="249"/>
      <c r="G92" s="249" t="s">
        <v>110</v>
      </c>
      <c r="H92" s="249"/>
      <c r="I92" s="249"/>
      <c r="J92" s="256"/>
      <c r="L92" s="249"/>
      <c r="M92" s="249"/>
      <c r="N92" s="249"/>
      <c r="O92" s="249"/>
      <c r="P92" s="249"/>
      <c r="Q92" s="251" t="s">
        <v>110</v>
      </c>
      <c r="R92" s="122"/>
      <c r="S92" s="122"/>
      <c r="T92" s="122"/>
      <c r="U92" s="259">
        <f t="shared" si="2"/>
        <v>77</v>
      </c>
      <c r="V92" s="122"/>
      <c r="W92" s="122"/>
    </row>
    <row r="93">
      <c r="A93" s="122"/>
      <c r="B93" s="252">
        <f t="shared" si="1"/>
        <v>46180</v>
      </c>
      <c r="C93" s="254"/>
      <c r="D93" s="254"/>
      <c r="E93" s="254"/>
      <c r="F93" s="254"/>
      <c r="G93" s="254" t="s">
        <v>110</v>
      </c>
      <c r="H93" s="254"/>
      <c r="I93" s="254"/>
      <c r="J93" s="255"/>
      <c r="L93" s="254"/>
      <c r="M93" s="254"/>
      <c r="N93" s="254"/>
      <c r="O93" s="254"/>
      <c r="P93" s="254"/>
      <c r="Q93" s="251" t="s">
        <v>110</v>
      </c>
      <c r="R93" s="122"/>
      <c r="S93" s="122"/>
      <c r="T93" s="122"/>
      <c r="U93" s="259">
        <f t="shared" si="2"/>
        <v>78</v>
      </c>
      <c r="V93" s="122"/>
      <c r="W93" s="122"/>
    </row>
    <row r="94">
      <c r="A94" s="122"/>
      <c r="B94" s="247">
        <f t="shared" si="1"/>
        <v>46181</v>
      </c>
      <c r="C94" s="249"/>
      <c r="D94" s="249"/>
      <c r="E94" s="249"/>
      <c r="F94" s="249"/>
      <c r="G94" s="249" t="s">
        <v>110</v>
      </c>
      <c r="H94" s="249"/>
      <c r="I94" s="249"/>
      <c r="J94" s="256"/>
      <c r="L94" s="249"/>
      <c r="M94" s="249"/>
      <c r="N94" s="249"/>
      <c r="O94" s="249"/>
      <c r="P94" s="249"/>
      <c r="Q94" s="251" t="s">
        <v>110</v>
      </c>
      <c r="R94" s="122"/>
      <c r="S94" s="122"/>
      <c r="T94" s="122"/>
      <c r="U94" s="259">
        <f t="shared" si="2"/>
        <v>79</v>
      </c>
      <c r="V94" s="122"/>
      <c r="W94" s="122"/>
    </row>
    <row r="95">
      <c r="A95" s="122"/>
      <c r="B95" s="252">
        <f t="shared" si="1"/>
        <v>46182</v>
      </c>
      <c r="C95" s="254"/>
      <c r="D95" s="254"/>
      <c r="E95" s="254"/>
      <c r="F95" s="254"/>
      <c r="G95" s="254" t="s">
        <v>110</v>
      </c>
      <c r="H95" s="254"/>
      <c r="I95" s="254"/>
      <c r="J95" s="255"/>
      <c r="L95" s="254"/>
      <c r="M95" s="254"/>
      <c r="N95" s="254"/>
      <c r="O95" s="254"/>
      <c r="P95" s="254"/>
      <c r="Q95" s="251" t="s">
        <v>110</v>
      </c>
      <c r="R95" s="122"/>
      <c r="S95" s="122"/>
      <c r="T95" s="122"/>
      <c r="U95" s="259">
        <f t="shared" si="2"/>
        <v>80</v>
      </c>
      <c r="V95" s="122"/>
      <c r="W95" s="122"/>
    </row>
    <row r="96">
      <c r="A96" s="122"/>
      <c r="B96" s="247">
        <f t="shared" si="1"/>
        <v>46183</v>
      </c>
      <c r="C96" s="249"/>
      <c r="D96" s="249"/>
      <c r="E96" s="249"/>
      <c r="F96" s="249"/>
      <c r="G96" s="249" t="s">
        <v>110</v>
      </c>
      <c r="H96" s="249"/>
      <c r="I96" s="249"/>
      <c r="J96" s="256"/>
      <c r="L96" s="249"/>
      <c r="M96" s="249"/>
      <c r="N96" s="249"/>
      <c r="O96" s="249"/>
      <c r="P96" s="249"/>
      <c r="Q96" s="251" t="s">
        <v>110</v>
      </c>
      <c r="R96" s="122"/>
      <c r="S96" s="122"/>
      <c r="T96" s="122"/>
      <c r="U96" s="259">
        <f t="shared" si="2"/>
        <v>81</v>
      </c>
      <c r="V96" s="122"/>
      <c r="W96" s="122"/>
    </row>
    <row r="97">
      <c r="A97" s="122"/>
      <c r="B97" s="252">
        <f t="shared" si="1"/>
        <v>46184</v>
      </c>
      <c r="C97" s="254"/>
      <c r="D97" s="254"/>
      <c r="E97" s="254"/>
      <c r="F97" s="254"/>
      <c r="G97" s="254" t="s">
        <v>110</v>
      </c>
      <c r="H97" s="254"/>
      <c r="I97" s="254"/>
      <c r="J97" s="255"/>
      <c r="L97" s="254"/>
      <c r="M97" s="254"/>
      <c r="N97" s="254"/>
      <c r="O97" s="254"/>
      <c r="P97" s="254"/>
      <c r="Q97" s="251" t="s">
        <v>110</v>
      </c>
      <c r="R97" s="122"/>
      <c r="S97" s="122"/>
      <c r="T97" s="122"/>
      <c r="U97" s="259">
        <f t="shared" si="2"/>
        <v>82</v>
      </c>
      <c r="V97" s="122"/>
      <c r="W97" s="122"/>
    </row>
    <row r="98">
      <c r="A98" s="122"/>
      <c r="B98" s="247">
        <f t="shared" si="1"/>
        <v>46185</v>
      </c>
      <c r="C98" s="249"/>
      <c r="D98" s="249"/>
      <c r="E98" s="249"/>
      <c r="F98" s="249"/>
      <c r="G98" s="249" t="s">
        <v>110</v>
      </c>
      <c r="H98" s="249"/>
      <c r="I98" s="249"/>
      <c r="J98" s="256"/>
      <c r="L98" s="249"/>
      <c r="M98" s="249"/>
      <c r="N98" s="249"/>
      <c r="O98" s="249"/>
      <c r="P98" s="249"/>
      <c r="Q98" s="251" t="s">
        <v>110</v>
      </c>
      <c r="R98" s="122"/>
      <c r="S98" s="122"/>
      <c r="T98" s="122"/>
      <c r="U98" s="259">
        <f t="shared" si="2"/>
        <v>83</v>
      </c>
      <c r="V98" s="122"/>
      <c r="W98" s="122"/>
    </row>
    <row r="99">
      <c r="A99" s="122"/>
      <c r="B99" s="252">
        <f t="shared" si="1"/>
        <v>46186</v>
      </c>
      <c r="C99" s="254"/>
      <c r="D99" s="254"/>
      <c r="E99" s="254"/>
      <c r="F99" s="254"/>
      <c r="G99" s="254" t="s">
        <v>110</v>
      </c>
      <c r="H99" s="254"/>
      <c r="I99" s="254"/>
      <c r="J99" s="255"/>
      <c r="L99" s="254"/>
      <c r="M99" s="254"/>
      <c r="N99" s="254"/>
      <c r="O99" s="254"/>
      <c r="P99" s="254"/>
      <c r="Q99" s="251" t="s">
        <v>110</v>
      </c>
      <c r="R99" s="122"/>
      <c r="S99" s="122"/>
      <c r="T99" s="122"/>
      <c r="U99" s="259">
        <f t="shared" si="2"/>
        <v>84</v>
      </c>
      <c r="V99" s="122"/>
      <c r="W99" s="122"/>
    </row>
    <row r="100">
      <c r="A100" s="122"/>
      <c r="B100" s="247">
        <f t="shared" si="1"/>
        <v>46187</v>
      </c>
      <c r="C100" s="249"/>
      <c r="D100" s="249"/>
      <c r="E100" s="249"/>
      <c r="F100" s="249"/>
      <c r="G100" s="249" t="s">
        <v>110</v>
      </c>
      <c r="H100" s="249"/>
      <c r="I100" s="249"/>
      <c r="J100" s="256"/>
      <c r="L100" s="249"/>
      <c r="M100" s="249"/>
      <c r="N100" s="249"/>
      <c r="O100" s="249"/>
      <c r="P100" s="249"/>
      <c r="Q100" s="251" t="s">
        <v>110</v>
      </c>
      <c r="R100" s="122"/>
      <c r="S100" s="122"/>
      <c r="T100" s="122"/>
      <c r="U100" s="259">
        <f t="shared" si="2"/>
        <v>85</v>
      </c>
      <c r="V100" s="122"/>
      <c r="W100" s="122"/>
    </row>
    <row r="101">
      <c r="A101" s="122"/>
      <c r="B101" s="252">
        <f t="shared" si="1"/>
        <v>46188</v>
      </c>
      <c r="C101" s="254"/>
      <c r="D101" s="254"/>
      <c r="E101" s="254"/>
      <c r="F101" s="254"/>
      <c r="G101" s="254" t="s">
        <v>110</v>
      </c>
      <c r="H101" s="254"/>
      <c r="I101" s="254"/>
      <c r="J101" s="255"/>
      <c r="L101" s="254"/>
      <c r="M101" s="254"/>
      <c r="N101" s="254"/>
      <c r="O101" s="254"/>
      <c r="P101" s="254"/>
      <c r="Q101" s="251" t="s">
        <v>110</v>
      </c>
      <c r="R101" s="122"/>
      <c r="S101" s="122"/>
      <c r="T101" s="122"/>
      <c r="U101" s="259">
        <f t="shared" si="2"/>
        <v>86</v>
      </c>
      <c r="V101" s="122"/>
      <c r="W101" s="122"/>
    </row>
    <row r="102">
      <c r="A102" s="122"/>
      <c r="B102" s="247">
        <f t="shared" si="1"/>
        <v>46189</v>
      </c>
      <c r="C102" s="249"/>
      <c r="D102" s="249"/>
      <c r="E102" s="249"/>
      <c r="F102" s="249"/>
      <c r="G102" s="249" t="s">
        <v>110</v>
      </c>
      <c r="H102" s="249"/>
      <c r="I102" s="249"/>
      <c r="J102" s="256"/>
      <c r="L102" s="249"/>
      <c r="M102" s="249"/>
      <c r="N102" s="249"/>
      <c r="O102" s="249"/>
      <c r="P102" s="249"/>
      <c r="Q102" s="251" t="s">
        <v>110</v>
      </c>
      <c r="R102" s="122"/>
      <c r="S102" s="122"/>
      <c r="T102" s="122"/>
      <c r="U102" s="259">
        <f t="shared" si="2"/>
        <v>87</v>
      </c>
      <c r="V102" s="122"/>
      <c r="W102" s="122"/>
    </row>
    <row r="103">
      <c r="A103" s="122"/>
      <c r="B103" s="252">
        <f t="shared" si="1"/>
        <v>46190</v>
      </c>
      <c r="C103" s="254"/>
      <c r="D103" s="254"/>
      <c r="E103" s="254"/>
      <c r="F103" s="254"/>
      <c r="G103" s="254" t="s">
        <v>110</v>
      </c>
      <c r="H103" s="254"/>
      <c r="I103" s="254"/>
      <c r="J103" s="255"/>
      <c r="L103" s="254"/>
      <c r="M103" s="254"/>
      <c r="N103" s="254"/>
      <c r="O103" s="254"/>
      <c r="P103" s="254"/>
      <c r="Q103" s="251" t="s">
        <v>110</v>
      </c>
      <c r="R103" s="122"/>
      <c r="S103" s="122"/>
      <c r="T103" s="122"/>
      <c r="U103" s="259">
        <f t="shared" si="2"/>
        <v>88</v>
      </c>
      <c r="V103" s="122"/>
      <c r="W103" s="122"/>
    </row>
    <row r="104">
      <c r="A104" s="122"/>
      <c r="B104" s="247">
        <f t="shared" si="1"/>
        <v>46191</v>
      </c>
      <c r="C104" s="249"/>
      <c r="D104" s="249"/>
      <c r="E104" s="249"/>
      <c r="F104" s="249"/>
      <c r="G104" s="249" t="s">
        <v>110</v>
      </c>
      <c r="H104" s="249"/>
      <c r="I104" s="249"/>
      <c r="J104" s="256"/>
      <c r="L104" s="249"/>
      <c r="M104" s="249"/>
      <c r="N104" s="249"/>
      <c r="O104" s="249"/>
      <c r="P104" s="249"/>
      <c r="Q104" s="251" t="s">
        <v>110</v>
      </c>
      <c r="R104" s="122"/>
      <c r="S104" s="122"/>
      <c r="T104" s="122"/>
      <c r="U104" s="259">
        <f t="shared" si="2"/>
        <v>89</v>
      </c>
      <c r="V104" s="122"/>
      <c r="W104" s="122"/>
    </row>
    <row r="105">
      <c r="A105" s="122"/>
      <c r="B105" s="252">
        <f t="shared" si="1"/>
        <v>46192</v>
      </c>
      <c r="C105" s="254"/>
      <c r="D105" s="254"/>
      <c r="E105" s="254"/>
      <c r="F105" s="254"/>
      <c r="G105" s="254" t="s">
        <v>110</v>
      </c>
      <c r="H105" s="254"/>
      <c r="I105" s="254"/>
      <c r="J105" s="255"/>
      <c r="L105" s="254"/>
      <c r="M105" s="254"/>
      <c r="N105" s="254"/>
      <c r="O105" s="254"/>
      <c r="P105" s="254"/>
      <c r="Q105" s="251" t="s">
        <v>110</v>
      </c>
      <c r="R105" s="122"/>
      <c r="S105" s="122"/>
      <c r="T105" s="122"/>
      <c r="U105" s="259">
        <f t="shared" si="2"/>
        <v>90</v>
      </c>
      <c r="V105" s="122"/>
      <c r="W105" s="122"/>
    </row>
    <row r="106">
      <c r="A106" s="122"/>
      <c r="B106" s="247">
        <f t="shared" si="1"/>
        <v>46193</v>
      </c>
      <c r="C106" s="249"/>
      <c r="D106" s="249"/>
      <c r="E106" s="249"/>
      <c r="F106" s="249"/>
      <c r="G106" s="249" t="s">
        <v>110</v>
      </c>
      <c r="H106" s="249"/>
      <c r="I106" s="249"/>
      <c r="J106" s="256"/>
      <c r="L106" s="249"/>
      <c r="M106" s="249"/>
      <c r="N106" s="249"/>
      <c r="O106" s="249"/>
      <c r="P106" s="249"/>
      <c r="Q106" s="251" t="s">
        <v>110</v>
      </c>
      <c r="R106" s="122"/>
      <c r="S106" s="122"/>
      <c r="T106" s="122"/>
      <c r="U106" s="122"/>
      <c r="V106" s="122"/>
      <c r="W106" s="122"/>
    </row>
    <row r="107">
      <c r="A107" s="122"/>
      <c r="B107" s="252">
        <f t="shared" si="1"/>
        <v>46194</v>
      </c>
      <c r="C107" s="254"/>
      <c r="D107" s="254"/>
      <c r="E107" s="254"/>
      <c r="F107" s="254"/>
      <c r="G107" s="254" t="s">
        <v>110</v>
      </c>
      <c r="H107" s="254"/>
      <c r="I107" s="254"/>
      <c r="J107" s="255"/>
      <c r="L107" s="254"/>
      <c r="M107" s="254"/>
      <c r="N107" s="254"/>
      <c r="O107" s="254"/>
      <c r="P107" s="254"/>
      <c r="Q107" s="251" t="s">
        <v>110</v>
      </c>
      <c r="R107" s="122"/>
      <c r="S107" s="122"/>
      <c r="T107" s="122"/>
      <c r="U107" s="122"/>
      <c r="V107" s="122"/>
      <c r="W107" s="122"/>
    </row>
    <row r="108">
      <c r="A108" s="122"/>
      <c r="B108" s="247">
        <f t="shared" si="1"/>
        <v>46195</v>
      </c>
      <c r="C108" s="249"/>
      <c r="D108" s="249"/>
      <c r="E108" s="249"/>
      <c r="F108" s="249"/>
      <c r="G108" s="249" t="s">
        <v>110</v>
      </c>
      <c r="H108" s="249"/>
      <c r="I108" s="249"/>
      <c r="J108" s="256"/>
      <c r="L108" s="249"/>
      <c r="M108" s="249"/>
      <c r="N108" s="249"/>
      <c r="O108" s="249"/>
      <c r="P108" s="249"/>
      <c r="Q108" s="251" t="s">
        <v>110</v>
      </c>
      <c r="R108" s="122"/>
      <c r="S108" s="122"/>
      <c r="T108" s="122"/>
      <c r="U108" s="122"/>
      <c r="V108" s="122"/>
      <c r="W108" s="122"/>
    </row>
    <row r="109">
      <c r="A109" s="122"/>
      <c r="B109" s="252">
        <f t="shared" si="1"/>
        <v>46196</v>
      </c>
      <c r="C109" s="254"/>
      <c r="D109" s="254"/>
      <c r="E109" s="254"/>
      <c r="F109" s="254"/>
      <c r="G109" s="254" t="s">
        <v>110</v>
      </c>
      <c r="H109" s="254"/>
      <c r="I109" s="254"/>
      <c r="J109" s="255"/>
      <c r="L109" s="254"/>
      <c r="M109" s="254"/>
      <c r="N109" s="254"/>
      <c r="O109" s="254"/>
      <c r="P109" s="254"/>
      <c r="Q109" s="251" t="s">
        <v>110</v>
      </c>
      <c r="R109" s="122"/>
      <c r="S109" s="122"/>
      <c r="T109" s="122"/>
      <c r="U109" s="122"/>
      <c r="V109" s="122"/>
      <c r="W109" s="122"/>
    </row>
    <row r="110">
      <c r="A110" s="122"/>
      <c r="B110" s="247">
        <f t="shared" si="1"/>
        <v>46197</v>
      </c>
      <c r="C110" s="249"/>
      <c r="D110" s="249"/>
      <c r="E110" s="249"/>
      <c r="F110" s="249"/>
      <c r="G110" s="249" t="s">
        <v>110</v>
      </c>
      <c r="H110" s="249"/>
      <c r="I110" s="249"/>
      <c r="J110" s="256"/>
      <c r="L110" s="249"/>
      <c r="M110" s="249"/>
      <c r="N110" s="249"/>
      <c r="O110" s="249"/>
      <c r="P110" s="249"/>
      <c r="Q110" s="251" t="s">
        <v>110</v>
      </c>
      <c r="R110" s="122"/>
      <c r="S110" s="122"/>
      <c r="T110" s="122"/>
      <c r="U110" s="122"/>
      <c r="V110" s="122"/>
      <c r="W110" s="122"/>
    </row>
    <row r="111">
      <c r="A111" s="122"/>
      <c r="B111" s="252">
        <f t="shared" si="1"/>
        <v>46198</v>
      </c>
      <c r="C111" s="254"/>
      <c r="D111" s="254"/>
      <c r="E111" s="254"/>
      <c r="F111" s="254"/>
      <c r="G111" s="254" t="s">
        <v>110</v>
      </c>
      <c r="H111" s="254"/>
      <c r="I111" s="254"/>
      <c r="J111" s="255"/>
      <c r="L111" s="254"/>
      <c r="M111" s="254"/>
      <c r="N111" s="254"/>
      <c r="O111" s="254"/>
      <c r="P111" s="254"/>
      <c r="Q111" s="251" t="s">
        <v>110</v>
      </c>
      <c r="R111" s="122"/>
      <c r="S111" s="122"/>
      <c r="T111" s="122"/>
      <c r="U111" s="122"/>
      <c r="V111" s="122"/>
      <c r="W111" s="122"/>
    </row>
    <row r="112">
      <c r="A112" s="122"/>
      <c r="B112" s="247">
        <f t="shared" si="1"/>
        <v>46199</v>
      </c>
      <c r="C112" s="249"/>
      <c r="D112" s="249"/>
      <c r="E112" s="249"/>
      <c r="F112" s="249"/>
      <c r="G112" s="249" t="s">
        <v>110</v>
      </c>
      <c r="H112" s="249"/>
      <c r="I112" s="249"/>
      <c r="J112" s="256"/>
      <c r="L112" s="249"/>
      <c r="M112" s="249"/>
      <c r="N112" s="249"/>
      <c r="O112" s="249"/>
      <c r="P112" s="249"/>
      <c r="Q112" s="251" t="s">
        <v>110</v>
      </c>
      <c r="R112" s="122"/>
      <c r="S112" s="122"/>
      <c r="T112" s="122"/>
      <c r="U112" s="122"/>
      <c r="V112" s="122"/>
      <c r="W112" s="122"/>
    </row>
    <row r="113">
      <c r="A113" s="122"/>
      <c r="B113" s="252">
        <f t="shared" si="1"/>
        <v>46200</v>
      </c>
      <c r="C113" s="254"/>
      <c r="D113" s="254"/>
      <c r="E113" s="254"/>
      <c r="F113" s="254"/>
      <c r="G113" s="254" t="s">
        <v>110</v>
      </c>
      <c r="H113" s="254"/>
      <c r="I113" s="254"/>
      <c r="J113" s="255"/>
      <c r="L113" s="254"/>
      <c r="M113" s="254"/>
      <c r="N113" s="254"/>
      <c r="O113" s="254"/>
      <c r="P113" s="254"/>
      <c r="Q113" s="251" t="s">
        <v>110</v>
      </c>
      <c r="R113" s="122"/>
      <c r="S113" s="122"/>
      <c r="T113" s="122"/>
      <c r="U113" s="122"/>
      <c r="V113" s="122"/>
      <c r="W113" s="122"/>
    </row>
    <row r="114">
      <c r="A114" s="122"/>
      <c r="B114" s="247">
        <f t="shared" si="1"/>
        <v>46201</v>
      </c>
      <c r="C114" s="249"/>
      <c r="D114" s="249"/>
      <c r="E114" s="249"/>
      <c r="F114" s="249"/>
      <c r="G114" s="249" t="s">
        <v>110</v>
      </c>
      <c r="H114" s="249"/>
      <c r="I114" s="249"/>
      <c r="J114" s="256"/>
      <c r="L114" s="249"/>
      <c r="M114" s="249"/>
      <c r="N114" s="249"/>
      <c r="O114" s="249"/>
      <c r="P114" s="249"/>
      <c r="Q114" s="251" t="s">
        <v>110</v>
      </c>
      <c r="R114" s="122"/>
      <c r="S114" s="122"/>
      <c r="T114" s="122"/>
      <c r="U114" s="122"/>
      <c r="V114" s="122"/>
      <c r="W114" s="122"/>
    </row>
    <row r="115">
      <c r="A115" s="122"/>
      <c r="B115" s="252">
        <f t="shared" si="1"/>
        <v>46202</v>
      </c>
      <c r="C115" s="254"/>
      <c r="D115" s="254"/>
      <c r="E115" s="254"/>
      <c r="F115" s="254"/>
      <c r="G115" s="254" t="s">
        <v>110</v>
      </c>
      <c r="H115" s="254"/>
      <c r="I115" s="254"/>
      <c r="J115" s="255"/>
      <c r="L115" s="254"/>
      <c r="M115" s="254"/>
      <c r="N115" s="254"/>
      <c r="O115" s="254"/>
      <c r="P115" s="254"/>
      <c r="Q115" s="251" t="s">
        <v>110</v>
      </c>
      <c r="R115" s="122"/>
      <c r="S115" s="122"/>
      <c r="T115" s="122"/>
      <c r="U115" s="122"/>
      <c r="V115" s="122"/>
      <c r="W115" s="122"/>
    </row>
    <row r="116">
      <c r="A116" s="122"/>
      <c r="B116" s="247">
        <f t="shared" si="1"/>
        <v>46203</v>
      </c>
      <c r="C116" s="249"/>
      <c r="D116" s="249"/>
      <c r="E116" s="249"/>
      <c r="F116" s="249"/>
      <c r="G116" s="249" t="s">
        <v>110</v>
      </c>
      <c r="H116" s="249"/>
      <c r="I116" s="249"/>
      <c r="J116" s="256"/>
      <c r="L116" s="249"/>
      <c r="M116" s="249"/>
      <c r="N116" s="249"/>
      <c r="O116" s="249"/>
      <c r="P116" s="249"/>
      <c r="Q116" s="251" t="s">
        <v>110</v>
      </c>
      <c r="R116" s="122"/>
      <c r="S116" s="122"/>
      <c r="T116" s="122"/>
      <c r="U116" s="122"/>
      <c r="V116" s="122"/>
      <c r="W116" s="122"/>
    </row>
    <row r="117">
      <c r="A117" s="122"/>
      <c r="B117" s="252">
        <f t="shared" si="1"/>
        <v>46204</v>
      </c>
      <c r="C117" s="254"/>
      <c r="D117" s="254"/>
      <c r="E117" s="254"/>
      <c r="F117" s="254"/>
      <c r="G117" s="254" t="s">
        <v>110</v>
      </c>
      <c r="H117" s="254"/>
      <c r="I117" s="254"/>
      <c r="J117" s="255"/>
      <c r="L117" s="254"/>
      <c r="M117" s="254"/>
      <c r="N117" s="254"/>
      <c r="O117" s="254"/>
      <c r="P117" s="254"/>
      <c r="Q117" s="251" t="s">
        <v>110</v>
      </c>
      <c r="R117" s="122"/>
      <c r="S117" s="122"/>
      <c r="T117" s="122"/>
      <c r="U117" s="122"/>
      <c r="V117" s="122"/>
      <c r="W117" s="122"/>
    </row>
    <row r="118">
      <c r="A118" s="122"/>
      <c r="B118" s="247">
        <f t="shared" si="1"/>
        <v>46205</v>
      </c>
      <c r="C118" s="249"/>
      <c r="D118" s="249"/>
      <c r="E118" s="249"/>
      <c r="F118" s="249"/>
      <c r="G118" s="249" t="s">
        <v>110</v>
      </c>
      <c r="H118" s="249"/>
      <c r="I118" s="249"/>
      <c r="J118" s="256"/>
      <c r="L118" s="249"/>
      <c r="M118" s="249"/>
      <c r="N118" s="249"/>
      <c r="O118" s="249"/>
      <c r="P118" s="249"/>
      <c r="Q118" s="251" t="s">
        <v>110</v>
      </c>
      <c r="R118" s="122"/>
      <c r="S118" s="122"/>
      <c r="T118" s="122"/>
      <c r="U118" s="122"/>
      <c r="V118" s="122"/>
      <c r="W118" s="122"/>
    </row>
    <row r="119">
      <c r="A119" s="122"/>
      <c r="B119" s="252">
        <f t="shared" si="1"/>
        <v>46206</v>
      </c>
      <c r="C119" s="254"/>
      <c r="D119" s="254"/>
      <c r="E119" s="254"/>
      <c r="F119" s="254"/>
      <c r="G119" s="254" t="s">
        <v>110</v>
      </c>
      <c r="H119" s="254"/>
      <c r="I119" s="254"/>
      <c r="J119" s="255"/>
      <c r="L119" s="254"/>
      <c r="M119" s="254"/>
      <c r="N119" s="254"/>
      <c r="O119" s="254"/>
      <c r="P119" s="254"/>
      <c r="Q119" s="251" t="s">
        <v>110</v>
      </c>
      <c r="R119" s="122"/>
      <c r="S119" s="122"/>
      <c r="T119" s="122"/>
      <c r="U119" s="122"/>
      <c r="V119" s="122"/>
      <c r="W119" s="122"/>
    </row>
    <row r="120">
      <c r="A120" s="122"/>
      <c r="B120" s="247">
        <f t="shared" si="1"/>
        <v>46207</v>
      </c>
      <c r="C120" s="249"/>
      <c r="D120" s="249"/>
      <c r="E120" s="249"/>
      <c r="F120" s="249"/>
      <c r="G120" s="249" t="s">
        <v>110</v>
      </c>
      <c r="H120" s="249"/>
      <c r="I120" s="249"/>
      <c r="J120" s="256"/>
      <c r="L120" s="249"/>
      <c r="M120" s="249"/>
      <c r="N120" s="249"/>
      <c r="O120" s="249"/>
      <c r="P120" s="249"/>
      <c r="Q120" s="251" t="s">
        <v>110</v>
      </c>
      <c r="R120" s="122"/>
      <c r="S120" s="122"/>
      <c r="T120" s="122"/>
      <c r="U120" s="122"/>
      <c r="V120" s="122"/>
      <c r="W120" s="122"/>
    </row>
    <row r="121">
      <c r="A121" s="122"/>
      <c r="B121" s="252">
        <f t="shared" si="1"/>
        <v>46208</v>
      </c>
      <c r="C121" s="254"/>
      <c r="D121" s="254"/>
      <c r="E121" s="254"/>
      <c r="F121" s="254"/>
      <c r="G121" s="254" t="s">
        <v>110</v>
      </c>
      <c r="H121" s="254"/>
      <c r="I121" s="254"/>
      <c r="J121" s="255"/>
      <c r="L121" s="254"/>
      <c r="M121" s="254"/>
      <c r="N121" s="254"/>
      <c r="O121" s="254"/>
      <c r="P121" s="254"/>
      <c r="Q121" s="251" t="s">
        <v>110</v>
      </c>
      <c r="R121" s="122"/>
      <c r="S121" s="122"/>
      <c r="T121" s="122"/>
      <c r="U121" s="122"/>
      <c r="V121" s="122"/>
      <c r="W121" s="122"/>
    </row>
    <row r="122">
      <c r="A122" s="122"/>
      <c r="B122" s="247">
        <f t="shared" si="1"/>
        <v>46209</v>
      </c>
      <c r="C122" s="249"/>
      <c r="D122" s="249"/>
      <c r="E122" s="249"/>
      <c r="F122" s="249"/>
      <c r="G122" s="249" t="s">
        <v>110</v>
      </c>
      <c r="H122" s="249"/>
      <c r="I122" s="249"/>
      <c r="J122" s="256"/>
      <c r="L122" s="249"/>
      <c r="M122" s="249"/>
      <c r="N122" s="249"/>
      <c r="O122" s="249"/>
      <c r="P122" s="249"/>
      <c r="Q122" s="251" t="s">
        <v>110</v>
      </c>
      <c r="R122" s="122"/>
      <c r="S122" s="122"/>
      <c r="T122" s="122"/>
      <c r="U122" s="122"/>
      <c r="V122" s="122"/>
      <c r="W122" s="122"/>
    </row>
    <row r="123">
      <c r="A123" s="122"/>
      <c r="B123" s="252">
        <f t="shared" si="1"/>
        <v>46210</v>
      </c>
      <c r="C123" s="254"/>
      <c r="D123" s="254"/>
      <c r="E123" s="254"/>
      <c r="F123" s="254"/>
      <c r="G123" s="254" t="s">
        <v>110</v>
      </c>
      <c r="H123" s="254"/>
      <c r="I123" s="254"/>
      <c r="J123" s="255"/>
      <c r="L123" s="254"/>
      <c r="M123" s="254"/>
      <c r="N123" s="254"/>
      <c r="O123" s="254"/>
      <c r="P123" s="254"/>
      <c r="Q123" s="251" t="s">
        <v>110</v>
      </c>
      <c r="R123" s="122"/>
      <c r="S123" s="122"/>
      <c r="T123" s="122"/>
      <c r="U123" s="122"/>
      <c r="V123" s="122"/>
      <c r="W123" s="122"/>
    </row>
    <row r="124">
      <c r="A124" s="122"/>
      <c r="B124" s="247">
        <f t="shared" si="1"/>
        <v>46211</v>
      </c>
      <c r="C124" s="249"/>
      <c r="D124" s="249"/>
      <c r="E124" s="249"/>
      <c r="F124" s="249"/>
      <c r="G124" s="249" t="s">
        <v>110</v>
      </c>
      <c r="H124" s="249"/>
      <c r="I124" s="249"/>
      <c r="J124" s="256"/>
      <c r="L124" s="249"/>
      <c r="M124" s="249"/>
      <c r="N124" s="249"/>
      <c r="O124" s="249"/>
      <c r="P124" s="249"/>
      <c r="Q124" s="251" t="s">
        <v>110</v>
      </c>
      <c r="R124" s="122"/>
      <c r="S124" s="122"/>
      <c r="T124" s="122"/>
      <c r="U124" s="122"/>
      <c r="V124" s="122"/>
      <c r="W124" s="122"/>
    </row>
    <row r="125">
      <c r="A125" s="122"/>
      <c r="B125" s="252">
        <f t="shared" si="1"/>
        <v>46212</v>
      </c>
      <c r="C125" s="254"/>
      <c r="D125" s="254"/>
      <c r="E125" s="254"/>
      <c r="F125" s="254"/>
      <c r="G125" s="254" t="s">
        <v>110</v>
      </c>
      <c r="H125" s="254"/>
      <c r="I125" s="254"/>
      <c r="J125" s="255"/>
      <c r="L125" s="254"/>
      <c r="M125" s="254"/>
      <c r="N125" s="254"/>
      <c r="O125" s="254"/>
      <c r="P125" s="254"/>
      <c r="Q125" s="251" t="s">
        <v>110</v>
      </c>
      <c r="R125" s="122"/>
      <c r="S125" s="122"/>
      <c r="T125" s="122"/>
      <c r="U125" s="122"/>
      <c r="V125" s="122"/>
      <c r="W125" s="122"/>
    </row>
    <row r="126">
      <c r="A126" s="122"/>
      <c r="B126" s="247">
        <f t="shared" si="1"/>
        <v>46213</v>
      </c>
      <c r="C126" s="249"/>
      <c r="D126" s="249"/>
      <c r="E126" s="249"/>
      <c r="F126" s="249"/>
      <c r="G126" s="249" t="s">
        <v>110</v>
      </c>
      <c r="H126" s="249"/>
      <c r="I126" s="249"/>
      <c r="J126" s="256"/>
      <c r="L126" s="249"/>
      <c r="M126" s="249"/>
      <c r="N126" s="249"/>
      <c r="O126" s="249"/>
      <c r="P126" s="249"/>
      <c r="Q126" s="251" t="s">
        <v>110</v>
      </c>
      <c r="R126" s="122"/>
      <c r="S126" s="122"/>
      <c r="T126" s="122"/>
      <c r="U126" s="122"/>
      <c r="V126" s="122"/>
      <c r="W126" s="122"/>
    </row>
    <row r="127">
      <c r="A127" s="122"/>
      <c r="B127" s="252">
        <f t="shared" si="1"/>
        <v>46214</v>
      </c>
      <c r="C127" s="254"/>
      <c r="D127" s="254"/>
      <c r="E127" s="254"/>
      <c r="F127" s="254"/>
      <c r="G127" s="254" t="s">
        <v>110</v>
      </c>
      <c r="H127" s="254"/>
      <c r="I127" s="254"/>
      <c r="J127" s="255"/>
      <c r="L127" s="254"/>
      <c r="M127" s="254"/>
      <c r="N127" s="254"/>
      <c r="O127" s="254"/>
      <c r="P127" s="254"/>
      <c r="Q127" s="251" t="s">
        <v>110</v>
      </c>
      <c r="R127" s="122"/>
      <c r="S127" s="122"/>
      <c r="T127" s="122"/>
      <c r="U127" s="122"/>
      <c r="V127" s="122"/>
      <c r="W127" s="122"/>
    </row>
    <row r="128">
      <c r="A128" s="122"/>
      <c r="B128" s="247">
        <f t="shared" si="1"/>
        <v>46215</v>
      </c>
      <c r="C128" s="249"/>
      <c r="D128" s="249"/>
      <c r="E128" s="249"/>
      <c r="F128" s="249"/>
      <c r="G128" s="249" t="s">
        <v>110</v>
      </c>
      <c r="H128" s="249"/>
      <c r="I128" s="249"/>
      <c r="J128" s="256"/>
      <c r="L128" s="249"/>
      <c r="M128" s="249"/>
      <c r="N128" s="249"/>
      <c r="O128" s="249"/>
      <c r="P128" s="249"/>
      <c r="Q128" s="251" t="s">
        <v>110</v>
      </c>
      <c r="R128" s="122"/>
      <c r="S128" s="122"/>
      <c r="T128" s="122"/>
      <c r="U128" s="122"/>
      <c r="V128" s="122"/>
      <c r="W128" s="122"/>
    </row>
    <row r="129">
      <c r="A129" s="122"/>
      <c r="B129" s="252">
        <f t="shared" si="1"/>
        <v>46216</v>
      </c>
      <c r="C129" s="254"/>
      <c r="D129" s="254"/>
      <c r="E129" s="254"/>
      <c r="F129" s="254"/>
      <c r="G129" s="254" t="s">
        <v>110</v>
      </c>
      <c r="H129" s="254"/>
      <c r="I129" s="254"/>
      <c r="J129" s="255"/>
      <c r="L129" s="254"/>
      <c r="M129" s="254"/>
      <c r="N129" s="254"/>
      <c r="O129" s="254"/>
      <c r="P129" s="254"/>
      <c r="Q129" s="251" t="s">
        <v>110</v>
      </c>
      <c r="R129" s="122"/>
      <c r="S129" s="122"/>
      <c r="T129" s="122"/>
      <c r="U129" s="122"/>
      <c r="V129" s="122"/>
      <c r="W129" s="122"/>
    </row>
    <row r="130">
      <c r="A130" s="122"/>
      <c r="B130" s="247">
        <f t="shared" si="1"/>
        <v>46217</v>
      </c>
      <c r="C130" s="249"/>
      <c r="D130" s="249"/>
      <c r="E130" s="249"/>
      <c r="F130" s="249"/>
      <c r="G130" s="249" t="s">
        <v>110</v>
      </c>
      <c r="H130" s="249"/>
      <c r="I130" s="249"/>
      <c r="J130" s="256"/>
      <c r="L130" s="249"/>
      <c r="M130" s="249"/>
      <c r="N130" s="249"/>
      <c r="O130" s="249"/>
      <c r="P130" s="249"/>
      <c r="Q130" s="251" t="s">
        <v>110</v>
      </c>
      <c r="R130" s="122"/>
      <c r="S130" s="122"/>
      <c r="T130" s="122"/>
      <c r="U130" s="122"/>
      <c r="V130" s="122"/>
      <c r="W130" s="122"/>
    </row>
    <row r="131">
      <c r="A131" s="122"/>
      <c r="B131" s="252">
        <f t="shared" si="1"/>
        <v>46218</v>
      </c>
      <c r="C131" s="254"/>
      <c r="D131" s="254"/>
      <c r="E131" s="254"/>
      <c r="F131" s="254"/>
      <c r="G131" s="254" t="s">
        <v>110</v>
      </c>
      <c r="H131" s="254"/>
      <c r="I131" s="254"/>
      <c r="J131" s="255"/>
      <c r="L131" s="254"/>
      <c r="M131" s="254"/>
      <c r="N131" s="254"/>
      <c r="O131" s="254"/>
      <c r="P131" s="254"/>
      <c r="Q131" s="251" t="s">
        <v>110</v>
      </c>
      <c r="R131" s="122"/>
      <c r="S131" s="122"/>
      <c r="T131" s="122"/>
      <c r="U131" s="122"/>
      <c r="V131" s="122"/>
      <c r="W131" s="122"/>
    </row>
    <row r="132">
      <c r="A132" s="122"/>
      <c r="B132" s="247">
        <f t="shared" si="1"/>
        <v>46219</v>
      </c>
      <c r="C132" s="249"/>
      <c r="D132" s="249"/>
      <c r="E132" s="249"/>
      <c r="F132" s="249"/>
      <c r="G132" s="249" t="s">
        <v>110</v>
      </c>
      <c r="H132" s="249"/>
      <c r="I132" s="249"/>
      <c r="J132" s="256"/>
      <c r="L132" s="249"/>
      <c r="M132" s="249"/>
      <c r="N132" s="249"/>
      <c r="O132" s="249"/>
      <c r="P132" s="249"/>
      <c r="Q132" s="251" t="s">
        <v>110</v>
      </c>
      <c r="R132" s="122"/>
      <c r="S132" s="122"/>
      <c r="T132" s="122"/>
      <c r="U132" s="122"/>
      <c r="V132" s="122"/>
      <c r="W132" s="122"/>
    </row>
    <row r="133">
      <c r="A133" s="122"/>
      <c r="B133" s="252">
        <f t="shared" si="1"/>
        <v>46220</v>
      </c>
      <c r="C133" s="254"/>
      <c r="D133" s="254"/>
      <c r="E133" s="254"/>
      <c r="F133" s="254"/>
      <c r="G133" s="254" t="s">
        <v>110</v>
      </c>
      <c r="H133" s="254"/>
      <c r="I133" s="254"/>
      <c r="J133" s="255"/>
      <c r="L133" s="254"/>
      <c r="M133" s="254"/>
      <c r="N133" s="254"/>
      <c r="O133" s="254"/>
      <c r="P133" s="254"/>
      <c r="Q133" s="251" t="s">
        <v>110</v>
      </c>
      <c r="R133" s="122"/>
      <c r="S133" s="122"/>
      <c r="T133" s="122"/>
      <c r="U133" s="122"/>
      <c r="V133" s="122"/>
      <c r="W133" s="122"/>
    </row>
    <row r="134">
      <c r="A134" s="122"/>
      <c r="B134" s="247">
        <f t="shared" si="1"/>
        <v>46221</v>
      </c>
      <c r="C134" s="249"/>
      <c r="D134" s="249"/>
      <c r="E134" s="249"/>
      <c r="F134" s="249"/>
      <c r="G134" s="249" t="s">
        <v>110</v>
      </c>
      <c r="H134" s="249"/>
      <c r="I134" s="249"/>
      <c r="J134" s="256"/>
      <c r="L134" s="249"/>
      <c r="M134" s="249"/>
      <c r="N134" s="249"/>
      <c r="O134" s="249"/>
      <c r="P134" s="249"/>
      <c r="Q134" s="251" t="s">
        <v>110</v>
      </c>
      <c r="R134" s="122"/>
      <c r="S134" s="122"/>
      <c r="T134" s="122"/>
      <c r="U134" s="122"/>
      <c r="V134" s="122"/>
      <c r="W134" s="122"/>
    </row>
    <row r="135">
      <c r="A135" s="122"/>
      <c r="B135" s="252">
        <f t="shared" si="1"/>
        <v>46222</v>
      </c>
      <c r="C135" s="254"/>
      <c r="D135" s="254"/>
      <c r="E135" s="254"/>
      <c r="F135" s="254"/>
      <c r="G135" s="254" t="s">
        <v>110</v>
      </c>
      <c r="H135" s="254"/>
      <c r="I135" s="254"/>
      <c r="J135" s="255"/>
      <c r="L135" s="254"/>
      <c r="M135" s="254"/>
      <c r="N135" s="254"/>
      <c r="O135" s="254"/>
      <c r="P135" s="254"/>
      <c r="Q135" s="251" t="s">
        <v>110</v>
      </c>
      <c r="R135" s="122"/>
      <c r="S135" s="122"/>
      <c r="T135" s="122"/>
      <c r="U135" s="122"/>
      <c r="V135" s="122"/>
      <c r="W135" s="122"/>
    </row>
    <row r="136">
      <c r="A136" s="122"/>
      <c r="B136" s="247">
        <f t="shared" si="1"/>
        <v>46223</v>
      </c>
      <c r="C136" s="249"/>
      <c r="D136" s="249"/>
      <c r="E136" s="249"/>
      <c r="F136" s="249"/>
      <c r="G136" s="249" t="s">
        <v>110</v>
      </c>
      <c r="H136" s="249"/>
      <c r="I136" s="249"/>
      <c r="J136" s="256"/>
      <c r="L136" s="249"/>
      <c r="M136" s="249"/>
      <c r="N136" s="249"/>
      <c r="O136" s="249"/>
      <c r="P136" s="249"/>
      <c r="Q136" s="251" t="s">
        <v>110</v>
      </c>
      <c r="R136" s="122"/>
      <c r="S136" s="122"/>
      <c r="T136" s="122"/>
      <c r="U136" s="122"/>
      <c r="V136" s="122"/>
      <c r="W136" s="122"/>
    </row>
    <row r="137">
      <c r="A137" s="122"/>
      <c r="B137" s="252">
        <f t="shared" si="1"/>
        <v>46224</v>
      </c>
      <c r="C137" s="254"/>
      <c r="D137" s="254"/>
      <c r="E137" s="254"/>
      <c r="F137" s="254"/>
      <c r="G137" s="254" t="s">
        <v>110</v>
      </c>
      <c r="H137" s="254"/>
      <c r="I137" s="254"/>
      <c r="J137" s="255"/>
      <c r="L137" s="254"/>
      <c r="M137" s="254"/>
      <c r="N137" s="254"/>
      <c r="O137" s="254"/>
      <c r="P137" s="254"/>
      <c r="Q137" s="251" t="s">
        <v>110</v>
      </c>
      <c r="R137" s="122"/>
      <c r="S137" s="122"/>
      <c r="T137" s="122"/>
      <c r="U137" s="122"/>
      <c r="V137" s="122"/>
      <c r="W137" s="122"/>
    </row>
    <row r="138">
      <c r="A138" s="122"/>
      <c r="B138" s="247">
        <f t="shared" si="1"/>
        <v>46225</v>
      </c>
      <c r="C138" s="249"/>
      <c r="D138" s="249"/>
      <c r="E138" s="249"/>
      <c r="F138" s="249"/>
      <c r="G138" s="249" t="s">
        <v>110</v>
      </c>
      <c r="H138" s="249"/>
      <c r="I138" s="249"/>
      <c r="J138" s="256"/>
      <c r="L138" s="249"/>
      <c r="M138" s="249"/>
      <c r="N138" s="249"/>
      <c r="O138" s="249"/>
      <c r="P138" s="249"/>
      <c r="Q138" s="251" t="s">
        <v>110</v>
      </c>
      <c r="R138" s="122"/>
      <c r="S138" s="122"/>
      <c r="T138" s="122"/>
      <c r="U138" s="122"/>
      <c r="V138" s="122"/>
      <c r="W138" s="122"/>
    </row>
    <row r="139">
      <c r="A139" s="122"/>
      <c r="B139" s="252">
        <f t="shared" si="1"/>
        <v>46226</v>
      </c>
      <c r="C139" s="254"/>
      <c r="D139" s="254"/>
      <c r="E139" s="254"/>
      <c r="F139" s="254"/>
      <c r="G139" s="254" t="s">
        <v>110</v>
      </c>
      <c r="H139" s="254"/>
      <c r="I139" s="254"/>
      <c r="J139" s="255"/>
      <c r="L139" s="254"/>
      <c r="M139" s="254"/>
      <c r="N139" s="254"/>
      <c r="O139" s="254"/>
      <c r="P139" s="254"/>
      <c r="Q139" s="251" t="s">
        <v>110</v>
      </c>
      <c r="R139" s="122"/>
      <c r="S139" s="122"/>
      <c r="T139" s="122"/>
      <c r="U139" s="122"/>
      <c r="V139" s="122"/>
      <c r="W139" s="122"/>
    </row>
    <row r="140">
      <c r="A140" s="122"/>
      <c r="B140" s="247">
        <f t="shared" si="1"/>
        <v>46227</v>
      </c>
      <c r="C140" s="249"/>
      <c r="D140" s="249"/>
      <c r="E140" s="249"/>
      <c r="F140" s="249"/>
      <c r="G140" s="249" t="s">
        <v>110</v>
      </c>
      <c r="H140" s="249"/>
      <c r="I140" s="249"/>
      <c r="J140" s="256"/>
      <c r="L140" s="249"/>
      <c r="M140" s="249"/>
      <c r="N140" s="249"/>
      <c r="O140" s="249"/>
      <c r="P140" s="249"/>
      <c r="Q140" s="251" t="s">
        <v>110</v>
      </c>
      <c r="R140" s="122"/>
      <c r="S140" s="122"/>
      <c r="T140" s="122"/>
      <c r="U140" s="122"/>
      <c r="V140" s="122"/>
      <c r="W140" s="122"/>
    </row>
    <row r="141">
      <c r="A141" s="122"/>
      <c r="B141" s="252">
        <f t="shared" si="1"/>
        <v>46228</v>
      </c>
      <c r="C141" s="254"/>
      <c r="D141" s="254"/>
      <c r="E141" s="254"/>
      <c r="F141" s="254"/>
      <c r="G141" s="254" t="s">
        <v>110</v>
      </c>
      <c r="H141" s="254"/>
      <c r="I141" s="254"/>
      <c r="J141" s="255"/>
      <c r="L141" s="254"/>
      <c r="M141" s="254"/>
      <c r="N141" s="254"/>
      <c r="O141" s="254"/>
      <c r="P141" s="254"/>
      <c r="Q141" s="251" t="s">
        <v>110</v>
      </c>
      <c r="R141" s="122"/>
      <c r="S141" s="122"/>
      <c r="T141" s="122"/>
      <c r="U141" s="122"/>
      <c r="V141" s="122"/>
      <c r="W141" s="122"/>
    </row>
    <row r="142">
      <c r="A142" s="122"/>
      <c r="B142" s="247">
        <f t="shared" si="1"/>
        <v>46229</v>
      </c>
      <c r="C142" s="249"/>
      <c r="D142" s="249"/>
      <c r="E142" s="249"/>
      <c r="F142" s="249"/>
      <c r="G142" s="249" t="s">
        <v>110</v>
      </c>
      <c r="H142" s="249"/>
      <c r="I142" s="249"/>
      <c r="J142" s="256"/>
      <c r="L142" s="249"/>
      <c r="M142" s="249"/>
      <c r="N142" s="249"/>
      <c r="O142" s="249"/>
      <c r="P142" s="249"/>
      <c r="Q142" s="251" t="s">
        <v>110</v>
      </c>
      <c r="R142" s="122"/>
      <c r="S142" s="122"/>
      <c r="T142" s="122"/>
      <c r="U142" s="122"/>
      <c r="V142" s="122"/>
      <c r="W142" s="122"/>
    </row>
    <row r="143">
      <c r="A143" s="122"/>
      <c r="B143" s="252">
        <f t="shared" si="1"/>
        <v>46230</v>
      </c>
      <c r="C143" s="254"/>
      <c r="D143" s="254"/>
      <c r="E143" s="254"/>
      <c r="F143" s="254"/>
      <c r="G143" s="254" t="s">
        <v>110</v>
      </c>
      <c r="H143" s="254"/>
      <c r="I143" s="254"/>
      <c r="J143" s="255"/>
      <c r="L143" s="254"/>
      <c r="M143" s="254"/>
      <c r="N143" s="254"/>
      <c r="O143" s="254"/>
      <c r="P143" s="254"/>
      <c r="Q143" s="251" t="s">
        <v>110</v>
      </c>
      <c r="R143" s="122"/>
      <c r="S143" s="122"/>
      <c r="T143" s="122"/>
      <c r="U143" s="122"/>
      <c r="V143" s="122"/>
      <c r="W143" s="122"/>
    </row>
    <row r="144">
      <c r="A144" s="122"/>
      <c r="B144" s="247">
        <f t="shared" si="1"/>
        <v>46231</v>
      </c>
      <c r="C144" s="249"/>
      <c r="D144" s="249"/>
      <c r="E144" s="249"/>
      <c r="F144" s="249"/>
      <c r="G144" s="249" t="s">
        <v>110</v>
      </c>
      <c r="H144" s="249"/>
      <c r="I144" s="249"/>
      <c r="J144" s="256"/>
      <c r="L144" s="249"/>
      <c r="M144" s="249"/>
      <c r="N144" s="249"/>
      <c r="O144" s="249"/>
      <c r="P144" s="249"/>
      <c r="Q144" s="251" t="s">
        <v>110</v>
      </c>
      <c r="R144" s="122"/>
      <c r="S144" s="122"/>
      <c r="T144" s="122"/>
      <c r="U144" s="122"/>
      <c r="V144" s="122"/>
      <c r="W144" s="122"/>
    </row>
    <row r="145">
      <c r="A145" s="122"/>
      <c r="B145" s="252">
        <f t="shared" si="1"/>
        <v>46232</v>
      </c>
      <c r="C145" s="254"/>
      <c r="D145" s="254"/>
      <c r="E145" s="254"/>
      <c r="F145" s="254"/>
      <c r="G145" s="254" t="s">
        <v>110</v>
      </c>
      <c r="H145" s="254"/>
      <c r="I145" s="254"/>
      <c r="J145" s="255"/>
      <c r="L145" s="254"/>
      <c r="M145" s="254"/>
      <c r="N145" s="254"/>
      <c r="O145" s="254"/>
      <c r="P145" s="254"/>
      <c r="Q145" s="251" t="s">
        <v>110</v>
      </c>
      <c r="R145" s="122"/>
      <c r="S145" s="122"/>
      <c r="T145" s="122"/>
      <c r="U145" s="122"/>
      <c r="V145" s="122"/>
      <c r="W145" s="122"/>
    </row>
    <row r="146">
      <c r="A146" s="122"/>
      <c r="B146" s="247">
        <f t="shared" si="1"/>
        <v>46233</v>
      </c>
      <c r="C146" s="249"/>
      <c r="D146" s="249"/>
      <c r="E146" s="249"/>
      <c r="F146" s="249"/>
      <c r="G146" s="249" t="s">
        <v>110</v>
      </c>
      <c r="H146" s="249"/>
      <c r="I146" s="249"/>
      <c r="J146" s="256"/>
      <c r="L146" s="249"/>
      <c r="M146" s="249"/>
      <c r="N146" s="249"/>
      <c r="O146" s="249"/>
      <c r="P146" s="249"/>
      <c r="Q146" s="251" t="s">
        <v>110</v>
      </c>
      <c r="R146" s="122"/>
      <c r="S146" s="122"/>
      <c r="T146" s="122"/>
      <c r="U146" s="122"/>
      <c r="V146" s="122"/>
      <c r="W146" s="122"/>
    </row>
    <row r="147">
      <c r="A147" s="122"/>
      <c r="B147" s="252">
        <f t="shared" si="1"/>
        <v>46234</v>
      </c>
      <c r="C147" s="254"/>
      <c r="D147" s="254"/>
      <c r="E147" s="254"/>
      <c r="F147" s="254"/>
      <c r="G147" s="254" t="s">
        <v>110</v>
      </c>
      <c r="H147" s="254"/>
      <c r="I147" s="254"/>
      <c r="J147" s="255"/>
      <c r="L147" s="254"/>
      <c r="M147" s="254"/>
      <c r="N147" s="254"/>
      <c r="O147" s="254"/>
      <c r="P147" s="254"/>
      <c r="Q147" s="251" t="s">
        <v>110</v>
      </c>
      <c r="R147" s="122"/>
      <c r="S147" s="122"/>
      <c r="T147" s="122"/>
      <c r="U147" s="122"/>
      <c r="V147" s="122"/>
      <c r="W147" s="122"/>
    </row>
    <row r="148">
      <c r="A148" s="122"/>
      <c r="B148" s="247">
        <f t="shared" si="1"/>
        <v>46235</v>
      </c>
      <c r="C148" s="249"/>
      <c r="D148" s="249"/>
      <c r="E148" s="249"/>
      <c r="F148" s="249"/>
      <c r="G148" s="249" t="s">
        <v>110</v>
      </c>
      <c r="H148" s="249"/>
      <c r="I148" s="249"/>
      <c r="J148" s="256"/>
      <c r="L148" s="249"/>
      <c r="M148" s="249"/>
      <c r="N148" s="249"/>
      <c r="O148" s="249"/>
      <c r="P148" s="249"/>
      <c r="Q148" s="251" t="s">
        <v>110</v>
      </c>
      <c r="R148" s="122"/>
      <c r="S148" s="122"/>
      <c r="T148" s="122"/>
      <c r="U148" s="122"/>
      <c r="V148" s="122"/>
      <c r="W148" s="122"/>
    </row>
    <row r="149">
      <c r="A149" s="122"/>
      <c r="B149" s="252">
        <f t="shared" si="1"/>
        <v>46236</v>
      </c>
      <c r="C149" s="254"/>
      <c r="D149" s="254"/>
      <c r="E149" s="254"/>
      <c r="F149" s="254"/>
      <c r="G149" s="254" t="s">
        <v>110</v>
      </c>
      <c r="H149" s="254"/>
      <c r="I149" s="254"/>
      <c r="J149" s="255"/>
      <c r="L149" s="254"/>
      <c r="M149" s="254"/>
      <c r="N149" s="254"/>
      <c r="O149" s="254"/>
      <c r="P149" s="254"/>
      <c r="Q149" s="251" t="s">
        <v>110</v>
      </c>
      <c r="R149" s="122"/>
      <c r="S149" s="122"/>
      <c r="T149" s="122"/>
      <c r="U149" s="122"/>
      <c r="V149" s="122"/>
      <c r="W149" s="122"/>
    </row>
    <row r="150">
      <c r="A150" s="122"/>
      <c r="B150" s="247">
        <f t="shared" si="1"/>
        <v>46237</v>
      </c>
      <c r="C150" s="249"/>
      <c r="D150" s="249"/>
      <c r="E150" s="249"/>
      <c r="F150" s="249"/>
      <c r="G150" s="249" t="s">
        <v>110</v>
      </c>
      <c r="H150" s="249"/>
      <c r="I150" s="249"/>
      <c r="J150" s="256"/>
      <c r="L150" s="249"/>
      <c r="M150" s="249"/>
      <c r="N150" s="249"/>
      <c r="O150" s="249"/>
      <c r="P150" s="249"/>
      <c r="Q150" s="251" t="s">
        <v>110</v>
      </c>
      <c r="R150" s="122"/>
      <c r="S150" s="122"/>
      <c r="T150" s="122"/>
      <c r="U150" s="122"/>
      <c r="V150" s="122"/>
      <c r="W150" s="122"/>
    </row>
    <row r="151">
      <c r="A151" s="122"/>
      <c r="B151" s="252">
        <f t="shared" si="1"/>
        <v>46238</v>
      </c>
      <c r="C151" s="254"/>
      <c r="D151" s="254"/>
      <c r="E151" s="254"/>
      <c r="F151" s="254"/>
      <c r="G151" s="254" t="s">
        <v>110</v>
      </c>
      <c r="H151" s="254"/>
      <c r="I151" s="254"/>
      <c r="J151" s="255"/>
      <c r="L151" s="254"/>
      <c r="M151" s="254"/>
      <c r="N151" s="254"/>
      <c r="O151" s="254"/>
      <c r="P151" s="254"/>
      <c r="Q151" s="251" t="s">
        <v>110</v>
      </c>
      <c r="R151" s="122"/>
      <c r="S151" s="122"/>
      <c r="T151" s="122"/>
      <c r="U151" s="122"/>
      <c r="V151" s="122"/>
      <c r="W151" s="122"/>
    </row>
    <row r="152">
      <c r="A152" s="122"/>
      <c r="B152" s="247">
        <f t="shared" si="1"/>
        <v>46239</v>
      </c>
      <c r="C152" s="249"/>
      <c r="D152" s="249"/>
      <c r="E152" s="249"/>
      <c r="F152" s="249"/>
      <c r="G152" s="249" t="s">
        <v>110</v>
      </c>
      <c r="H152" s="249"/>
      <c r="I152" s="249"/>
      <c r="J152" s="256"/>
      <c r="L152" s="249"/>
      <c r="M152" s="249"/>
      <c r="N152" s="249"/>
      <c r="O152" s="249"/>
      <c r="P152" s="249"/>
      <c r="Q152" s="251" t="s">
        <v>110</v>
      </c>
      <c r="R152" s="122"/>
      <c r="S152" s="122"/>
      <c r="T152" s="122"/>
      <c r="U152" s="122"/>
      <c r="V152" s="122"/>
      <c r="W152" s="122"/>
    </row>
    <row r="153">
      <c r="A153" s="122"/>
      <c r="B153" s="252">
        <f t="shared" si="1"/>
        <v>46240</v>
      </c>
      <c r="C153" s="254"/>
      <c r="D153" s="254"/>
      <c r="E153" s="254"/>
      <c r="F153" s="254"/>
      <c r="G153" s="254" t="s">
        <v>110</v>
      </c>
      <c r="H153" s="254"/>
      <c r="I153" s="254"/>
      <c r="J153" s="255"/>
      <c r="L153" s="254"/>
      <c r="M153" s="254"/>
      <c r="N153" s="254"/>
      <c r="O153" s="254"/>
      <c r="P153" s="254"/>
      <c r="Q153" s="251" t="s">
        <v>110</v>
      </c>
      <c r="R153" s="122"/>
      <c r="S153" s="122"/>
      <c r="T153" s="122"/>
      <c r="U153" s="122"/>
      <c r="V153" s="122"/>
      <c r="W153" s="122"/>
    </row>
    <row r="154">
      <c r="A154" s="122"/>
      <c r="B154" s="247">
        <f t="shared" si="1"/>
        <v>46241</v>
      </c>
      <c r="C154" s="249"/>
      <c r="D154" s="249"/>
      <c r="E154" s="249"/>
      <c r="F154" s="249"/>
      <c r="G154" s="249" t="s">
        <v>110</v>
      </c>
      <c r="H154" s="249"/>
      <c r="I154" s="249"/>
      <c r="J154" s="256"/>
      <c r="L154" s="249"/>
      <c r="M154" s="249"/>
      <c r="N154" s="249"/>
      <c r="O154" s="249"/>
      <c r="P154" s="249"/>
      <c r="Q154" s="251" t="s">
        <v>110</v>
      </c>
      <c r="R154" s="122"/>
      <c r="S154" s="122"/>
      <c r="T154" s="122"/>
      <c r="U154" s="122"/>
      <c r="V154" s="122"/>
      <c r="W154" s="122"/>
    </row>
    <row r="155">
      <c r="A155" s="122"/>
      <c r="B155" s="252">
        <f t="shared" si="1"/>
        <v>46242</v>
      </c>
      <c r="C155" s="254"/>
      <c r="D155" s="254"/>
      <c r="E155" s="254"/>
      <c r="F155" s="254"/>
      <c r="G155" s="254" t="s">
        <v>110</v>
      </c>
      <c r="H155" s="254"/>
      <c r="I155" s="254"/>
      <c r="J155" s="255"/>
      <c r="L155" s="254"/>
      <c r="M155" s="254"/>
      <c r="N155" s="254"/>
      <c r="O155" s="254"/>
      <c r="P155" s="254"/>
      <c r="Q155" s="251" t="s">
        <v>110</v>
      </c>
      <c r="R155" s="122"/>
      <c r="S155" s="122"/>
      <c r="T155" s="122"/>
      <c r="U155" s="122"/>
      <c r="V155" s="122"/>
      <c r="W155" s="122"/>
    </row>
    <row r="156">
      <c r="A156" s="122"/>
      <c r="B156" s="247">
        <f t="shared" si="1"/>
        <v>46243</v>
      </c>
      <c r="C156" s="249"/>
      <c r="D156" s="249"/>
      <c r="E156" s="249"/>
      <c r="F156" s="249"/>
      <c r="G156" s="249" t="s">
        <v>110</v>
      </c>
      <c r="H156" s="249"/>
      <c r="I156" s="249"/>
      <c r="J156" s="256"/>
      <c r="L156" s="249"/>
      <c r="M156" s="249"/>
      <c r="N156" s="249"/>
      <c r="O156" s="249"/>
      <c r="P156" s="249"/>
      <c r="Q156" s="251" t="s">
        <v>110</v>
      </c>
      <c r="R156" s="122"/>
      <c r="S156" s="122"/>
      <c r="T156" s="122"/>
      <c r="U156" s="122"/>
      <c r="V156" s="122"/>
      <c r="W156" s="122"/>
    </row>
    <row r="157">
      <c r="A157" s="122"/>
      <c r="B157" s="252">
        <f t="shared" si="1"/>
        <v>46244</v>
      </c>
      <c r="C157" s="254"/>
      <c r="D157" s="254"/>
      <c r="E157" s="254"/>
      <c r="F157" s="254"/>
      <c r="G157" s="254" t="s">
        <v>110</v>
      </c>
      <c r="H157" s="254"/>
      <c r="I157" s="254"/>
      <c r="J157" s="255"/>
      <c r="L157" s="254"/>
      <c r="M157" s="254"/>
      <c r="N157" s="254"/>
      <c r="O157" s="254"/>
      <c r="P157" s="254"/>
      <c r="Q157" s="251" t="s">
        <v>110</v>
      </c>
      <c r="R157" s="122"/>
      <c r="S157" s="122"/>
      <c r="T157" s="122"/>
      <c r="U157" s="122"/>
      <c r="V157" s="122"/>
      <c r="W157" s="122"/>
    </row>
    <row r="158">
      <c r="A158" s="122"/>
      <c r="B158" s="247">
        <f t="shared" si="1"/>
        <v>46245</v>
      </c>
      <c r="C158" s="249"/>
      <c r="D158" s="249"/>
      <c r="E158" s="249"/>
      <c r="F158" s="249"/>
      <c r="G158" s="249" t="s">
        <v>110</v>
      </c>
      <c r="H158" s="249"/>
      <c r="I158" s="249"/>
      <c r="J158" s="256"/>
      <c r="L158" s="249"/>
      <c r="M158" s="249"/>
      <c r="N158" s="249"/>
      <c r="O158" s="249"/>
      <c r="P158" s="249"/>
      <c r="Q158" s="251" t="s">
        <v>110</v>
      </c>
      <c r="R158" s="122"/>
      <c r="S158" s="122"/>
      <c r="T158" s="122"/>
      <c r="U158" s="122"/>
      <c r="V158" s="122"/>
      <c r="W158" s="122"/>
    </row>
    <row r="159">
      <c r="A159" s="122"/>
      <c r="B159" s="252">
        <f t="shared" si="1"/>
        <v>46246</v>
      </c>
      <c r="C159" s="254"/>
      <c r="D159" s="254"/>
      <c r="E159" s="254"/>
      <c r="F159" s="254"/>
      <c r="G159" s="254" t="s">
        <v>110</v>
      </c>
      <c r="H159" s="254"/>
      <c r="I159" s="254"/>
      <c r="J159" s="255"/>
      <c r="L159" s="254"/>
      <c r="M159" s="254"/>
      <c r="N159" s="254"/>
      <c r="O159" s="254"/>
      <c r="P159" s="254"/>
      <c r="Q159" s="251" t="s">
        <v>110</v>
      </c>
      <c r="R159" s="122"/>
      <c r="S159" s="122"/>
      <c r="T159" s="122"/>
      <c r="U159" s="122"/>
      <c r="V159" s="122"/>
      <c r="W159" s="122"/>
    </row>
    <row r="160">
      <c r="A160" s="122"/>
      <c r="B160" s="247">
        <f t="shared" si="1"/>
        <v>46247</v>
      </c>
      <c r="C160" s="249"/>
      <c r="D160" s="249"/>
      <c r="E160" s="249"/>
      <c r="F160" s="249"/>
      <c r="G160" s="249" t="s">
        <v>110</v>
      </c>
      <c r="H160" s="249"/>
      <c r="I160" s="249"/>
      <c r="J160" s="256"/>
      <c r="L160" s="249"/>
      <c r="M160" s="249"/>
      <c r="N160" s="249"/>
      <c r="O160" s="249"/>
      <c r="P160" s="249"/>
      <c r="Q160" s="251" t="s">
        <v>110</v>
      </c>
      <c r="R160" s="122"/>
      <c r="S160" s="122"/>
      <c r="T160" s="122"/>
      <c r="U160" s="122"/>
      <c r="V160" s="122"/>
      <c r="W160" s="122"/>
    </row>
    <row r="161">
      <c r="A161" s="122"/>
      <c r="B161" s="252">
        <f t="shared" si="1"/>
        <v>46248</v>
      </c>
      <c r="C161" s="254"/>
      <c r="D161" s="254"/>
      <c r="E161" s="254"/>
      <c r="F161" s="254"/>
      <c r="G161" s="254" t="s">
        <v>110</v>
      </c>
      <c r="H161" s="254"/>
      <c r="I161" s="254"/>
      <c r="J161" s="255"/>
      <c r="L161" s="254"/>
      <c r="M161" s="254"/>
      <c r="N161" s="254"/>
      <c r="O161" s="254"/>
      <c r="P161" s="254"/>
      <c r="Q161" s="251" t="s">
        <v>110</v>
      </c>
      <c r="R161" s="122"/>
      <c r="S161" s="122"/>
      <c r="T161" s="122"/>
      <c r="U161" s="122"/>
      <c r="V161" s="122"/>
      <c r="W161" s="122"/>
    </row>
    <row r="162">
      <c r="A162" s="122"/>
      <c r="B162" s="247">
        <f t="shared" si="1"/>
        <v>46249</v>
      </c>
      <c r="C162" s="249"/>
      <c r="D162" s="249"/>
      <c r="E162" s="249"/>
      <c r="F162" s="249"/>
      <c r="G162" s="249" t="s">
        <v>110</v>
      </c>
      <c r="H162" s="249"/>
      <c r="I162" s="249"/>
      <c r="J162" s="256"/>
      <c r="L162" s="249"/>
      <c r="M162" s="249"/>
      <c r="N162" s="249"/>
      <c r="O162" s="249"/>
      <c r="P162" s="249"/>
      <c r="Q162" s="251" t="s">
        <v>110</v>
      </c>
      <c r="R162" s="122"/>
      <c r="S162" s="122"/>
      <c r="T162" s="122"/>
      <c r="U162" s="122"/>
      <c r="V162" s="122"/>
      <c r="W162" s="122"/>
    </row>
    <row r="163">
      <c r="A163" s="122"/>
      <c r="B163" s="252">
        <f t="shared" si="1"/>
        <v>46250</v>
      </c>
      <c r="C163" s="254"/>
      <c r="D163" s="254"/>
      <c r="E163" s="254"/>
      <c r="F163" s="254"/>
      <c r="G163" s="254" t="s">
        <v>110</v>
      </c>
      <c r="H163" s="254"/>
      <c r="I163" s="254"/>
      <c r="J163" s="255"/>
      <c r="L163" s="254"/>
      <c r="M163" s="254"/>
      <c r="N163" s="254"/>
      <c r="O163" s="254"/>
      <c r="P163" s="254"/>
      <c r="Q163" s="251" t="s">
        <v>110</v>
      </c>
      <c r="R163" s="122"/>
      <c r="S163" s="122"/>
      <c r="T163" s="122"/>
      <c r="U163" s="122"/>
      <c r="V163" s="122"/>
      <c r="W163" s="122"/>
    </row>
    <row r="164">
      <c r="A164" s="122"/>
      <c r="B164" s="247">
        <f t="shared" si="1"/>
        <v>46251</v>
      </c>
      <c r="C164" s="249"/>
      <c r="D164" s="249"/>
      <c r="E164" s="249"/>
      <c r="F164" s="249"/>
      <c r="G164" s="249" t="s">
        <v>110</v>
      </c>
      <c r="H164" s="249"/>
      <c r="I164" s="249"/>
      <c r="J164" s="256"/>
      <c r="L164" s="249"/>
      <c r="M164" s="249"/>
      <c r="N164" s="249"/>
      <c r="O164" s="249"/>
      <c r="P164" s="249"/>
      <c r="Q164" s="251" t="s">
        <v>110</v>
      </c>
      <c r="R164" s="122"/>
      <c r="S164" s="122"/>
      <c r="T164" s="122"/>
      <c r="U164" s="122"/>
      <c r="V164" s="122"/>
      <c r="W164" s="122"/>
    </row>
    <row r="165">
      <c r="A165" s="122"/>
      <c r="B165" s="252">
        <f t="shared" si="1"/>
        <v>46252</v>
      </c>
      <c r="C165" s="254"/>
      <c r="D165" s="254"/>
      <c r="E165" s="254"/>
      <c r="F165" s="254"/>
      <c r="G165" s="254" t="s">
        <v>110</v>
      </c>
      <c r="H165" s="254"/>
      <c r="I165" s="254"/>
      <c r="J165" s="255"/>
      <c r="L165" s="254"/>
      <c r="M165" s="254"/>
      <c r="N165" s="254"/>
      <c r="O165" s="254"/>
      <c r="P165" s="254"/>
      <c r="Q165" s="251" t="s">
        <v>110</v>
      </c>
      <c r="R165" s="122"/>
      <c r="S165" s="122"/>
      <c r="T165" s="122"/>
      <c r="U165" s="122"/>
      <c r="V165" s="122"/>
      <c r="W165" s="122"/>
    </row>
    <row r="166">
      <c r="A166" s="122"/>
      <c r="B166" s="247">
        <f t="shared" si="1"/>
        <v>46253</v>
      </c>
      <c r="C166" s="249"/>
      <c r="D166" s="249"/>
      <c r="E166" s="249"/>
      <c r="F166" s="249"/>
      <c r="G166" s="249" t="s">
        <v>110</v>
      </c>
      <c r="H166" s="249"/>
      <c r="I166" s="249"/>
      <c r="J166" s="256"/>
      <c r="L166" s="249"/>
      <c r="M166" s="249"/>
      <c r="N166" s="249"/>
      <c r="O166" s="249"/>
      <c r="P166" s="249"/>
      <c r="Q166" s="251" t="s">
        <v>110</v>
      </c>
      <c r="R166" s="122"/>
      <c r="S166" s="122"/>
      <c r="T166" s="122"/>
      <c r="U166" s="122"/>
      <c r="V166" s="122"/>
      <c r="W166" s="122"/>
    </row>
    <row r="167">
      <c r="A167" s="122"/>
      <c r="B167" s="252">
        <f t="shared" si="1"/>
        <v>46254</v>
      </c>
      <c r="C167" s="254"/>
      <c r="D167" s="254"/>
      <c r="E167" s="254"/>
      <c r="F167" s="254"/>
      <c r="G167" s="254" t="s">
        <v>110</v>
      </c>
      <c r="H167" s="254"/>
      <c r="I167" s="254"/>
      <c r="J167" s="255"/>
      <c r="L167" s="254"/>
      <c r="M167" s="254"/>
      <c r="N167" s="254"/>
      <c r="O167" s="254"/>
      <c r="P167" s="254"/>
      <c r="Q167" s="251" t="s">
        <v>110</v>
      </c>
      <c r="R167" s="122"/>
      <c r="S167" s="122"/>
      <c r="T167" s="122"/>
      <c r="U167" s="122"/>
      <c r="V167" s="122"/>
      <c r="W167" s="122"/>
    </row>
    <row r="168">
      <c r="A168" s="122"/>
      <c r="B168" s="247">
        <f t="shared" si="1"/>
        <v>46255</v>
      </c>
      <c r="C168" s="249"/>
      <c r="D168" s="249"/>
      <c r="E168" s="249"/>
      <c r="F168" s="249"/>
      <c r="G168" s="249" t="s">
        <v>110</v>
      </c>
      <c r="H168" s="249"/>
      <c r="I168" s="249"/>
      <c r="J168" s="256"/>
      <c r="L168" s="249"/>
      <c r="M168" s="249"/>
      <c r="N168" s="249"/>
      <c r="O168" s="249"/>
      <c r="P168" s="249"/>
      <c r="Q168" s="251" t="s">
        <v>110</v>
      </c>
      <c r="R168" s="122"/>
      <c r="S168" s="122"/>
      <c r="T168" s="122"/>
      <c r="U168" s="122"/>
      <c r="V168" s="122"/>
      <c r="W168" s="122"/>
    </row>
    <row r="169">
      <c r="A169" s="122"/>
      <c r="B169" s="252">
        <f t="shared" si="1"/>
        <v>46256</v>
      </c>
      <c r="C169" s="254"/>
      <c r="D169" s="254"/>
      <c r="E169" s="254"/>
      <c r="F169" s="254"/>
      <c r="G169" s="254" t="s">
        <v>110</v>
      </c>
      <c r="H169" s="254"/>
      <c r="I169" s="254"/>
      <c r="J169" s="255"/>
      <c r="L169" s="254"/>
      <c r="M169" s="254"/>
      <c r="N169" s="254"/>
      <c r="O169" s="254"/>
      <c r="P169" s="254"/>
      <c r="Q169" s="251" t="s">
        <v>110</v>
      </c>
      <c r="R169" s="122"/>
      <c r="S169" s="122"/>
      <c r="T169" s="122"/>
      <c r="U169" s="122"/>
      <c r="V169" s="122"/>
      <c r="W169" s="122"/>
    </row>
    <row r="170">
      <c r="A170" s="122"/>
      <c r="B170" s="247">
        <f t="shared" si="1"/>
        <v>46257</v>
      </c>
      <c r="C170" s="249"/>
      <c r="D170" s="249"/>
      <c r="E170" s="249"/>
      <c r="F170" s="249"/>
      <c r="G170" s="249" t="s">
        <v>110</v>
      </c>
      <c r="H170" s="249"/>
      <c r="I170" s="249"/>
      <c r="J170" s="256"/>
      <c r="L170" s="249"/>
      <c r="M170" s="249"/>
      <c r="N170" s="249"/>
      <c r="O170" s="249"/>
      <c r="P170" s="249"/>
      <c r="Q170" s="251" t="s">
        <v>110</v>
      </c>
      <c r="R170" s="122"/>
      <c r="S170" s="122"/>
      <c r="T170" s="122"/>
      <c r="U170" s="122"/>
      <c r="V170" s="122"/>
      <c r="W170" s="122"/>
    </row>
    <row r="171">
      <c r="A171" s="122"/>
      <c r="B171" s="252">
        <f t="shared" si="1"/>
        <v>46258</v>
      </c>
      <c r="C171" s="254"/>
      <c r="D171" s="254"/>
      <c r="E171" s="254"/>
      <c r="F171" s="254"/>
      <c r="G171" s="254" t="s">
        <v>110</v>
      </c>
      <c r="H171" s="254"/>
      <c r="I171" s="254"/>
      <c r="J171" s="255"/>
      <c r="L171" s="254"/>
      <c r="M171" s="254"/>
      <c r="N171" s="254"/>
      <c r="O171" s="254"/>
      <c r="P171" s="254"/>
      <c r="Q171" s="251" t="s">
        <v>110</v>
      </c>
      <c r="R171" s="122"/>
      <c r="S171" s="122"/>
      <c r="T171" s="122"/>
      <c r="U171" s="122"/>
      <c r="V171" s="122"/>
      <c r="W171" s="122"/>
    </row>
    <row r="172">
      <c r="A172" s="122"/>
      <c r="B172" s="247">
        <f t="shared" si="1"/>
        <v>46259</v>
      </c>
      <c r="C172" s="249"/>
      <c r="D172" s="249"/>
      <c r="E172" s="249"/>
      <c r="F172" s="249"/>
      <c r="G172" s="249" t="s">
        <v>110</v>
      </c>
      <c r="H172" s="249"/>
      <c r="I172" s="249"/>
      <c r="J172" s="256"/>
      <c r="L172" s="249"/>
      <c r="M172" s="249"/>
      <c r="N172" s="249"/>
      <c r="O172" s="249"/>
      <c r="P172" s="249"/>
      <c r="Q172" s="251" t="s">
        <v>110</v>
      </c>
      <c r="R172" s="122"/>
      <c r="S172" s="122"/>
      <c r="T172" s="122"/>
      <c r="U172" s="122"/>
      <c r="V172" s="122"/>
      <c r="W172" s="122"/>
    </row>
    <row r="173">
      <c r="A173" s="122"/>
      <c r="B173" s="252">
        <f t="shared" si="1"/>
        <v>46260</v>
      </c>
      <c r="C173" s="254"/>
      <c r="D173" s="254"/>
      <c r="E173" s="254"/>
      <c r="F173" s="254"/>
      <c r="G173" s="254" t="s">
        <v>110</v>
      </c>
      <c r="H173" s="254"/>
      <c r="I173" s="254"/>
      <c r="J173" s="255"/>
      <c r="L173" s="254"/>
      <c r="M173" s="254"/>
      <c r="N173" s="254"/>
      <c r="O173" s="254"/>
      <c r="P173" s="254"/>
      <c r="Q173" s="251" t="s">
        <v>110</v>
      </c>
      <c r="R173" s="122"/>
      <c r="S173" s="122"/>
      <c r="T173" s="122"/>
      <c r="U173" s="122"/>
      <c r="V173" s="122"/>
      <c r="W173" s="122"/>
    </row>
    <row r="174">
      <c r="A174" s="122"/>
      <c r="B174" s="247">
        <f t="shared" si="1"/>
        <v>46261</v>
      </c>
      <c r="C174" s="249"/>
      <c r="D174" s="249"/>
      <c r="E174" s="249"/>
      <c r="F174" s="249"/>
      <c r="G174" s="249" t="s">
        <v>110</v>
      </c>
      <c r="H174" s="249"/>
      <c r="I174" s="249"/>
      <c r="J174" s="256"/>
      <c r="L174" s="249"/>
      <c r="M174" s="249"/>
      <c r="N174" s="249"/>
      <c r="O174" s="249"/>
      <c r="P174" s="249"/>
      <c r="Q174" s="251" t="s">
        <v>110</v>
      </c>
      <c r="R174" s="122"/>
      <c r="S174" s="122"/>
      <c r="T174" s="122"/>
      <c r="U174" s="122"/>
      <c r="V174" s="122"/>
      <c r="W174" s="122"/>
    </row>
    <row r="175">
      <c r="A175" s="122"/>
      <c r="B175" s="252">
        <f t="shared" si="1"/>
        <v>46262</v>
      </c>
      <c r="C175" s="254"/>
      <c r="D175" s="254"/>
      <c r="E175" s="254"/>
      <c r="F175" s="254"/>
      <c r="G175" s="254" t="s">
        <v>110</v>
      </c>
      <c r="H175" s="254"/>
      <c r="I175" s="254"/>
      <c r="J175" s="255"/>
      <c r="L175" s="254"/>
      <c r="M175" s="254"/>
      <c r="N175" s="254"/>
      <c r="O175" s="254"/>
      <c r="P175" s="254"/>
      <c r="Q175" s="251" t="s">
        <v>110</v>
      </c>
      <c r="R175" s="122"/>
      <c r="S175" s="122"/>
      <c r="T175" s="122"/>
      <c r="U175" s="122"/>
      <c r="V175" s="122"/>
      <c r="W175" s="122"/>
    </row>
    <row r="176">
      <c r="A176" s="122"/>
      <c r="B176" s="247">
        <f t="shared" si="1"/>
        <v>46263</v>
      </c>
      <c r="C176" s="249"/>
      <c r="D176" s="249"/>
      <c r="E176" s="249"/>
      <c r="F176" s="249"/>
      <c r="G176" s="249" t="s">
        <v>110</v>
      </c>
      <c r="H176" s="249"/>
      <c r="I176" s="249"/>
      <c r="J176" s="256"/>
      <c r="L176" s="249"/>
      <c r="M176" s="249"/>
      <c r="N176" s="249"/>
      <c r="O176" s="249"/>
      <c r="P176" s="249"/>
      <c r="Q176" s="251" t="s">
        <v>110</v>
      </c>
      <c r="R176" s="122"/>
      <c r="S176" s="122"/>
      <c r="T176" s="122"/>
      <c r="U176" s="122"/>
      <c r="V176" s="122"/>
      <c r="W176" s="122"/>
    </row>
    <row r="177">
      <c r="A177" s="122"/>
      <c r="B177" s="252">
        <f t="shared" si="1"/>
        <v>46264</v>
      </c>
      <c r="C177" s="254"/>
      <c r="D177" s="254"/>
      <c r="E177" s="254"/>
      <c r="F177" s="254"/>
      <c r="G177" s="254" t="s">
        <v>110</v>
      </c>
      <c r="H177" s="254"/>
      <c r="I177" s="254"/>
      <c r="J177" s="255"/>
      <c r="L177" s="254"/>
      <c r="M177" s="254"/>
      <c r="N177" s="254"/>
      <c r="O177" s="254"/>
      <c r="P177" s="254"/>
      <c r="Q177" s="251" t="s">
        <v>110</v>
      </c>
      <c r="R177" s="122"/>
      <c r="S177" s="122"/>
      <c r="T177" s="122"/>
      <c r="U177" s="122"/>
      <c r="V177" s="122"/>
      <c r="W177" s="122"/>
    </row>
    <row r="178">
      <c r="A178" s="122"/>
      <c r="B178" s="247">
        <f t="shared" si="1"/>
        <v>46265</v>
      </c>
      <c r="C178" s="249"/>
      <c r="D178" s="249"/>
      <c r="E178" s="249"/>
      <c r="F178" s="249"/>
      <c r="G178" s="249" t="s">
        <v>110</v>
      </c>
      <c r="H178" s="249"/>
      <c r="I178" s="249"/>
      <c r="J178" s="256"/>
      <c r="L178" s="249"/>
      <c r="M178" s="249"/>
      <c r="N178" s="249"/>
      <c r="O178" s="249"/>
      <c r="P178" s="249"/>
      <c r="Q178" s="251" t="s">
        <v>110</v>
      </c>
      <c r="R178" s="122"/>
      <c r="S178" s="122"/>
      <c r="T178" s="122"/>
      <c r="U178" s="122"/>
      <c r="V178" s="122"/>
      <c r="W178" s="122"/>
    </row>
    <row r="179">
      <c r="A179" s="122"/>
      <c r="B179" s="252">
        <f t="shared" si="1"/>
        <v>46266</v>
      </c>
      <c r="C179" s="254"/>
      <c r="D179" s="254"/>
      <c r="E179" s="254"/>
      <c r="F179" s="254"/>
      <c r="G179" s="254" t="s">
        <v>110</v>
      </c>
      <c r="H179" s="254"/>
      <c r="I179" s="254"/>
      <c r="J179" s="255"/>
      <c r="L179" s="254"/>
      <c r="M179" s="254"/>
      <c r="N179" s="254"/>
      <c r="O179" s="254"/>
      <c r="P179" s="254"/>
      <c r="Q179" s="251" t="s">
        <v>110</v>
      </c>
      <c r="R179" s="122"/>
      <c r="S179" s="122"/>
      <c r="T179" s="122"/>
      <c r="U179" s="122"/>
      <c r="V179" s="122"/>
      <c r="W179" s="122"/>
    </row>
    <row r="180">
      <c r="A180" s="122"/>
      <c r="B180" s="247">
        <f t="shared" si="1"/>
        <v>46267</v>
      </c>
      <c r="C180" s="249"/>
      <c r="D180" s="249"/>
      <c r="E180" s="249"/>
      <c r="F180" s="249"/>
      <c r="G180" s="249" t="s">
        <v>110</v>
      </c>
      <c r="H180" s="249"/>
      <c r="I180" s="249"/>
      <c r="J180" s="256"/>
      <c r="L180" s="249"/>
      <c r="M180" s="249"/>
      <c r="N180" s="249"/>
      <c r="O180" s="249"/>
      <c r="P180" s="249"/>
      <c r="Q180" s="251" t="s">
        <v>110</v>
      </c>
      <c r="R180" s="122"/>
      <c r="S180" s="122"/>
      <c r="T180" s="122"/>
      <c r="U180" s="122"/>
      <c r="V180" s="122"/>
      <c r="W180" s="122"/>
    </row>
    <row r="181">
      <c r="A181" s="122"/>
      <c r="B181" s="252">
        <f t="shared" si="1"/>
        <v>46268</v>
      </c>
      <c r="C181" s="254"/>
      <c r="D181" s="254"/>
      <c r="E181" s="254"/>
      <c r="F181" s="254"/>
      <c r="G181" s="254" t="s">
        <v>110</v>
      </c>
      <c r="H181" s="254"/>
      <c r="I181" s="254"/>
      <c r="J181" s="255"/>
      <c r="L181" s="254"/>
      <c r="M181" s="254"/>
      <c r="N181" s="254"/>
      <c r="O181" s="254"/>
      <c r="P181" s="254"/>
      <c r="Q181" s="251" t="s">
        <v>110</v>
      </c>
      <c r="R181" s="122"/>
      <c r="S181" s="122"/>
      <c r="T181" s="122"/>
      <c r="U181" s="122"/>
      <c r="V181" s="122"/>
      <c r="W181" s="122"/>
    </row>
    <row r="182">
      <c r="A182" s="122"/>
      <c r="B182" s="247">
        <f t="shared" si="1"/>
        <v>46269</v>
      </c>
      <c r="C182" s="249"/>
      <c r="D182" s="249"/>
      <c r="E182" s="249"/>
      <c r="F182" s="249"/>
      <c r="G182" s="249" t="s">
        <v>110</v>
      </c>
      <c r="H182" s="249"/>
      <c r="I182" s="249"/>
      <c r="J182" s="256"/>
      <c r="L182" s="249"/>
      <c r="M182" s="249"/>
      <c r="N182" s="249"/>
      <c r="O182" s="249"/>
      <c r="P182" s="249"/>
      <c r="Q182" s="251" t="s">
        <v>110</v>
      </c>
      <c r="R182" s="122"/>
      <c r="S182" s="122"/>
      <c r="T182" s="122"/>
      <c r="U182" s="122"/>
      <c r="V182" s="122"/>
      <c r="W182" s="122"/>
    </row>
    <row r="183">
      <c r="A183" s="122"/>
      <c r="B183" s="252">
        <f t="shared" si="1"/>
        <v>46270</v>
      </c>
      <c r="C183" s="254"/>
      <c r="D183" s="254"/>
      <c r="E183" s="254"/>
      <c r="F183" s="254"/>
      <c r="G183" s="254" t="s">
        <v>110</v>
      </c>
      <c r="H183" s="254"/>
      <c r="I183" s="254"/>
      <c r="J183" s="255"/>
      <c r="L183" s="254"/>
      <c r="M183" s="254"/>
      <c r="N183" s="254"/>
      <c r="O183" s="254"/>
      <c r="P183" s="254"/>
      <c r="Q183" s="251" t="s">
        <v>110</v>
      </c>
      <c r="R183" s="122"/>
      <c r="S183" s="122"/>
      <c r="T183" s="122"/>
      <c r="U183" s="122"/>
      <c r="V183" s="122"/>
      <c r="W183" s="122"/>
    </row>
    <row r="184">
      <c r="A184" s="122"/>
      <c r="B184" s="247">
        <f t="shared" si="1"/>
        <v>46271</v>
      </c>
      <c r="C184" s="249"/>
      <c r="D184" s="249"/>
      <c r="E184" s="249"/>
      <c r="F184" s="249"/>
      <c r="G184" s="249" t="s">
        <v>110</v>
      </c>
      <c r="H184" s="249"/>
      <c r="I184" s="249"/>
      <c r="J184" s="256"/>
      <c r="L184" s="249"/>
      <c r="M184" s="249"/>
      <c r="N184" s="249"/>
      <c r="O184" s="249"/>
      <c r="P184" s="249"/>
      <c r="Q184" s="251" t="s">
        <v>110</v>
      </c>
      <c r="R184" s="122"/>
      <c r="S184" s="122"/>
      <c r="T184" s="122"/>
      <c r="U184" s="122"/>
      <c r="V184" s="122"/>
      <c r="W184" s="122"/>
    </row>
    <row r="185">
      <c r="A185" s="122"/>
      <c r="B185" s="252">
        <f t="shared" si="1"/>
        <v>46272</v>
      </c>
      <c r="C185" s="254"/>
      <c r="D185" s="254"/>
      <c r="E185" s="254"/>
      <c r="F185" s="254"/>
      <c r="G185" s="254" t="s">
        <v>110</v>
      </c>
      <c r="H185" s="254"/>
      <c r="I185" s="254"/>
      <c r="J185" s="255"/>
      <c r="L185" s="254"/>
      <c r="M185" s="254"/>
      <c r="N185" s="254"/>
      <c r="O185" s="254"/>
      <c r="P185" s="254"/>
      <c r="Q185" s="251" t="s">
        <v>110</v>
      </c>
      <c r="R185" s="122"/>
      <c r="S185" s="122"/>
      <c r="T185" s="122"/>
      <c r="U185" s="122"/>
      <c r="V185" s="122"/>
      <c r="W185" s="122"/>
    </row>
    <row r="186">
      <c r="A186" s="122"/>
      <c r="B186" s="247">
        <f t="shared" si="1"/>
        <v>46273</v>
      </c>
      <c r="C186" s="249"/>
      <c r="D186" s="249"/>
      <c r="E186" s="249"/>
      <c r="F186" s="249"/>
      <c r="G186" s="249" t="s">
        <v>110</v>
      </c>
      <c r="H186" s="249"/>
      <c r="I186" s="249"/>
      <c r="J186" s="256"/>
      <c r="L186" s="249"/>
      <c r="M186" s="249"/>
      <c r="N186" s="249"/>
      <c r="O186" s="249"/>
      <c r="P186" s="249"/>
      <c r="Q186" s="251" t="s">
        <v>110</v>
      </c>
      <c r="R186" s="122"/>
      <c r="S186" s="122"/>
      <c r="T186" s="122"/>
      <c r="U186" s="122"/>
      <c r="V186" s="122"/>
      <c r="W186" s="122"/>
    </row>
    <row r="187">
      <c r="A187" s="122"/>
      <c r="B187" s="252">
        <f t="shared" si="1"/>
        <v>46274</v>
      </c>
      <c r="C187" s="254"/>
      <c r="D187" s="254"/>
      <c r="E187" s="254"/>
      <c r="F187" s="254"/>
      <c r="G187" s="254" t="s">
        <v>110</v>
      </c>
      <c r="H187" s="254"/>
      <c r="I187" s="254"/>
      <c r="J187" s="255"/>
      <c r="L187" s="254"/>
      <c r="M187" s="254"/>
      <c r="N187" s="254"/>
      <c r="O187" s="254"/>
      <c r="P187" s="254"/>
      <c r="Q187" s="251" t="s">
        <v>110</v>
      </c>
      <c r="R187" s="122"/>
      <c r="S187" s="122"/>
      <c r="T187" s="122"/>
      <c r="U187" s="122"/>
      <c r="V187" s="122"/>
      <c r="W187" s="122"/>
    </row>
    <row r="188">
      <c r="A188" s="122"/>
      <c r="B188" s="247">
        <f t="shared" si="1"/>
        <v>46275</v>
      </c>
      <c r="C188" s="249"/>
      <c r="D188" s="249"/>
      <c r="E188" s="249"/>
      <c r="F188" s="249"/>
      <c r="G188" s="249" t="s">
        <v>110</v>
      </c>
      <c r="H188" s="249"/>
      <c r="I188" s="249"/>
      <c r="J188" s="256"/>
      <c r="L188" s="249"/>
      <c r="M188" s="249"/>
      <c r="N188" s="249"/>
      <c r="O188" s="249"/>
      <c r="P188" s="249"/>
      <c r="Q188" s="251" t="s">
        <v>110</v>
      </c>
      <c r="R188" s="122"/>
      <c r="S188" s="122"/>
      <c r="T188" s="122"/>
      <c r="U188" s="122"/>
      <c r="V188" s="122"/>
      <c r="W188" s="122"/>
    </row>
    <row r="189">
      <c r="A189" s="122"/>
      <c r="B189" s="252">
        <f t="shared" si="1"/>
        <v>46276</v>
      </c>
      <c r="C189" s="254"/>
      <c r="D189" s="254"/>
      <c r="E189" s="254"/>
      <c r="F189" s="254"/>
      <c r="G189" s="254" t="s">
        <v>110</v>
      </c>
      <c r="H189" s="254"/>
      <c r="I189" s="254"/>
      <c r="J189" s="255"/>
      <c r="L189" s="254"/>
      <c r="M189" s="254"/>
      <c r="N189" s="254"/>
      <c r="O189" s="254"/>
      <c r="P189" s="254"/>
      <c r="Q189" s="251" t="s">
        <v>110</v>
      </c>
      <c r="R189" s="122"/>
      <c r="S189" s="122"/>
      <c r="T189" s="122"/>
      <c r="U189" s="122"/>
      <c r="V189" s="122"/>
      <c r="W189" s="122"/>
    </row>
    <row r="190">
      <c r="A190" s="122"/>
      <c r="B190" s="247">
        <f t="shared" si="1"/>
        <v>46277</v>
      </c>
      <c r="C190" s="249"/>
      <c r="D190" s="249"/>
      <c r="E190" s="249"/>
      <c r="F190" s="249"/>
      <c r="G190" s="249" t="s">
        <v>110</v>
      </c>
      <c r="H190" s="249"/>
      <c r="I190" s="249"/>
      <c r="J190" s="256"/>
      <c r="L190" s="249"/>
      <c r="M190" s="249"/>
      <c r="N190" s="249"/>
      <c r="O190" s="249"/>
      <c r="P190" s="249"/>
      <c r="Q190" s="251" t="s">
        <v>110</v>
      </c>
      <c r="R190" s="122"/>
      <c r="S190" s="122"/>
      <c r="T190" s="122"/>
      <c r="U190" s="122"/>
      <c r="V190" s="122"/>
      <c r="W190" s="122"/>
    </row>
    <row r="191">
      <c r="A191" s="122"/>
      <c r="B191" s="252">
        <f t="shared" si="1"/>
        <v>46278</v>
      </c>
      <c r="C191" s="254"/>
      <c r="D191" s="254"/>
      <c r="E191" s="254"/>
      <c r="F191" s="254"/>
      <c r="G191" s="254" t="s">
        <v>110</v>
      </c>
      <c r="H191" s="254"/>
      <c r="I191" s="254"/>
      <c r="J191" s="255"/>
      <c r="L191" s="254"/>
      <c r="M191" s="254"/>
      <c r="N191" s="254"/>
      <c r="O191" s="254"/>
      <c r="P191" s="254"/>
      <c r="Q191" s="251" t="s">
        <v>110</v>
      </c>
      <c r="R191" s="122"/>
      <c r="S191" s="122"/>
      <c r="T191" s="122"/>
      <c r="U191" s="122"/>
      <c r="V191" s="122"/>
      <c r="W191" s="122"/>
    </row>
    <row r="192">
      <c r="A192" s="122"/>
      <c r="B192" s="247">
        <f t="shared" si="1"/>
        <v>46279</v>
      </c>
      <c r="C192" s="249"/>
      <c r="D192" s="249"/>
      <c r="E192" s="249"/>
      <c r="F192" s="249"/>
      <c r="G192" s="249" t="s">
        <v>110</v>
      </c>
      <c r="H192" s="249"/>
      <c r="I192" s="249"/>
      <c r="J192" s="256"/>
      <c r="L192" s="249"/>
      <c r="M192" s="249"/>
      <c r="N192" s="249"/>
      <c r="O192" s="249"/>
      <c r="P192" s="249"/>
      <c r="Q192" s="251" t="s">
        <v>110</v>
      </c>
      <c r="R192" s="122"/>
      <c r="S192" s="122"/>
      <c r="T192" s="122"/>
      <c r="U192" s="122"/>
      <c r="V192" s="122"/>
      <c r="W192" s="122"/>
    </row>
    <row r="193">
      <c r="A193" s="122"/>
      <c r="B193" s="252">
        <f t="shared" si="1"/>
        <v>46280</v>
      </c>
      <c r="C193" s="254"/>
      <c r="D193" s="254"/>
      <c r="E193" s="254"/>
      <c r="F193" s="254"/>
      <c r="G193" s="254" t="s">
        <v>110</v>
      </c>
      <c r="H193" s="254"/>
      <c r="I193" s="254"/>
      <c r="J193" s="255"/>
      <c r="L193" s="254"/>
      <c r="M193" s="254"/>
      <c r="N193" s="254"/>
      <c r="O193" s="254"/>
      <c r="P193" s="254"/>
      <c r="Q193" s="251" t="s">
        <v>110</v>
      </c>
      <c r="R193" s="122"/>
      <c r="S193" s="122"/>
      <c r="T193" s="122"/>
      <c r="U193" s="122"/>
      <c r="V193" s="122"/>
      <c r="W193" s="122"/>
    </row>
    <row r="194">
      <c r="A194" s="122"/>
      <c r="B194" s="247">
        <f t="shared" si="1"/>
        <v>46281</v>
      </c>
      <c r="C194" s="249"/>
      <c r="D194" s="249"/>
      <c r="E194" s="249"/>
      <c r="F194" s="249"/>
      <c r="G194" s="249" t="s">
        <v>110</v>
      </c>
      <c r="H194" s="249"/>
      <c r="I194" s="249"/>
      <c r="J194" s="256"/>
      <c r="L194" s="249"/>
      <c r="M194" s="249"/>
      <c r="N194" s="249"/>
      <c r="O194" s="249"/>
      <c r="P194" s="249"/>
      <c r="Q194" s="251" t="s">
        <v>110</v>
      </c>
      <c r="R194" s="122"/>
      <c r="S194" s="122"/>
      <c r="T194" s="122"/>
      <c r="U194" s="122"/>
      <c r="V194" s="122"/>
      <c r="W194" s="122"/>
    </row>
    <row r="195">
      <c r="A195" s="122"/>
      <c r="B195" s="252">
        <f t="shared" si="1"/>
        <v>46282</v>
      </c>
      <c r="C195" s="254"/>
      <c r="D195" s="254"/>
      <c r="E195" s="254"/>
      <c r="F195" s="254"/>
      <c r="G195" s="254" t="s">
        <v>110</v>
      </c>
      <c r="H195" s="254"/>
      <c r="I195" s="254"/>
      <c r="J195" s="255"/>
      <c r="L195" s="254"/>
      <c r="M195" s="254"/>
      <c r="N195" s="254"/>
      <c r="O195" s="254"/>
      <c r="P195" s="254"/>
      <c r="Q195" s="251" t="s">
        <v>110</v>
      </c>
      <c r="R195" s="122"/>
      <c r="S195" s="122"/>
      <c r="T195" s="122"/>
      <c r="U195" s="122"/>
      <c r="V195" s="122"/>
      <c r="W195" s="122"/>
    </row>
    <row r="196">
      <c r="A196" s="122"/>
      <c r="B196" s="247">
        <f t="shared" si="1"/>
        <v>46283</v>
      </c>
      <c r="C196" s="249"/>
      <c r="D196" s="249"/>
      <c r="E196" s="249"/>
      <c r="F196" s="249"/>
      <c r="G196" s="249" t="s">
        <v>110</v>
      </c>
      <c r="H196" s="249"/>
      <c r="I196" s="249"/>
      <c r="J196" s="256"/>
      <c r="L196" s="249"/>
      <c r="M196" s="249"/>
      <c r="N196" s="249"/>
      <c r="O196" s="249"/>
      <c r="P196" s="249"/>
      <c r="Q196" s="251" t="s">
        <v>110</v>
      </c>
      <c r="R196" s="122"/>
      <c r="S196" s="122"/>
      <c r="T196" s="122"/>
      <c r="U196" s="122"/>
      <c r="V196" s="122"/>
      <c r="W196" s="122"/>
    </row>
    <row r="197">
      <c r="A197" s="122"/>
      <c r="B197" s="252">
        <f t="shared" si="1"/>
        <v>46284</v>
      </c>
      <c r="C197" s="254"/>
      <c r="D197" s="254"/>
      <c r="E197" s="254"/>
      <c r="F197" s="254"/>
      <c r="G197" s="254" t="s">
        <v>110</v>
      </c>
      <c r="H197" s="254"/>
      <c r="I197" s="254"/>
      <c r="J197" s="255"/>
      <c r="L197" s="254"/>
      <c r="M197" s="254"/>
      <c r="N197" s="254"/>
      <c r="O197" s="254"/>
      <c r="P197" s="254"/>
      <c r="Q197" s="251" t="s">
        <v>110</v>
      </c>
      <c r="R197" s="122"/>
      <c r="S197" s="122"/>
      <c r="T197" s="122"/>
      <c r="U197" s="122"/>
      <c r="V197" s="122"/>
      <c r="W197" s="122"/>
    </row>
    <row r="198">
      <c r="A198" s="122"/>
      <c r="B198" s="247">
        <f t="shared" si="1"/>
        <v>46285</v>
      </c>
      <c r="C198" s="249"/>
      <c r="D198" s="249"/>
      <c r="E198" s="249"/>
      <c r="F198" s="249"/>
      <c r="G198" s="249" t="s">
        <v>110</v>
      </c>
      <c r="H198" s="249"/>
      <c r="I198" s="249"/>
      <c r="J198" s="256"/>
      <c r="L198" s="249"/>
      <c r="M198" s="249"/>
      <c r="N198" s="249"/>
      <c r="O198" s="249"/>
      <c r="P198" s="249"/>
      <c r="Q198" s="251" t="s">
        <v>110</v>
      </c>
      <c r="R198" s="122"/>
      <c r="S198" s="122"/>
      <c r="T198" s="122"/>
      <c r="U198" s="122"/>
      <c r="V198" s="122"/>
      <c r="W198" s="122"/>
    </row>
    <row r="199">
      <c r="A199" s="122"/>
      <c r="B199" s="252">
        <f t="shared" si="1"/>
        <v>46286</v>
      </c>
      <c r="C199" s="254"/>
      <c r="D199" s="254"/>
      <c r="E199" s="254"/>
      <c r="F199" s="254"/>
      <c r="G199" s="254" t="s">
        <v>110</v>
      </c>
      <c r="H199" s="254"/>
      <c r="I199" s="254"/>
      <c r="J199" s="255"/>
      <c r="L199" s="254"/>
      <c r="M199" s="254"/>
      <c r="N199" s="254"/>
      <c r="O199" s="254"/>
      <c r="P199" s="254"/>
      <c r="Q199" s="251" t="s">
        <v>110</v>
      </c>
      <c r="R199" s="122"/>
      <c r="S199" s="122"/>
      <c r="T199" s="122"/>
      <c r="U199" s="122"/>
      <c r="V199" s="122"/>
      <c r="W199" s="122"/>
    </row>
    <row r="200">
      <c r="A200" s="122"/>
      <c r="B200" s="247">
        <f t="shared" si="1"/>
        <v>46287</v>
      </c>
      <c r="C200" s="249"/>
      <c r="D200" s="249"/>
      <c r="E200" s="249"/>
      <c r="F200" s="249"/>
      <c r="G200" s="249" t="s">
        <v>110</v>
      </c>
      <c r="H200" s="249"/>
      <c r="I200" s="249"/>
      <c r="J200" s="256"/>
      <c r="L200" s="249"/>
      <c r="M200" s="249"/>
      <c r="N200" s="249"/>
      <c r="O200" s="249"/>
      <c r="P200" s="249"/>
      <c r="Q200" s="251" t="s">
        <v>110</v>
      </c>
      <c r="R200" s="122"/>
      <c r="S200" s="122"/>
      <c r="T200" s="122"/>
      <c r="U200" s="122"/>
      <c r="V200" s="122"/>
      <c r="W200" s="122"/>
    </row>
    <row r="201">
      <c r="A201" s="122"/>
      <c r="B201" s="252">
        <f t="shared" si="1"/>
        <v>46288</v>
      </c>
      <c r="C201" s="254"/>
      <c r="D201" s="254"/>
      <c r="E201" s="254"/>
      <c r="F201" s="254"/>
      <c r="G201" s="254" t="s">
        <v>110</v>
      </c>
      <c r="H201" s="254"/>
      <c r="I201" s="254"/>
      <c r="J201" s="255"/>
      <c r="L201" s="254"/>
      <c r="M201" s="254"/>
      <c r="N201" s="254"/>
      <c r="O201" s="254"/>
      <c r="P201" s="254"/>
      <c r="Q201" s="251" t="s">
        <v>110</v>
      </c>
      <c r="R201" s="122"/>
      <c r="S201" s="122"/>
      <c r="T201" s="122"/>
      <c r="U201" s="122"/>
      <c r="V201" s="122"/>
      <c r="W201" s="122"/>
    </row>
    <row r="202">
      <c r="A202" s="122"/>
      <c r="B202" s="247">
        <f t="shared" si="1"/>
        <v>46289</v>
      </c>
      <c r="C202" s="249"/>
      <c r="D202" s="249"/>
      <c r="E202" s="249"/>
      <c r="F202" s="249"/>
      <c r="G202" s="249" t="s">
        <v>110</v>
      </c>
      <c r="H202" s="249"/>
      <c r="I202" s="249"/>
      <c r="J202" s="256"/>
      <c r="L202" s="249"/>
      <c r="M202" s="249"/>
      <c r="N202" s="249"/>
      <c r="O202" s="249"/>
      <c r="P202" s="249"/>
      <c r="Q202" s="251" t="s">
        <v>110</v>
      </c>
      <c r="R202" s="122"/>
      <c r="S202" s="122"/>
      <c r="T202" s="122"/>
      <c r="U202" s="122"/>
      <c r="V202" s="122"/>
      <c r="W202" s="122"/>
    </row>
    <row r="203">
      <c r="A203" s="122"/>
      <c r="B203" s="252">
        <f t="shared" si="1"/>
        <v>46290</v>
      </c>
      <c r="C203" s="254"/>
      <c r="D203" s="254"/>
      <c r="E203" s="254"/>
      <c r="F203" s="254"/>
      <c r="G203" s="254" t="s">
        <v>110</v>
      </c>
      <c r="H203" s="254"/>
      <c r="I203" s="254"/>
      <c r="J203" s="255"/>
      <c r="L203" s="254"/>
      <c r="M203" s="254"/>
      <c r="N203" s="254"/>
      <c r="O203" s="254"/>
      <c r="P203" s="254"/>
      <c r="Q203" s="251" t="s">
        <v>110</v>
      </c>
      <c r="R203" s="122"/>
      <c r="S203" s="122"/>
      <c r="T203" s="122"/>
      <c r="U203" s="122"/>
      <c r="V203" s="122"/>
      <c r="W203" s="122"/>
    </row>
    <row r="204">
      <c r="A204" s="122"/>
      <c r="B204" s="247">
        <f t="shared" si="1"/>
        <v>46291</v>
      </c>
      <c r="C204" s="249"/>
      <c r="D204" s="249"/>
      <c r="E204" s="249"/>
      <c r="F204" s="249"/>
      <c r="G204" s="249" t="s">
        <v>110</v>
      </c>
      <c r="H204" s="249"/>
      <c r="I204" s="249"/>
      <c r="J204" s="256"/>
      <c r="L204" s="249"/>
      <c r="M204" s="249"/>
      <c r="N204" s="249"/>
      <c r="O204" s="249"/>
      <c r="P204" s="249"/>
      <c r="Q204" s="251" t="s">
        <v>110</v>
      </c>
      <c r="R204" s="122"/>
      <c r="S204" s="122"/>
      <c r="T204" s="122"/>
      <c r="U204" s="122"/>
      <c r="V204" s="122"/>
      <c r="W204" s="122"/>
    </row>
    <row r="205">
      <c r="A205" s="122"/>
      <c r="B205" s="252">
        <f t="shared" si="1"/>
        <v>46292</v>
      </c>
      <c r="C205" s="254"/>
      <c r="D205" s="254"/>
      <c r="E205" s="254"/>
      <c r="F205" s="254"/>
      <c r="G205" s="254" t="s">
        <v>110</v>
      </c>
      <c r="H205" s="254"/>
      <c r="I205" s="254"/>
      <c r="J205" s="255"/>
      <c r="L205" s="254"/>
      <c r="M205" s="254"/>
      <c r="N205" s="254"/>
      <c r="O205" s="254"/>
      <c r="P205" s="254"/>
      <c r="Q205" s="251" t="s">
        <v>110</v>
      </c>
      <c r="R205" s="122"/>
      <c r="S205" s="122"/>
      <c r="T205" s="122"/>
      <c r="U205" s="122"/>
      <c r="V205" s="122"/>
      <c r="W205" s="122"/>
    </row>
    <row r="206">
      <c r="A206" s="122"/>
      <c r="B206" s="247">
        <f t="shared" si="1"/>
        <v>46293</v>
      </c>
      <c r="C206" s="249"/>
      <c r="D206" s="249"/>
      <c r="E206" s="249"/>
      <c r="F206" s="249"/>
      <c r="G206" s="249" t="s">
        <v>110</v>
      </c>
      <c r="H206" s="249"/>
      <c r="I206" s="249"/>
      <c r="J206" s="256"/>
      <c r="L206" s="249"/>
      <c r="M206" s="249"/>
      <c r="N206" s="249"/>
      <c r="O206" s="249"/>
      <c r="P206" s="249"/>
      <c r="Q206" s="251" t="s">
        <v>110</v>
      </c>
      <c r="R206" s="122"/>
      <c r="S206" s="122"/>
      <c r="T206" s="122"/>
      <c r="U206" s="122"/>
      <c r="V206" s="122"/>
      <c r="W206" s="122"/>
    </row>
    <row r="207">
      <c r="A207" s="122"/>
      <c r="B207" s="252">
        <f t="shared" si="1"/>
        <v>46294</v>
      </c>
      <c r="C207" s="254"/>
      <c r="D207" s="254"/>
      <c r="E207" s="254"/>
      <c r="F207" s="254"/>
      <c r="G207" s="254" t="s">
        <v>110</v>
      </c>
      <c r="H207" s="254"/>
      <c r="I207" s="254"/>
      <c r="J207" s="255"/>
      <c r="L207" s="254"/>
      <c r="M207" s="254"/>
      <c r="N207" s="254"/>
      <c r="O207" s="254"/>
      <c r="P207" s="254"/>
      <c r="Q207" s="251" t="s">
        <v>110</v>
      </c>
      <c r="R207" s="122"/>
      <c r="S207" s="122"/>
      <c r="T207" s="122"/>
      <c r="U207" s="122"/>
      <c r="V207" s="122"/>
      <c r="W207" s="122"/>
    </row>
    <row r="208">
      <c r="A208" s="122"/>
      <c r="B208" s="247">
        <f t="shared" si="1"/>
        <v>46295</v>
      </c>
      <c r="C208" s="249"/>
      <c r="D208" s="249"/>
      <c r="E208" s="249"/>
      <c r="F208" s="249"/>
      <c r="G208" s="249" t="s">
        <v>110</v>
      </c>
      <c r="H208" s="249"/>
      <c r="I208" s="249"/>
      <c r="J208" s="256"/>
      <c r="L208" s="249"/>
      <c r="M208" s="249"/>
      <c r="N208" s="249"/>
      <c r="O208" s="249"/>
      <c r="P208" s="249"/>
      <c r="Q208" s="251" t="s">
        <v>110</v>
      </c>
      <c r="R208" s="122"/>
      <c r="S208" s="122"/>
      <c r="T208" s="122"/>
      <c r="U208" s="122"/>
      <c r="V208" s="122"/>
      <c r="W208" s="122"/>
    </row>
    <row r="209">
      <c r="A209" s="122"/>
      <c r="B209" s="252">
        <f t="shared" si="1"/>
        <v>46296</v>
      </c>
      <c r="C209" s="254"/>
      <c r="D209" s="254"/>
      <c r="E209" s="254"/>
      <c r="F209" s="254"/>
      <c r="G209" s="254" t="s">
        <v>110</v>
      </c>
      <c r="H209" s="254"/>
      <c r="I209" s="254"/>
      <c r="J209" s="255"/>
      <c r="L209" s="254"/>
      <c r="M209" s="254"/>
      <c r="N209" s="254"/>
      <c r="O209" s="254"/>
      <c r="P209" s="254"/>
      <c r="Q209" s="251" t="s">
        <v>110</v>
      </c>
      <c r="R209" s="122"/>
      <c r="S209" s="122"/>
      <c r="T209" s="122"/>
      <c r="U209" s="122"/>
      <c r="V209" s="122"/>
      <c r="W209" s="122"/>
    </row>
    <row r="210">
      <c r="A210" s="122"/>
      <c r="B210" s="247">
        <f t="shared" si="1"/>
        <v>46297</v>
      </c>
      <c r="C210" s="249"/>
      <c r="D210" s="249"/>
      <c r="E210" s="249"/>
      <c r="F210" s="249"/>
      <c r="G210" s="249" t="s">
        <v>110</v>
      </c>
      <c r="H210" s="249"/>
      <c r="I210" s="249"/>
      <c r="J210" s="256"/>
      <c r="L210" s="249"/>
      <c r="M210" s="249"/>
      <c r="N210" s="249"/>
      <c r="O210" s="249"/>
      <c r="P210" s="249"/>
      <c r="Q210" s="251" t="s">
        <v>110</v>
      </c>
      <c r="R210" s="122"/>
      <c r="S210" s="122"/>
      <c r="T210" s="122"/>
      <c r="U210" s="122"/>
      <c r="V210" s="122"/>
      <c r="W210" s="122"/>
    </row>
    <row r="211">
      <c r="A211" s="122"/>
      <c r="B211" s="252">
        <f t="shared" si="1"/>
        <v>46298</v>
      </c>
      <c r="C211" s="254"/>
      <c r="D211" s="254"/>
      <c r="E211" s="254"/>
      <c r="F211" s="254"/>
      <c r="G211" s="254" t="s">
        <v>110</v>
      </c>
      <c r="H211" s="254"/>
      <c r="I211" s="254"/>
      <c r="J211" s="255"/>
      <c r="L211" s="254"/>
      <c r="M211" s="254"/>
      <c r="N211" s="254"/>
      <c r="O211" s="254"/>
      <c r="P211" s="254"/>
      <c r="Q211" s="251" t="s">
        <v>110</v>
      </c>
      <c r="R211" s="122"/>
      <c r="S211" s="122"/>
      <c r="T211" s="122"/>
      <c r="U211" s="122"/>
      <c r="V211" s="122"/>
      <c r="W211" s="122"/>
    </row>
    <row r="212">
      <c r="A212" s="122"/>
      <c r="B212" s="247">
        <f t="shared" si="1"/>
        <v>46299</v>
      </c>
      <c r="C212" s="249"/>
      <c r="D212" s="249"/>
      <c r="E212" s="249"/>
      <c r="F212" s="249"/>
      <c r="G212" s="249" t="s">
        <v>110</v>
      </c>
      <c r="H212" s="249"/>
      <c r="I212" s="249"/>
      <c r="J212" s="256"/>
      <c r="L212" s="249"/>
      <c r="M212" s="249"/>
      <c r="N212" s="249"/>
      <c r="O212" s="249"/>
      <c r="P212" s="249"/>
      <c r="Q212" s="251" t="s">
        <v>110</v>
      </c>
      <c r="R212" s="122"/>
      <c r="S212" s="122"/>
      <c r="T212" s="122"/>
      <c r="U212" s="122"/>
      <c r="V212" s="122"/>
      <c r="W212" s="122"/>
    </row>
    <row r="213">
      <c r="A213" s="122"/>
      <c r="B213" s="252">
        <f t="shared" si="1"/>
        <v>46300</v>
      </c>
      <c r="C213" s="254"/>
      <c r="D213" s="254"/>
      <c r="E213" s="254"/>
      <c r="F213" s="254"/>
      <c r="G213" s="254" t="s">
        <v>110</v>
      </c>
      <c r="H213" s="254"/>
      <c r="I213" s="254"/>
      <c r="J213" s="255"/>
      <c r="L213" s="254"/>
      <c r="M213" s="254"/>
      <c r="N213" s="254"/>
      <c r="O213" s="254"/>
      <c r="P213" s="254"/>
      <c r="Q213" s="251" t="s">
        <v>110</v>
      </c>
      <c r="R213" s="122"/>
      <c r="S213" s="122"/>
      <c r="T213" s="122"/>
      <c r="U213" s="122"/>
      <c r="V213" s="122"/>
      <c r="W213" s="122"/>
    </row>
    <row r="214">
      <c r="A214" s="122"/>
      <c r="B214" s="247">
        <f t="shared" si="1"/>
        <v>46301</v>
      </c>
      <c r="C214" s="249"/>
      <c r="D214" s="249"/>
      <c r="E214" s="249"/>
      <c r="F214" s="249"/>
      <c r="G214" s="249" t="s">
        <v>110</v>
      </c>
      <c r="H214" s="249"/>
      <c r="I214" s="249"/>
      <c r="J214" s="256"/>
      <c r="L214" s="249"/>
      <c r="M214" s="249"/>
      <c r="N214" s="249"/>
      <c r="O214" s="249"/>
      <c r="P214" s="249"/>
      <c r="Q214" s="251" t="s">
        <v>110</v>
      </c>
      <c r="R214" s="122"/>
      <c r="S214" s="122"/>
      <c r="T214" s="122"/>
      <c r="U214" s="122"/>
      <c r="V214" s="122"/>
      <c r="W214" s="122"/>
    </row>
    <row r="215">
      <c r="A215" s="122"/>
      <c r="B215" s="252">
        <f t="shared" si="1"/>
        <v>46302</v>
      </c>
      <c r="C215" s="254"/>
      <c r="D215" s="254"/>
      <c r="E215" s="254"/>
      <c r="F215" s="254"/>
      <c r="G215" s="254" t="s">
        <v>110</v>
      </c>
      <c r="H215" s="254"/>
      <c r="I215" s="254"/>
      <c r="J215" s="255"/>
      <c r="L215" s="254"/>
      <c r="M215" s="254"/>
      <c r="N215" s="254"/>
      <c r="O215" s="254"/>
      <c r="P215" s="254"/>
      <c r="Q215" s="251" t="s">
        <v>110</v>
      </c>
      <c r="R215" s="122"/>
      <c r="S215" s="122"/>
      <c r="T215" s="122"/>
      <c r="U215" s="122"/>
      <c r="V215" s="122"/>
      <c r="W215" s="122"/>
    </row>
    <row r="216">
      <c r="A216" s="122"/>
      <c r="B216" s="247">
        <f t="shared" si="1"/>
        <v>46303</v>
      </c>
      <c r="C216" s="249"/>
      <c r="D216" s="249"/>
      <c r="E216" s="249"/>
      <c r="F216" s="249"/>
      <c r="G216" s="249" t="s">
        <v>110</v>
      </c>
      <c r="H216" s="249"/>
      <c r="I216" s="249"/>
      <c r="J216" s="256"/>
      <c r="L216" s="249"/>
      <c r="M216" s="249"/>
      <c r="N216" s="249"/>
      <c r="O216" s="249"/>
      <c r="P216" s="249"/>
      <c r="Q216" s="251" t="s">
        <v>110</v>
      </c>
      <c r="R216" s="122"/>
      <c r="S216" s="122"/>
      <c r="T216" s="122"/>
      <c r="U216" s="122"/>
      <c r="V216" s="122"/>
      <c r="W216" s="122"/>
    </row>
    <row r="217">
      <c r="A217" s="122"/>
      <c r="B217" s="252">
        <f t="shared" si="1"/>
        <v>46304</v>
      </c>
      <c r="C217" s="254"/>
      <c r="D217" s="254"/>
      <c r="E217" s="254"/>
      <c r="F217" s="254"/>
      <c r="G217" s="254" t="s">
        <v>110</v>
      </c>
      <c r="H217" s="254"/>
      <c r="I217" s="254"/>
      <c r="J217" s="255"/>
      <c r="L217" s="254"/>
      <c r="M217" s="254"/>
      <c r="N217" s="254"/>
      <c r="O217" s="254"/>
      <c r="P217" s="254"/>
      <c r="Q217" s="251" t="s">
        <v>110</v>
      </c>
      <c r="R217" s="122"/>
      <c r="S217" s="122"/>
      <c r="T217" s="122"/>
      <c r="U217" s="122"/>
      <c r="V217" s="122"/>
      <c r="W217" s="122"/>
    </row>
    <row r="218">
      <c r="A218" s="122"/>
      <c r="B218" s="247">
        <f t="shared" si="1"/>
        <v>46305</v>
      </c>
      <c r="C218" s="249"/>
      <c r="D218" s="249"/>
      <c r="E218" s="249"/>
      <c r="F218" s="249"/>
      <c r="G218" s="249" t="s">
        <v>110</v>
      </c>
      <c r="H218" s="249"/>
      <c r="I218" s="249"/>
      <c r="J218" s="256"/>
      <c r="L218" s="249"/>
      <c r="M218" s="249"/>
      <c r="N218" s="249"/>
      <c r="O218" s="249"/>
      <c r="P218" s="249"/>
      <c r="Q218" s="251" t="s">
        <v>110</v>
      </c>
      <c r="R218" s="122"/>
      <c r="S218" s="122"/>
      <c r="T218" s="122"/>
      <c r="U218" s="122"/>
      <c r="V218" s="122"/>
      <c r="W218" s="122"/>
    </row>
    <row r="219">
      <c r="A219" s="122"/>
      <c r="B219" s="252">
        <f t="shared" si="1"/>
        <v>46306</v>
      </c>
      <c r="C219" s="254"/>
      <c r="D219" s="254"/>
      <c r="E219" s="254"/>
      <c r="F219" s="254"/>
      <c r="G219" s="254" t="s">
        <v>110</v>
      </c>
      <c r="H219" s="254"/>
      <c r="I219" s="254"/>
      <c r="J219" s="255"/>
      <c r="L219" s="254"/>
      <c r="M219" s="254"/>
      <c r="N219" s="254"/>
      <c r="O219" s="254"/>
      <c r="P219" s="254"/>
      <c r="Q219" s="251" t="s">
        <v>110</v>
      </c>
      <c r="R219" s="122"/>
      <c r="S219" s="122"/>
      <c r="T219" s="122"/>
      <c r="U219" s="122"/>
      <c r="V219" s="122"/>
      <c r="W219" s="122"/>
    </row>
    <row r="220">
      <c r="A220" s="122"/>
      <c r="B220" s="247">
        <f t="shared" si="1"/>
        <v>46307</v>
      </c>
      <c r="C220" s="249"/>
      <c r="D220" s="249"/>
      <c r="E220" s="249"/>
      <c r="F220" s="249"/>
      <c r="G220" s="249" t="s">
        <v>110</v>
      </c>
      <c r="H220" s="249"/>
      <c r="I220" s="249"/>
      <c r="J220" s="256"/>
      <c r="L220" s="249"/>
      <c r="M220" s="249"/>
      <c r="N220" s="249"/>
      <c r="O220" s="249"/>
      <c r="P220" s="249"/>
      <c r="Q220" s="251" t="s">
        <v>110</v>
      </c>
      <c r="R220" s="122"/>
      <c r="S220" s="122"/>
      <c r="T220" s="122"/>
      <c r="U220" s="122"/>
      <c r="V220" s="122"/>
      <c r="W220" s="122"/>
    </row>
    <row r="221">
      <c r="A221" s="122"/>
      <c r="B221" s="252">
        <f t="shared" si="1"/>
        <v>46308</v>
      </c>
      <c r="C221" s="254"/>
      <c r="D221" s="254"/>
      <c r="E221" s="254"/>
      <c r="F221" s="254"/>
      <c r="G221" s="254" t="s">
        <v>110</v>
      </c>
      <c r="H221" s="254"/>
      <c r="I221" s="254"/>
      <c r="J221" s="255"/>
      <c r="L221" s="254"/>
      <c r="M221" s="254"/>
      <c r="N221" s="254"/>
      <c r="O221" s="254"/>
      <c r="P221" s="254"/>
      <c r="Q221" s="251" t="s">
        <v>110</v>
      </c>
      <c r="R221" s="122"/>
      <c r="S221" s="122"/>
      <c r="T221" s="122"/>
      <c r="U221" s="122"/>
      <c r="V221" s="122"/>
      <c r="W221" s="122"/>
    </row>
    <row r="222">
      <c r="A222" s="122"/>
      <c r="B222" s="247">
        <f t="shared" si="1"/>
        <v>46309</v>
      </c>
      <c r="C222" s="249"/>
      <c r="D222" s="249"/>
      <c r="E222" s="249"/>
      <c r="F222" s="249"/>
      <c r="G222" s="249" t="s">
        <v>110</v>
      </c>
      <c r="H222" s="249"/>
      <c r="I222" s="249"/>
      <c r="J222" s="256"/>
      <c r="L222" s="249"/>
      <c r="M222" s="249"/>
      <c r="N222" s="249"/>
      <c r="O222" s="249"/>
      <c r="P222" s="249"/>
      <c r="Q222" s="251" t="s">
        <v>110</v>
      </c>
      <c r="R222" s="122"/>
      <c r="S222" s="122"/>
      <c r="T222" s="122"/>
      <c r="U222" s="122"/>
      <c r="V222" s="122"/>
      <c r="W222" s="122"/>
    </row>
    <row r="223">
      <c r="A223" s="122"/>
      <c r="B223" s="252">
        <f t="shared" si="1"/>
        <v>46310</v>
      </c>
      <c r="C223" s="254"/>
      <c r="D223" s="254"/>
      <c r="E223" s="254"/>
      <c r="F223" s="254"/>
      <c r="G223" s="254" t="s">
        <v>110</v>
      </c>
      <c r="H223" s="254"/>
      <c r="I223" s="254"/>
      <c r="J223" s="255"/>
      <c r="L223" s="254"/>
      <c r="M223" s="254"/>
      <c r="N223" s="254"/>
      <c r="O223" s="254"/>
      <c r="P223" s="254"/>
      <c r="Q223" s="251" t="s">
        <v>110</v>
      </c>
      <c r="R223" s="122"/>
      <c r="S223" s="122"/>
      <c r="T223" s="122"/>
      <c r="U223" s="122"/>
      <c r="V223" s="122"/>
      <c r="W223" s="122"/>
    </row>
    <row r="224">
      <c r="A224" s="122"/>
      <c r="B224" s="247">
        <f t="shared" si="1"/>
        <v>46311</v>
      </c>
      <c r="C224" s="249"/>
      <c r="D224" s="249"/>
      <c r="E224" s="249"/>
      <c r="F224" s="249"/>
      <c r="G224" s="249" t="s">
        <v>110</v>
      </c>
      <c r="H224" s="249"/>
      <c r="I224" s="249"/>
      <c r="J224" s="256"/>
      <c r="L224" s="249"/>
      <c r="M224" s="249"/>
      <c r="N224" s="249"/>
      <c r="O224" s="249"/>
      <c r="P224" s="249"/>
      <c r="Q224" s="251" t="s">
        <v>110</v>
      </c>
      <c r="R224" s="122"/>
      <c r="S224" s="122"/>
      <c r="T224" s="122"/>
      <c r="U224" s="122"/>
      <c r="V224" s="122"/>
      <c r="W224" s="122"/>
    </row>
    <row r="225">
      <c r="A225" s="122"/>
      <c r="B225" s="252">
        <f t="shared" si="1"/>
        <v>46312</v>
      </c>
      <c r="C225" s="254"/>
      <c r="D225" s="254"/>
      <c r="E225" s="254"/>
      <c r="F225" s="254"/>
      <c r="G225" s="254" t="s">
        <v>110</v>
      </c>
      <c r="H225" s="254"/>
      <c r="I225" s="254"/>
      <c r="J225" s="255"/>
      <c r="L225" s="254"/>
      <c r="M225" s="254"/>
      <c r="N225" s="254"/>
      <c r="O225" s="254"/>
      <c r="P225" s="254"/>
      <c r="Q225" s="251" t="s">
        <v>110</v>
      </c>
      <c r="R225" s="122"/>
      <c r="S225" s="122"/>
      <c r="T225" s="122"/>
      <c r="U225" s="122"/>
      <c r="V225" s="122"/>
      <c r="W225" s="122"/>
    </row>
    <row r="226">
      <c r="A226" s="122"/>
      <c r="B226" s="247">
        <f t="shared" si="1"/>
        <v>46313</v>
      </c>
      <c r="C226" s="249"/>
      <c r="D226" s="249"/>
      <c r="E226" s="249"/>
      <c r="F226" s="249"/>
      <c r="G226" s="249" t="s">
        <v>110</v>
      </c>
      <c r="H226" s="249"/>
      <c r="I226" s="249"/>
      <c r="J226" s="256"/>
      <c r="L226" s="249"/>
      <c r="M226" s="249"/>
      <c r="N226" s="249"/>
      <c r="O226" s="249"/>
      <c r="P226" s="249"/>
      <c r="Q226" s="251" t="s">
        <v>110</v>
      </c>
      <c r="R226" s="122"/>
      <c r="S226" s="122"/>
      <c r="T226" s="122"/>
      <c r="U226" s="122"/>
      <c r="V226" s="122"/>
      <c r="W226" s="122"/>
    </row>
    <row r="227">
      <c r="A227" s="122"/>
      <c r="B227" s="252">
        <f t="shared" si="1"/>
        <v>46314</v>
      </c>
      <c r="C227" s="254"/>
      <c r="D227" s="254"/>
      <c r="E227" s="254"/>
      <c r="F227" s="254"/>
      <c r="G227" s="254" t="s">
        <v>110</v>
      </c>
      <c r="H227" s="254"/>
      <c r="I227" s="254"/>
      <c r="J227" s="255"/>
      <c r="L227" s="254"/>
      <c r="M227" s="254"/>
      <c r="N227" s="254"/>
      <c r="O227" s="254"/>
      <c r="P227" s="254"/>
      <c r="Q227" s="251" t="s">
        <v>110</v>
      </c>
      <c r="R227" s="122"/>
      <c r="S227" s="122"/>
      <c r="T227" s="122"/>
      <c r="U227" s="122"/>
      <c r="V227" s="122"/>
      <c r="W227" s="122"/>
    </row>
    <row r="228">
      <c r="A228" s="122"/>
      <c r="B228" s="247">
        <f t="shared" si="1"/>
        <v>46315</v>
      </c>
      <c r="C228" s="249"/>
      <c r="D228" s="249"/>
      <c r="E228" s="249"/>
      <c r="F228" s="249"/>
      <c r="G228" s="249" t="s">
        <v>110</v>
      </c>
      <c r="H228" s="249"/>
      <c r="I228" s="249"/>
      <c r="J228" s="256"/>
      <c r="L228" s="249"/>
      <c r="M228" s="249"/>
      <c r="N228" s="249"/>
      <c r="O228" s="249"/>
      <c r="P228" s="249"/>
      <c r="Q228" s="251" t="s">
        <v>110</v>
      </c>
      <c r="R228" s="122"/>
      <c r="S228" s="122"/>
      <c r="T228" s="122"/>
      <c r="U228" s="122"/>
      <c r="V228" s="122"/>
      <c r="W228" s="122"/>
    </row>
    <row r="229">
      <c r="A229" s="122"/>
      <c r="B229" s="252">
        <f t="shared" si="1"/>
        <v>46316</v>
      </c>
      <c r="C229" s="254"/>
      <c r="D229" s="254"/>
      <c r="E229" s="254"/>
      <c r="F229" s="254"/>
      <c r="G229" s="254" t="s">
        <v>110</v>
      </c>
      <c r="H229" s="254"/>
      <c r="I229" s="254"/>
      <c r="J229" s="255"/>
      <c r="L229" s="254"/>
      <c r="M229" s="254"/>
      <c r="N229" s="254"/>
      <c r="O229" s="254"/>
      <c r="P229" s="254"/>
      <c r="Q229" s="251" t="s">
        <v>110</v>
      </c>
      <c r="R229" s="122"/>
      <c r="S229" s="122"/>
      <c r="T229" s="122"/>
      <c r="U229" s="122"/>
      <c r="V229" s="122"/>
      <c r="W229" s="122"/>
    </row>
    <row r="230">
      <c r="A230" s="122"/>
      <c r="B230" s="247">
        <f t="shared" si="1"/>
        <v>46317</v>
      </c>
      <c r="C230" s="249"/>
      <c r="D230" s="249"/>
      <c r="E230" s="249"/>
      <c r="F230" s="249"/>
      <c r="G230" s="249" t="s">
        <v>110</v>
      </c>
      <c r="H230" s="249"/>
      <c r="I230" s="249"/>
      <c r="J230" s="256"/>
      <c r="L230" s="249"/>
      <c r="M230" s="249"/>
      <c r="N230" s="249"/>
      <c r="O230" s="249"/>
      <c r="P230" s="249"/>
      <c r="Q230" s="251" t="s">
        <v>110</v>
      </c>
      <c r="R230" s="122"/>
      <c r="S230" s="122"/>
      <c r="T230" s="122"/>
      <c r="U230" s="122"/>
      <c r="V230" s="122"/>
      <c r="W230" s="122"/>
    </row>
    <row r="231">
      <c r="A231" s="122"/>
      <c r="B231" s="252">
        <f t="shared" si="1"/>
        <v>46318</v>
      </c>
      <c r="C231" s="254"/>
      <c r="D231" s="254"/>
      <c r="E231" s="254"/>
      <c r="F231" s="254"/>
      <c r="G231" s="254" t="s">
        <v>110</v>
      </c>
      <c r="H231" s="254"/>
      <c r="I231" s="254"/>
      <c r="J231" s="255"/>
      <c r="L231" s="254"/>
      <c r="M231" s="254"/>
      <c r="N231" s="254"/>
      <c r="O231" s="254"/>
      <c r="P231" s="254"/>
      <c r="Q231" s="251" t="s">
        <v>110</v>
      </c>
      <c r="R231" s="122"/>
      <c r="S231" s="122"/>
      <c r="T231" s="122"/>
      <c r="U231" s="122"/>
      <c r="V231" s="122"/>
      <c r="W231" s="122"/>
    </row>
    <row r="232">
      <c r="A232" s="122"/>
      <c r="B232" s="247">
        <f t="shared" si="1"/>
        <v>46319</v>
      </c>
      <c r="C232" s="249"/>
      <c r="D232" s="249"/>
      <c r="E232" s="249"/>
      <c r="F232" s="249"/>
      <c r="G232" s="249" t="s">
        <v>110</v>
      </c>
      <c r="H232" s="249"/>
      <c r="I232" s="249"/>
      <c r="J232" s="256"/>
      <c r="L232" s="249"/>
      <c r="M232" s="249"/>
      <c r="N232" s="249"/>
      <c r="O232" s="249"/>
      <c r="P232" s="249"/>
      <c r="Q232" s="251" t="s">
        <v>110</v>
      </c>
      <c r="R232" s="122"/>
      <c r="S232" s="122"/>
      <c r="T232" s="122"/>
      <c r="U232" s="122"/>
      <c r="V232" s="122"/>
      <c r="W232" s="122"/>
    </row>
    <row r="233">
      <c r="A233" s="122"/>
      <c r="B233" s="252">
        <f t="shared" si="1"/>
        <v>46320</v>
      </c>
      <c r="C233" s="254"/>
      <c r="D233" s="254"/>
      <c r="E233" s="254"/>
      <c r="F233" s="254"/>
      <c r="G233" s="254" t="s">
        <v>110</v>
      </c>
      <c r="H233" s="254"/>
      <c r="I233" s="254"/>
      <c r="J233" s="255"/>
      <c r="L233" s="254"/>
      <c r="M233" s="254"/>
      <c r="N233" s="254"/>
      <c r="O233" s="254"/>
      <c r="P233" s="254"/>
      <c r="Q233" s="251" t="s">
        <v>110</v>
      </c>
      <c r="R233" s="122"/>
      <c r="S233" s="122"/>
      <c r="T233" s="122"/>
      <c r="U233" s="122"/>
      <c r="V233" s="122"/>
      <c r="W233" s="122"/>
    </row>
    <row r="234">
      <c r="A234" s="122"/>
      <c r="B234" s="247">
        <f t="shared" si="1"/>
        <v>46321</v>
      </c>
      <c r="C234" s="249"/>
      <c r="D234" s="249"/>
      <c r="E234" s="249"/>
      <c r="F234" s="249"/>
      <c r="G234" s="249" t="s">
        <v>110</v>
      </c>
      <c r="H234" s="249"/>
      <c r="I234" s="249"/>
      <c r="J234" s="256"/>
      <c r="L234" s="249"/>
      <c r="M234" s="249"/>
      <c r="N234" s="249"/>
      <c r="O234" s="249"/>
      <c r="P234" s="249"/>
      <c r="Q234" s="251" t="s">
        <v>110</v>
      </c>
      <c r="R234" s="122"/>
      <c r="S234" s="122"/>
      <c r="T234" s="122"/>
      <c r="U234" s="122"/>
      <c r="V234" s="122"/>
      <c r="W234" s="122"/>
    </row>
    <row r="235">
      <c r="A235" s="122"/>
      <c r="B235" s="252">
        <f t="shared" si="1"/>
        <v>46322</v>
      </c>
      <c r="C235" s="254"/>
      <c r="D235" s="254"/>
      <c r="E235" s="254"/>
      <c r="F235" s="254"/>
      <c r="G235" s="254" t="s">
        <v>110</v>
      </c>
      <c r="H235" s="254"/>
      <c r="I235" s="254"/>
      <c r="J235" s="255"/>
      <c r="L235" s="254"/>
      <c r="M235" s="254"/>
      <c r="N235" s="254"/>
      <c r="O235" s="254"/>
      <c r="P235" s="254"/>
      <c r="Q235" s="251" t="s">
        <v>110</v>
      </c>
      <c r="R235" s="122"/>
      <c r="S235" s="122"/>
      <c r="T235" s="122"/>
      <c r="U235" s="122"/>
      <c r="V235" s="122"/>
      <c r="W235" s="122"/>
    </row>
    <row r="236">
      <c r="A236" s="122"/>
      <c r="B236" s="247">
        <f t="shared" si="1"/>
        <v>46323</v>
      </c>
      <c r="C236" s="249"/>
      <c r="D236" s="249"/>
      <c r="E236" s="249"/>
      <c r="F236" s="249"/>
      <c r="G236" s="249" t="s">
        <v>110</v>
      </c>
      <c r="H236" s="249"/>
      <c r="I236" s="249"/>
      <c r="J236" s="256"/>
      <c r="L236" s="249"/>
      <c r="M236" s="249"/>
      <c r="N236" s="249"/>
      <c r="O236" s="249"/>
      <c r="P236" s="249"/>
      <c r="Q236" s="251" t="s">
        <v>110</v>
      </c>
      <c r="R236" s="122"/>
      <c r="S236" s="122"/>
      <c r="T236" s="122"/>
      <c r="U236" s="122"/>
      <c r="V236" s="122"/>
      <c r="W236" s="122"/>
    </row>
    <row r="237">
      <c r="A237" s="122"/>
      <c r="B237" s="252">
        <f t="shared" si="1"/>
        <v>46324</v>
      </c>
      <c r="C237" s="254"/>
      <c r="D237" s="254"/>
      <c r="E237" s="254"/>
      <c r="F237" s="254"/>
      <c r="G237" s="254" t="s">
        <v>110</v>
      </c>
      <c r="H237" s="254"/>
      <c r="I237" s="254"/>
      <c r="J237" s="255"/>
      <c r="L237" s="254"/>
      <c r="M237" s="254"/>
      <c r="N237" s="254"/>
      <c r="O237" s="254"/>
      <c r="P237" s="254"/>
      <c r="Q237" s="251" t="s">
        <v>110</v>
      </c>
      <c r="R237" s="122"/>
      <c r="S237" s="122"/>
      <c r="T237" s="122"/>
      <c r="U237" s="122"/>
      <c r="V237" s="122"/>
      <c r="W237" s="122"/>
    </row>
    <row r="238">
      <c r="A238" s="122"/>
      <c r="B238" s="247">
        <f t="shared" si="1"/>
        <v>46325</v>
      </c>
      <c r="C238" s="249"/>
      <c r="D238" s="249"/>
      <c r="E238" s="249"/>
      <c r="F238" s="249"/>
      <c r="G238" s="249" t="s">
        <v>110</v>
      </c>
      <c r="H238" s="249"/>
      <c r="I238" s="249"/>
      <c r="J238" s="256"/>
      <c r="L238" s="249"/>
      <c r="M238" s="249"/>
      <c r="N238" s="249"/>
      <c r="O238" s="249"/>
      <c r="P238" s="249"/>
      <c r="Q238" s="251" t="s">
        <v>110</v>
      </c>
      <c r="R238" s="122"/>
      <c r="S238" s="122"/>
      <c r="T238" s="122"/>
      <c r="U238" s="122"/>
      <c r="V238" s="122"/>
      <c r="W238" s="122"/>
    </row>
    <row r="239">
      <c r="A239" s="122"/>
      <c r="B239" s="252">
        <f t="shared" si="1"/>
        <v>46326</v>
      </c>
      <c r="C239" s="254"/>
      <c r="D239" s="254"/>
      <c r="E239" s="254"/>
      <c r="F239" s="254"/>
      <c r="G239" s="254" t="s">
        <v>110</v>
      </c>
      <c r="H239" s="254"/>
      <c r="I239" s="254"/>
      <c r="J239" s="255"/>
      <c r="L239" s="254"/>
      <c r="M239" s="254"/>
      <c r="N239" s="254"/>
      <c r="O239" s="254"/>
      <c r="P239" s="254"/>
      <c r="Q239" s="251" t="s">
        <v>110</v>
      </c>
      <c r="R239" s="122"/>
      <c r="S239" s="122"/>
      <c r="T239" s="122"/>
      <c r="U239" s="122"/>
      <c r="V239" s="122"/>
      <c r="W239" s="122"/>
    </row>
    <row r="240">
      <c r="A240" s="122"/>
      <c r="B240" s="247">
        <f t="shared" si="1"/>
        <v>46327</v>
      </c>
      <c r="C240" s="249"/>
      <c r="D240" s="249"/>
      <c r="E240" s="249"/>
      <c r="F240" s="249"/>
      <c r="G240" s="249" t="s">
        <v>110</v>
      </c>
      <c r="H240" s="249"/>
      <c r="I240" s="249"/>
      <c r="J240" s="256"/>
      <c r="L240" s="249"/>
      <c r="M240" s="249"/>
      <c r="N240" s="249"/>
      <c r="O240" s="249"/>
      <c r="P240" s="249"/>
      <c r="Q240" s="251" t="s">
        <v>110</v>
      </c>
      <c r="R240" s="122"/>
      <c r="S240" s="122"/>
      <c r="T240" s="122"/>
      <c r="U240" s="122"/>
      <c r="V240" s="122"/>
      <c r="W240" s="122"/>
    </row>
    <row r="241">
      <c r="A241" s="122"/>
      <c r="B241" s="252">
        <f t="shared" si="1"/>
        <v>46328</v>
      </c>
      <c r="C241" s="254"/>
      <c r="D241" s="254"/>
      <c r="E241" s="254"/>
      <c r="F241" s="254"/>
      <c r="G241" s="254" t="s">
        <v>110</v>
      </c>
      <c r="H241" s="254"/>
      <c r="I241" s="254"/>
      <c r="J241" s="255"/>
      <c r="L241" s="254"/>
      <c r="M241" s="254"/>
      <c r="N241" s="254"/>
      <c r="O241" s="254"/>
      <c r="P241" s="254"/>
      <c r="Q241" s="251" t="s">
        <v>110</v>
      </c>
      <c r="R241" s="122"/>
      <c r="S241" s="122"/>
      <c r="T241" s="122"/>
      <c r="U241" s="122"/>
      <c r="V241" s="122"/>
      <c r="W241" s="122"/>
    </row>
    <row r="242">
      <c r="A242" s="122"/>
      <c r="B242" s="247">
        <f t="shared" si="1"/>
        <v>46329</v>
      </c>
      <c r="C242" s="249"/>
      <c r="D242" s="249"/>
      <c r="E242" s="249"/>
      <c r="F242" s="249"/>
      <c r="G242" s="249" t="s">
        <v>110</v>
      </c>
      <c r="H242" s="249"/>
      <c r="I242" s="249"/>
      <c r="J242" s="256"/>
      <c r="L242" s="249"/>
      <c r="M242" s="249"/>
      <c r="N242" s="249"/>
      <c r="O242" s="249"/>
      <c r="P242" s="249"/>
      <c r="Q242" s="251" t="s">
        <v>110</v>
      </c>
      <c r="R242" s="122"/>
      <c r="S242" s="122"/>
      <c r="T242" s="122"/>
      <c r="U242" s="122"/>
      <c r="V242" s="122"/>
      <c r="W242" s="122"/>
    </row>
    <row r="243">
      <c r="A243" s="122"/>
      <c r="B243" s="252">
        <f t="shared" si="1"/>
        <v>46330</v>
      </c>
      <c r="C243" s="254"/>
      <c r="D243" s="254"/>
      <c r="E243" s="254"/>
      <c r="F243" s="254"/>
      <c r="G243" s="254" t="s">
        <v>110</v>
      </c>
      <c r="H243" s="254"/>
      <c r="I243" s="254"/>
      <c r="J243" s="255"/>
      <c r="L243" s="254"/>
      <c r="M243" s="254"/>
      <c r="N243" s="254"/>
      <c r="O243" s="254"/>
      <c r="P243" s="254"/>
      <c r="Q243" s="251" t="s">
        <v>110</v>
      </c>
      <c r="R243" s="122"/>
      <c r="S243" s="122"/>
      <c r="T243" s="122"/>
      <c r="U243" s="122"/>
      <c r="V243" s="122"/>
      <c r="W243" s="122"/>
    </row>
    <row r="244">
      <c r="A244" s="122"/>
      <c r="B244" s="247">
        <f t="shared" si="1"/>
        <v>46331</v>
      </c>
      <c r="C244" s="249"/>
      <c r="D244" s="249"/>
      <c r="E244" s="249"/>
      <c r="F244" s="249"/>
      <c r="G244" s="249" t="s">
        <v>110</v>
      </c>
      <c r="H244" s="249"/>
      <c r="I244" s="249"/>
      <c r="J244" s="256"/>
      <c r="L244" s="249"/>
      <c r="M244" s="249"/>
      <c r="N244" s="249"/>
      <c r="O244" s="249"/>
      <c r="P244" s="249"/>
      <c r="Q244" s="251" t="s">
        <v>110</v>
      </c>
      <c r="R244" s="122"/>
      <c r="S244" s="122"/>
      <c r="T244" s="122"/>
      <c r="U244" s="122"/>
      <c r="V244" s="122"/>
      <c r="W244" s="122"/>
    </row>
    <row r="245">
      <c r="A245" s="122"/>
      <c r="B245" s="252">
        <f t="shared" si="1"/>
        <v>46332</v>
      </c>
      <c r="C245" s="254"/>
      <c r="D245" s="254"/>
      <c r="E245" s="254"/>
      <c r="F245" s="254"/>
      <c r="G245" s="254" t="s">
        <v>110</v>
      </c>
      <c r="H245" s="254"/>
      <c r="I245" s="254"/>
      <c r="J245" s="255"/>
      <c r="L245" s="254"/>
      <c r="M245" s="254"/>
      <c r="N245" s="254"/>
      <c r="O245" s="254"/>
      <c r="P245" s="254"/>
      <c r="Q245" s="251" t="s">
        <v>110</v>
      </c>
      <c r="R245" s="122"/>
      <c r="S245" s="122"/>
      <c r="T245" s="122"/>
      <c r="U245" s="122"/>
      <c r="V245" s="122"/>
      <c r="W245" s="122"/>
    </row>
    <row r="246">
      <c r="A246" s="122"/>
      <c r="B246" s="247">
        <f t="shared" si="1"/>
        <v>46333</v>
      </c>
      <c r="C246" s="249"/>
      <c r="D246" s="249"/>
      <c r="E246" s="249"/>
      <c r="F246" s="249"/>
      <c r="G246" s="249" t="s">
        <v>110</v>
      </c>
      <c r="H246" s="249"/>
      <c r="I246" s="249"/>
      <c r="J246" s="256"/>
      <c r="L246" s="249"/>
      <c r="M246" s="249"/>
      <c r="N246" s="249"/>
      <c r="O246" s="249"/>
      <c r="P246" s="249"/>
      <c r="Q246" s="251" t="s">
        <v>110</v>
      </c>
      <c r="R246" s="122"/>
      <c r="S246" s="122"/>
      <c r="T246" s="122"/>
      <c r="U246" s="122"/>
      <c r="V246" s="122"/>
      <c r="W246" s="122"/>
    </row>
    <row r="247">
      <c r="A247" s="122"/>
      <c r="B247" s="252">
        <f t="shared" si="1"/>
        <v>46334</v>
      </c>
      <c r="C247" s="254"/>
      <c r="D247" s="254"/>
      <c r="E247" s="254"/>
      <c r="F247" s="254"/>
      <c r="G247" s="254" t="s">
        <v>110</v>
      </c>
      <c r="H247" s="254"/>
      <c r="I247" s="254"/>
      <c r="J247" s="255"/>
      <c r="L247" s="254"/>
      <c r="M247" s="254"/>
      <c r="N247" s="254"/>
      <c r="O247" s="254"/>
      <c r="P247" s="254"/>
      <c r="Q247" s="251" t="s">
        <v>110</v>
      </c>
      <c r="R247" s="122"/>
      <c r="S247" s="122"/>
      <c r="T247" s="122"/>
      <c r="U247" s="122"/>
      <c r="V247" s="122"/>
      <c r="W247" s="122"/>
    </row>
    <row r="248">
      <c r="A248" s="122"/>
      <c r="B248" s="247">
        <f t="shared" si="1"/>
        <v>46335</v>
      </c>
      <c r="C248" s="249"/>
      <c r="D248" s="249"/>
      <c r="E248" s="249"/>
      <c r="F248" s="249"/>
      <c r="G248" s="249" t="s">
        <v>110</v>
      </c>
      <c r="H248" s="249"/>
      <c r="I248" s="249"/>
      <c r="J248" s="256"/>
      <c r="L248" s="249"/>
      <c r="M248" s="249"/>
      <c r="N248" s="249"/>
      <c r="O248" s="249"/>
      <c r="P248" s="249"/>
      <c r="Q248" s="251" t="s">
        <v>110</v>
      </c>
      <c r="R248" s="122"/>
      <c r="S248" s="122"/>
      <c r="T248" s="122"/>
      <c r="U248" s="122"/>
      <c r="V248" s="122"/>
      <c r="W248" s="122"/>
    </row>
    <row r="249">
      <c r="A249" s="122"/>
      <c r="B249" s="252">
        <f t="shared" si="1"/>
        <v>46336</v>
      </c>
      <c r="C249" s="254"/>
      <c r="D249" s="254"/>
      <c r="E249" s="254"/>
      <c r="F249" s="254"/>
      <c r="G249" s="254" t="s">
        <v>110</v>
      </c>
      <c r="H249" s="254"/>
      <c r="I249" s="254"/>
      <c r="J249" s="255"/>
      <c r="L249" s="254"/>
      <c r="M249" s="254"/>
      <c r="N249" s="254"/>
      <c r="O249" s="254"/>
      <c r="P249" s="254"/>
      <c r="Q249" s="251" t="s">
        <v>110</v>
      </c>
      <c r="R249" s="122"/>
      <c r="S249" s="122"/>
      <c r="T249" s="122"/>
      <c r="U249" s="122"/>
      <c r="V249" s="122"/>
      <c r="W249" s="122"/>
    </row>
    <row r="250">
      <c r="A250" s="122"/>
      <c r="B250" s="247">
        <f t="shared" si="1"/>
        <v>46337</v>
      </c>
      <c r="C250" s="249"/>
      <c r="D250" s="249"/>
      <c r="E250" s="249"/>
      <c r="F250" s="249"/>
      <c r="G250" s="249" t="s">
        <v>110</v>
      </c>
      <c r="H250" s="249"/>
      <c r="I250" s="249"/>
      <c r="J250" s="256"/>
      <c r="L250" s="249"/>
      <c r="M250" s="249"/>
      <c r="N250" s="249"/>
      <c r="O250" s="249"/>
      <c r="P250" s="249"/>
      <c r="Q250" s="251" t="s">
        <v>110</v>
      </c>
      <c r="R250" s="122"/>
      <c r="S250" s="122"/>
      <c r="T250" s="122"/>
      <c r="U250" s="122"/>
      <c r="V250" s="122"/>
      <c r="W250" s="122"/>
    </row>
    <row r="251">
      <c r="A251" s="122"/>
      <c r="B251" s="252">
        <f t="shared" si="1"/>
        <v>46338</v>
      </c>
      <c r="C251" s="254"/>
      <c r="D251" s="254"/>
      <c r="E251" s="254"/>
      <c r="F251" s="254"/>
      <c r="G251" s="254" t="s">
        <v>110</v>
      </c>
      <c r="H251" s="254"/>
      <c r="I251" s="254"/>
      <c r="J251" s="255"/>
      <c r="L251" s="254"/>
      <c r="M251" s="254"/>
      <c r="N251" s="254"/>
      <c r="O251" s="254"/>
      <c r="P251" s="254"/>
      <c r="Q251" s="251" t="s">
        <v>110</v>
      </c>
      <c r="R251" s="122"/>
      <c r="S251" s="122"/>
      <c r="T251" s="122"/>
      <c r="U251" s="122"/>
      <c r="V251" s="122"/>
      <c r="W251" s="122"/>
    </row>
    <row r="252">
      <c r="A252" s="122"/>
      <c r="B252" s="247">
        <f t="shared" si="1"/>
        <v>46339</v>
      </c>
      <c r="C252" s="249"/>
      <c r="D252" s="249"/>
      <c r="E252" s="249"/>
      <c r="F252" s="249"/>
      <c r="G252" s="249" t="s">
        <v>110</v>
      </c>
      <c r="H252" s="249"/>
      <c r="I252" s="249"/>
      <c r="J252" s="256"/>
      <c r="L252" s="249"/>
      <c r="M252" s="249"/>
      <c r="N252" s="249"/>
      <c r="O252" s="249"/>
      <c r="P252" s="249"/>
      <c r="Q252" s="251" t="s">
        <v>110</v>
      </c>
      <c r="R252" s="122"/>
      <c r="S252" s="122"/>
      <c r="T252" s="122"/>
      <c r="U252" s="122"/>
      <c r="V252" s="122"/>
      <c r="W252" s="122"/>
    </row>
    <row r="253">
      <c r="A253" s="122"/>
      <c r="B253" s="252">
        <f t="shared" si="1"/>
        <v>46340</v>
      </c>
      <c r="C253" s="254"/>
      <c r="D253" s="254"/>
      <c r="E253" s="254"/>
      <c r="F253" s="254"/>
      <c r="G253" s="254" t="s">
        <v>110</v>
      </c>
      <c r="H253" s="254"/>
      <c r="I253" s="254"/>
      <c r="J253" s="255"/>
      <c r="L253" s="254"/>
      <c r="M253" s="254"/>
      <c r="N253" s="254"/>
      <c r="O253" s="254"/>
      <c r="P253" s="254"/>
      <c r="Q253" s="251" t="s">
        <v>110</v>
      </c>
      <c r="R253" s="122"/>
      <c r="S253" s="122"/>
      <c r="T253" s="122"/>
      <c r="U253" s="122"/>
      <c r="V253" s="122"/>
      <c r="W253" s="122"/>
    </row>
    <row r="254">
      <c r="A254" s="122"/>
      <c r="B254" s="247">
        <f t="shared" si="1"/>
        <v>46341</v>
      </c>
      <c r="C254" s="249"/>
      <c r="D254" s="249"/>
      <c r="E254" s="249"/>
      <c r="F254" s="249"/>
      <c r="G254" s="249" t="s">
        <v>110</v>
      </c>
      <c r="H254" s="249"/>
      <c r="I254" s="249"/>
      <c r="J254" s="256"/>
      <c r="L254" s="249"/>
      <c r="M254" s="249"/>
      <c r="N254" s="249"/>
      <c r="O254" s="249"/>
      <c r="P254" s="249"/>
      <c r="Q254" s="251" t="s">
        <v>110</v>
      </c>
      <c r="R254" s="122"/>
      <c r="S254" s="122"/>
      <c r="T254" s="122"/>
      <c r="U254" s="122"/>
      <c r="V254" s="122"/>
      <c r="W254" s="122"/>
    </row>
    <row r="255">
      <c r="A255" s="122"/>
      <c r="B255" s="252">
        <f t="shared" si="1"/>
        <v>46342</v>
      </c>
      <c r="C255" s="254"/>
      <c r="D255" s="254"/>
      <c r="E255" s="254"/>
      <c r="F255" s="254"/>
      <c r="G255" s="254" t="s">
        <v>110</v>
      </c>
      <c r="H255" s="254"/>
      <c r="I255" s="254"/>
      <c r="J255" s="255"/>
      <c r="L255" s="254"/>
      <c r="M255" s="254"/>
      <c r="N255" s="254"/>
      <c r="O255" s="254"/>
      <c r="P255" s="254"/>
      <c r="Q255" s="251" t="s">
        <v>110</v>
      </c>
      <c r="R255" s="122"/>
      <c r="S255" s="122"/>
      <c r="T255" s="122"/>
      <c r="U255" s="122"/>
      <c r="V255" s="122"/>
      <c r="W255" s="122"/>
    </row>
    <row r="256">
      <c r="A256" s="122"/>
      <c r="B256" s="247">
        <f t="shared" si="1"/>
        <v>46343</v>
      </c>
      <c r="C256" s="249"/>
      <c r="D256" s="249"/>
      <c r="E256" s="249"/>
      <c r="F256" s="249"/>
      <c r="G256" s="249" t="s">
        <v>110</v>
      </c>
      <c r="H256" s="249"/>
      <c r="I256" s="249"/>
      <c r="J256" s="256"/>
      <c r="L256" s="249"/>
      <c r="M256" s="249"/>
      <c r="N256" s="249"/>
      <c r="O256" s="249"/>
      <c r="P256" s="249"/>
      <c r="Q256" s="251" t="s">
        <v>110</v>
      </c>
      <c r="R256" s="122"/>
      <c r="S256" s="122"/>
      <c r="T256" s="122"/>
      <c r="U256" s="122"/>
      <c r="V256" s="122"/>
      <c r="W256" s="122"/>
    </row>
    <row r="257">
      <c r="A257" s="122"/>
      <c r="B257" s="252">
        <f t="shared" si="1"/>
        <v>46344</v>
      </c>
      <c r="C257" s="254"/>
      <c r="D257" s="254"/>
      <c r="E257" s="254"/>
      <c r="F257" s="254"/>
      <c r="G257" s="254" t="s">
        <v>110</v>
      </c>
      <c r="H257" s="254"/>
      <c r="I257" s="254"/>
      <c r="J257" s="255"/>
      <c r="L257" s="254"/>
      <c r="M257" s="254"/>
      <c r="N257" s="254"/>
      <c r="O257" s="254"/>
      <c r="P257" s="254"/>
      <c r="Q257" s="251" t="s">
        <v>110</v>
      </c>
      <c r="R257" s="122"/>
      <c r="S257" s="122"/>
      <c r="T257" s="122"/>
      <c r="U257" s="122"/>
      <c r="V257" s="122"/>
      <c r="W257" s="122"/>
    </row>
    <row r="258">
      <c r="A258" s="122"/>
      <c r="B258" s="247">
        <f t="shared" si="1"/>
        <v>46345</v>
      </c>
      <c r="C258" s="249"/>
      <c r="D258" s="249"/>
      <c r="E258" s="249"/>
      <c r="F258" s="249"/>
      <c r="G258" s="249" t="s">
        <v>110</v>
      </c>
      <c r="H258" s="249"/>
      <c r="I258" s="249"/>
      <c r="J258" s="256"/>
      <c r="L258" s="249"/>
      <c r="M258" s="249"/>
      <c r="N258" s="249"/>
      <c r="O258" s="249"/>
      <c r="P258" s="249"/>
      <c r="Q258" s="251" t="s">
        <v>110</v>
      </c>
      <c r="R258" s="122"/>
      <c r="S258" s="122"/>
      <c r="T258" s="122"/>
      <c r="U258" s="122"/>
      <c r="V258" s="122"/>
      <c r="W258" s="122"/>
    </row>
    <row r="259">
      <c r="A259" s="122"/>
      <c r="B259" s="252">
        <f t="shared" si="1"/>
        <v>46346</v>
      </c>
      <c r="C259" s="254"/>
      <c r="D259" s="254"/>
      <c r="E259" s="254"/>
      <c r="F259" s="254"/>
      <c r="G259" s="254" t="s">
        <v>110</v>
      </c>
      <c r="H259" s="254"/>
      <c r="I259" s="254"/>
      <c r="J259" s="255"/>
      <c r="L259" s="254"/>
      <c r="M259" s="254"/>
      <c r="N259" s="254"/>
      <c r="O259" s="254"/>
      <c r="P259" s="254"/>
      <c r="Q259" s="251" t="s">
        <v>110</v>
      </c>
      <c r="R259" s="122"/>
      <c r="S259" s="122"/>
      <c r="T259" s="122"/>
      <c r="U259" s="122"/>
      <c r="V259" s="122"/>
      <c r="W259" s="122"/>
    </row>
    <row r="260">
      <c r="A260" s="122"/>
      <c r="B260" s="247">
        <f t="shared" si="1"/>
        <v>46347</v>
      </c>
      <c r="C260" s="249"/>
      <c r="D260" s="249"/>
      <c r="E260" s="249"/>
      <c r="F260" s="249"/>
      <c r="G260" s="249" t="s">
        <v>110</v>
      </c>
      <c r="H260" s="249"/>
      <c r="I260" s="249"/>
      <c r="J260" s="256"/>
      <c r="L260" s="249"/>
      <c r="M260" s="249"/>
      <c r="N260" s="249"/>
      <c r="O260" s="249"/>
      <c r="P260" s="249"/>
      <c r="Q260" s="251" t="s">
        <v>110</v>
      </c>
      <c r="R260" s="122"/>
      <c r="S260" s="122"/>
      <c r="T260" s="122"/>
      <c r="U260" s="122"/>
      <c r="V260" s="122"/>
      <c r="W260" s="122"/>
    </row>
    <row r="261">
      <c r="A261" s="122"/>
      <c r="B261" s="252">
        <f t="shared" si="1"/>
        <v>46348</v>
      </c>
      <c r="C261" s="254"/>
      <c r="D261" s="254"/>
      <c r="E261" s="254"/>
      <c r="F261" s="254"/>
      <c r="G261" s="254" t="s">
        <v>110</v>
      </c>
      <c r="H261" s="254"/>
      <c r="I261" s="254"/>
      <c r="J261" s="255"/>
      <c r="L261" s="254"/>
      <c r="M261" s="254"/>
      <c r="N261" s="254"/>
      <c r="O261" s="254"/>
      <c r="P261" s="254"/>
      <c r="Q261" s="251" t="s">
        <v>110</v>
      </c>
      <c r="R261" s="122"/>
      <c r="S261" s="122"/>
      <c r="T261" s="122"/>
      <c r="U261" s="122"/>
      <c r="V261" s="122"/>
      <c r="W261" s="122"/>
    </row>
    <row r="262">
      <c r="A262" s="122"/>
      <c r="B262" s="247">
        <f t="shared" si="1"/>
        <v>46349</v>
      </c>
      <c r="C262" s="249"/>
      <c r="D262" s="249"/>
      <c r="E262" s="249"/>
      <c r="F262" s="249"/>
      <c r="G262" s="249" t="s">
        <v>110</v>
      </c>
      <c r="H262" s="249"/>
      <c r="I262" s="249"/>
      <c r="J262" s="256"/>
      <c r="L262" s="249"/>
      <c r="M262" s="249"/>
      <c r="N262" s="249"/>
      <c r="O262" s="249"/>
      <c r="P262" s="249"/>
      <c r="Q262" s="251" t="s">
        <v>110</v>
      </c>
      <c r="R262" s="122"/>
      <c r="S262" s="122"/>
      <c r="T262" s="122"/>
      <c r="U262" s="122"/>
      <c r="V262" s="122"/>
      <c r="W262" s="122"/>
    </row>
    <row r="263">
      <c r="A263" s="122"/>
      <c r="B263" s="252">
        <f t="shared" si="1"/>
        <v>46350</v>
      </c>
      <c r="C263" s="254"/>
      <c r="D263" s="254"/>
      <c r="E263" s="254"/>
      <c r="F263" s="254"/>
      <c r="G263" s="254" t="s">
        <v>110</v>
      </c>
      <c r="H263" s="254"/>
      <c r="I263" s="254"/>
      <c r="J263" s="255"/>
      <c r="L263" s="254"/>
      <c r="M263" s="254"/>
      <c r="N263" s="254"/>
      <c r="O263" s="254"/>
      <c r="P263" s="254"/>
      <c r="Q263" s="251" t="s">
        <v>110</v>
      </c>
      <c r="R263" s="122"/>
      <c r="S263" s="122"/>
      <c r="T263" s="122"/>
      <c r="U263" s="122"/>
      <c r="V263" s="122"/>
      <c r="W263" s="122"/>
    </row>
    <row r="264">
      <c r="A264" s="122"/>
      <c r="B264" s="247">
        <f t="shared" si="1"/>
        <v>46351</v>
      </c>
      <c r="C264" s="249"/>
      <c r="D264" s="249"/>
      <c r="E264" s="249"/>
      <c r="F264" s="249"/>
      <c r="G264" s="249" t="s">
        <v>110</v>
      </c>
      <c r="H264" s="249"/>
      <c r="I264" s="249"/>
      <c r="J264" s="256"/>
      <c r="L264" s="249"/>
      <c r="M264" s="249"/>
      <c r="N264" s="249"/>
      <c r="O264" s="249"/>
      <c r="P264" s="249"/>
      <c r="Q264" s="251" t="s">
        <v>110</v>
      </c>
      <c r="R264" s="122"/>
      <c r="S264" s="122"/>
      <c r="T264" s="122"/>
      <c r="U264" s="122"/>
      <c r="V264" s="122"/>
      <c r="W264" s="122"/>
    </row>
    <row r="265">
      <c r="A265" s="122"/>
      <c r="B265" s="252">
        <f t="shared" si="1"/>
        <v>46352</v>
      </c>
      <c r="C265" s="254"/>
      <c r="D265" s="254"/>
      <c r="E265" s="254"/>
      <c r="F265" s="254"/>
      <c r="G265" s="254" t="s">
        <v>110</v>
      </c>
      <c r="H265" s="254"/>
      <c r="I265" s="254"/>
      <c r="J265" s="255"/>
      <c r="L265" s="254"/>
      <c r="M265" s="254"/>
      <c r="N265" s="254"/>
      <c r="O265" s="254"/>
      <c r="P265" s="254"/>
      <c r="Q265" s="251" t="s">
        <v>110</v>
      </c>
      <c r="R265" s="122"/>
      <c r="S265" s="122"/>
      <c r="T265" s="122"/>
      <c r="U265" s="122"/>
      <c r="V265" s="122"/>
      <c r="W265" s="122"/>
    </row>
    <row r="266">
      <c r="A266" s="122"/>
      <c r="B266" s="247">
        <f t="shared" si="1"/>
        <v>46353</v>
      </c>
      <c r="C266" s="249"/>
      <c r="D266" s="249"/>
      <c r="E266" s="249"/>
      <c r="F266" s="249"/>
      <c r="G266" s="249" t="s">
        <v>110</v>
      </c>
      <c r="H266" s="249"/>
      <c r="I266" s="249"/>
      <c r="J266" s="256"/>
      <c r="L266" s="249"/>
      <c r="M266" s="249"/>
      <c r="N266" s="249"/>
      <c r="O266" s="249"/>
      <c r="P266" s="249"/>
      <c r="Q266" s="251" t="s">
        <v>110</v>
      </c>
      <c r="R266" s="122"/>
      <c r="S266" s="122"/>
      <c r="T266" s="122"/>
      <c r="U266" s="122"/>
      <c r="V266" s="122"/>
      <c r="W266" s="122"/>
    </row>
    <row r="267">
      <c r="A267" s="122"/>
      <c r="B267" s="252">
        <f t="shared" si="1"/>
        <v>46354</v>
      </c>
      <c r="C267" s="254"/>
      <c r="D267" s="254"/>
      <c r="E267" s="254"/>
      <c r="F267" s="254"/>
      <c r="G267" s="254" t="s">
        <v>110</v>
      </c>
      <c r="H267" s="254"/>
      <c r="I267" s="254"/>
      <c r="J267" s="255"/>
      <c r="L267" s="254"/>
      <c r="M267" s="254"/>
      <c r="N267" s="254"/>
      <c r="O267" s="254"/>
      <c r="P267" s="254"/>
      <c r="Q267" s="251" t="s">
        <v>110</v>
      </c>
      <c r="R267" s="122"/>
      <c r="S267" s="122"/>
      <c r="T267" s="122"/>
      <c r="U267" s="122"/>
      <c r="V267" s="122"/>
      <c r="W267" s="122"/>
    </row>
    <row r="268">
      <c r="A268" s="122"/>
      <c r="B268" s="247">
        <f t="shared" si="1"/>
        <v>46355</v>
      </c>
      <c r="C268" s="249"/>
      <c r="D268" s="249"/>
      <c r="E268" s="249"/>
      <c r="F268" s="249"/>
      <c r="G268" s="249" t="s">
        <v>110</v>
      </c>
      <c r="H268" s="249"/>
      <c r="I268" s="249"/>
      <c r="J268" s="256"/>
      <c r="L268" s="249"/>
      <c r="M268" s="249"/>
      <c r="N268" s="249"/>
      <c r="O268" s="249"/>
      <c r="P268" s="249"/>
      <c r="Q268" s="251" t="s">
        <v>110</v>
      </c>
      <c r="R268" s="122"/>
      <c r="S268" s="122"/>
      <c r="T268" s="122"/>
      <c r="U268" s="122"/>
      <c r="V268" s="122"/>
      <c r="W268" s="122"/>
    </row>
    <row r="269">
      <c r="A269" s="122"/>
      <c r="B269" s="252">
        <f t="shared" si="1"/>
        <v>46356</v>
      </c>
      <c r="C269" s="254"/>
      <c r="D269" s="254"/>
      <c r="E269" s="254"/>
      <c r="F269" s="254"/>
      <c r="G269" s="254" t="s">
        <v>110</v>
      </c>
      <c r="H269" s="254"/>
      <c r="I269" s="254"/>
      <c r="J269" s="255"/>
      <c r="L269" s="254"/>
      <c r="M269" s="254"/>
      <c r="N269" s="254"/>
      <c r="O269" s="254"/>
      <c r="P269" s="254"/>
      <c r="Q269" s="251" t="s">
        <v>110</v>
      </c>
      <c r="R269" s="122"/>
      <c r="S269" s="122"/>
      <c r="T269" s="122"/>
      <c r="U269" s="122"/>
      <c r="V269" s="122"/>
      <c r="W269" s="122"/>
    </row>
    <row r="270">
      <c r="A270" s="122"/>
      <c r="B270" s="247">
        <f t="shared" si="1"/>
        <v>46357</v>
      </c>
      <c r="C270" s="249"/>
      <c r="D270" s="249"/>
      <c r="E270" s="249"/>
      <c r="F270" s="249"/>
      <c r="G270" s="249" t="s">
        <v>110</v>
      </c>
      <c r="H270" s="249"/>
      <c r="I270" s="249"/>
      <c r="J270" s="256"/>
      <c r="L270" s="249"/>
      <c r="M270" s="249"/>
      <c r="N270" s="249"/>
      <c r="O270" s="249"/>
      <c r="P270" s="249"/>
      <c r="Q270" s="251" t="s">
        <v>110</v>
      </c>
      <c r="R270" s="122"/>
      <c r="S270" s="122"/>
      <c r="T270" s="122"/>
      <c r="U270" s="122"/>
      <c r="V270" s="122"/>
      <c r="W270" s="122"/>
    </row>
    <row r="271">
      <c r="A271" s="122"/>
      <c r="B271" s="252">
        <f t="shared" si="1"/>
        <v>46358</v>
      </c>
      <c r="C271" s="254"/>
      <c r="D271" s="254"/>
      <c r="E271" s="254"/>
      <c r="F271" s="254"/>
      <c r="G271" s="254" t="s">
        <v>110</v>
      </c>
      <c r="H271" s="254"/>
      <c r="I271" s="254"/>
      <c r="J271" s="255"/>
      <c r="L271" s="254"/>
      <c r="M271" s="254"/>
      <c r="N271" s="254"/>
      <c r="O271" s="254"/>
      <c r="P271" s="254"/>
      <c r="Q271" s="251" t="s">
        <v>110</v>
      </c>
      <c r="R271" s="122"/>
      <c r="S271" s="122"/>
      <c r="T271" s="122"/>
      <c r="U271" s="122"/>
      <c r="V271" s="122"/>
      <c r="W271" s="122"/>
    </row>
    <row r="272">
      <c r="A272" s="122"/>
      <c r="B272" s="247">
        <f t="shared" si="1"/>
        <v>46359</v>
      </c>
      <c r="C272" s="249"/>
      <c r="D272" s="249"/>
      <c r="E272" s="249"/>
      <c r="F272" s="249"/>
      <c r="G272" s="249" t="s">
        <v>110</v>
      </c>
      <c r="H272" s="249"/>
      <c r="I272" s="249"/>
      <c r="J272" s="256"/>
      <c r="L272" s="249"/>
      <c r="M272" s="249"/>
      <c r="N272" s="249"/>
      <c r="O272" s="249"/>
      <c r="P272" s="249"/>
      <c r="Q272" s="251" t="s">
        <v>110</v>
      </c>
      <c r="R272" s="122"/>
      <c r="S272" s="122"/>
      <c r="T272" s="122"/>
      <c r="U272" s="122"/>
      <c r="V272" s="122"/>
      <c r="W272" s="122"/>
    </row>
    <row r="273">
      <c r="A273" s="122"/>
      <c r="B273" s="252">
        <f t="shared" si="1"/>
        <v>46360</v>
      </c>
      <c r="C273" s="254"/>
      <c r="D273" s="254"/>
      <c r="E273" s="254"/>
      <c r="F273" s="254"/>
      <c r="G273" s="254" t="s">
        <v>110</v>
      </c>
      <c r="H273" s="254"/>
      <c r="I273" s="254"/>
      <c r="J273" s="255"/>
      <c r="L273" s="254"/>
      <c r="M273" s="254"/>
      <c r="N273" s="254"/>
      <c r="O273" s="254"/>
      <c r="P273" s="254"/>
      <c r="Q273" s="251" t="s">
        <v>110</v>
      </c>
      <c r="R273" s="122"/>
      <c r="S273" s="122"/>
      <c r="T273" s="122"/>
      <c r="U273" s="122"/>
      <c r="V273" s="122"/>
      <c r="W273" s="122"/>
    </row>
    <row r="274">
      <c r="A274" s="122"/>
      <c r="B274" s="247">
        <f t="shared" si="1"/>
        <v>46361</v>
      </c>
      <c r="C274" s="249"/>
      <c r="D274" s="249"/>
      <c r="E274" s="249"/>
      <c r="F274" s="249"/>
      <c r="G274" s="249" t="s">
        <v>110</v>
      </c>
      <c r="H274" s="249"/>
      <c r="I274" s="249"/>
      <c r="J274" s="256"/>
      <c r="L274" s="249"/>
      <c r="M274" s="249"/>
      <c r="N274" s="249"/>
      <c r="O274" s="249"/>
      <c r="P274" s="249"/>
      <c r="Q274" s="251" t="s">
        <v>110</v>
      </c>
      <c r="R274" s="122"/>
      <c r="S274" s="122"/>
      <c r="T274" s="122"/>
      <c r="U274" s="122"/>
      <c r="V274" s="122"/>
      <c r="W274" s="122"/>
    </row>
    <row r="275">
      <c r="A275" s="122"/>
      <c r="B275" s="252">
        <f t="shared" si="1"/>
        <v>46362</v>
      </c>
      <c r="C275" s="254"/>
      <c r="D275" s="254"/>
      <c r="E275" s="254"/>
      <c r="F275" s="254"/>
      <c r="G275" s="254" t="s">
        <v>110</v>
      </c>
      <c r="H275" s="254"/>
      <c r="I275" s="254"/>
      <c r="J275" s="255"/>
      <c r="L275" s="254"/>
      <c r="M275" s="254"/>
      <c r="N275" s="254"/>
      <c r="O275" s="254"/>
      <c r="P275" s="254"/>
      <c r="Q275" s="251" t="s">
        <v>110</v>
      </c>
      <c r="R275" s="122"/>
      <c r="S275" s="122"/>
      <c r="T275" s="122"/>
      <c r="U275" s="122"/>
      <c r="V275" s="122"/>
      <c r="W275" s="122"/>
    </row>
    <row r="276">
      <c r="A276" s="122"/>
      <c r="B276" s="247">
        <f t="shared" si="1"/>
        <v>46363</v>
      </c>
      <c r="C276" s="249"/>
      <c r="D276" s="249"/>
      <c r="E276" s="249"/>
      <c r="F276" s="249"/>
      <c r="G276" s="249" t="s">
        <v>110</v>
      </c>
      <c r="H276" s="249"/>
      <c r="I276" s="249"/>
      <c r="J276" s="256"/>
      <c r="L276" s="249"/>
      <c r="M276" s="249"/>
      <c r="N276" s="249"/>
      <c r="O276" s="249"/>
      <c r="P276" s="249"/>
      <c r="Q276" s="251" t="s">
        <v>110</v>
      </c>
      <c r="R276" s="122"/>
      <c r="S276" s="122"/>
      <c r="T276" s="122"/>
      <c r="U276" s="122"/>
      <c r="V276" s="122"/>
      <c r="W276" s="122"/>
    </row>
    <row r="277">
      <c r="A277" s="122"/>
      <c r="B277" s="252">
        <f t="shared" si="1"/>
        <v>46364</v>
      </c>
      <c r="C277" s="254"/>
      <c r="D277" s="254"/>
      <c r="E277" s="254"/>
      <c r="F277" s="254"/>
      <c r="G277" s="254" t="s">
        <v>110</v>
      </c>
      <c r="H277" s="254"/>
      <c r="I277" s="254"/>
      <c r="J277" s="255"/>
      <c r="L277" s="254"/>
      <c r="M277" s="254"/>
      <c r="N277" s="254"/>
      <c r="O277" s="254"/>
      <c r="P277" s="254"/>
      <c r="Q277" s="251" t="s">
        <v>110</v>
      </c>
      <c r="R277" s="122"/>
      <c r="S277" s="122"/>
      <c r="T277" s="122"/>
      <c r="U277" s="122"/>
      <c r="V277" s="122"/>
      <c r="W277" s="122"/>
    </row>
    <row r="278">
      <c r="A278" s="122"/>
      <c r="B278" s="247">
        <f t="shared" si="1"/>
        <v>46365</v>
      </c>
      <c r="C278" s="249"/>
      <c r="D278" s="249"/>
      <c r="E278" s="249"/>
      <c r="F278" s="249"/>
      <c r="G278" s="249" t="s">
        <v>110</v>
      </c>
      <c r="H278" s="249"/>
      <c r="I278" s="249"/>
      <c r="J278" s="256"/>
      <c r="L278" s="249"/>
      <c r="M278" s="249"/>
      <c r="N278" s="249"/>
      <c r="O278" s="249"/>
      <c r="P278" s="249"/>
      <c r="Q278" s="251" t="s">
        <v>110</v>
      </c>
      <c r="R278" s="122"/>
      <c r="S278" s="122"/>
      <c r="T278" s="122"/>
      <c r="U278" s="122"/>
      <c r="V278" s="122"/>
      <c r="W278" s="122"/>
    </row>
    <row r="279">
      <c r="A279" s="122"/>
      <c r="B279" s="252">
        <f t="shared" si="1"/>
        <v>46366</v>
      </c>
      <c r="C279" s="254"/>
      <c r="D279" s="254"/>
      <c r="E279" s="254"/>
      <c r="F279" s="254"/>
      <c r="G279" s="254" t="s">
        <v>110</v>
      </c>
      <c r="H279" s="254"/>
      <c r="I279" s="254"/>
      <c r="J279" s="255"/>
      <c r="L279" s="254"/>
      <c r="M279" s="254"/>
      <c r="N279" s="254"/>
      <c r="O279" s="254"/>
      <c r="P279" s="254"/>
      <c r="Q279" s="251" t="s">
        <v>110</v>
      </c>
      <c r="R279" s="122"/>
      <c r="S279" s="122"/>
      <c r="T279" s="122"/>
      <c r="U279" s="122"/>
      <c r="V279" s="122"/>
      <c r="W279" s="122"/>
    </row>
    <row r="280">
      <c r="A280" s="122"/>
      <c r="B280" s="247">
        <f t="shared" si="1"/>
        <v>46367</v>
      </c>
      <c r="C280" s="249"/>
      <c r="D280" s="249"/>
      <c r="E280" s="249"/>
      <c r="F280" s="249"/>
      <c r="G280" s="249" t="s">
        <v>110</v>
      </c>
      <c r="H280" s="249"/>
      <c r="I280" s="249"/>
      <c r="J280" s="256"/>
      <c r="L280" s="249"/>
      <c r="M280" s="249"/>
      <c r="N280" s="249"/>
      <c r="O280" s="249"/>
      <c r="P280" s="249"/>
      <c r="Q280" s="251" t="s">
        <v>110</v>
      </c>
      <c r="R280" s="122"/>
      <c r="S280" s="122"/>
      <c r="T280" s="122"/>
      <c r="U280" s="122"/>
      <c r="V280" s="122"/>
      <c r="W280" s="122"/>
    </row>
    <row r="281">
      <c r="A281" s="122"/>
      <c r="B281" s="252">
        <f t="shared" si="1"/>
        <v>46368</v>
      </c>
      <c r="C281" s="254"/>
      <c r="D281" s="254"/>
      <c r="E281" s="254"/>
      <c r="F281" s="254"/>
      <c r="G281" s="254" t="s">
        <v>110</v>
      </c>
      <c r="H281" s="254"/>
      <c r="I281" s="254"/>
      <c r="J281" s="255"/>
      <c r="L281" s="254"/>
      <c r="M281" s="254"/>
      <c r="N281" s="254"/>
      <c r="O281" s="254"/>
      <c r="P281" s="254"/>
      <c r="Q281" s="251" t="s">
        <v>110</v>
      </c>
      <c r="R281" s="122"/>
      <c r="S281" s="122"/>
      <c r="T281" s="122"/>
      <c r="U281" s="122"/>
      <c r="V281" s="122"/>
      <c r="W281" s="122"/>
    </row>
    <row r="282">
      <c r="A282" s="122"/>
      <c r="B282" s="247">
        <f t="shared" si="1"/>
        <v>46369</v>
      </c>
      <c r="C282" s="249"/>
      <c r="D282" s="249"/>
      <c r="E282" s="249"/>
      <c r="F282" s="249"/>
      <c r="G282" s="249" t="s">
        <v>110</v>
      </c>
      <c r="H282" s="249"/>
      <c r="I282" s="249"/>
      <c r="J282" s="256"/>
      <c r="L282" s="249"/>
      <c r="M282" s="249"/>
      <c r="N282" s="249"/>
      <c r="O282" s="249"/>
      <c r="P282" s="249"/>
      <c r="Q282" s="251" t="s">
        <v>110</v>
      </c>
      <c r="R282" s="122"/>
      <c r="S282" s="122"/>
      <c r="T282" s="122"/>
      <c r="U282" s="122"/>
      <c r="V282" s="122"/>
      <c r="W282" s="122"/>
    </row>
    <row r="283">
      <c r="A283" s="122"/>
      <c r="B283" s="252">
        <f t="shared" si="1"/>
        <v>46370</v>
      </c>
      <c r="C283" s="254"/>
      <c r="D283" s="254"/>
      <c r="E283" s="254"/>
      <c r="F283" s="254"/>
      <c r="G283" s="254" t="s">
        <v>110</v>
      </c>
      <c r="H283" s="254"/>
      <c r="I283" s="254"/>
      <c r="J283" s="255"/>
      <c r="L283" s="254"/>
      <c r="M283" s="254"/>
      <c r="N283" s="254"/>
      <c r="O283" s="254"/>
      <c r="P283" s="254"/>
      <c r="Q283" s="251" t="s">
        <v>110</v>
      </c>
      <c r="R283" s="122"/>
      <c r="S283" s="122"/>
      <c r="T283" s="122"/>
      <c r="U283" s="122"/>
      <c r="V283" s="122"/>
      <c r="W283" s="122"/>
    </row>
    <row r="284">
      <c r="A284" s="122"/>
      <c r="B284" s="247">
        <f t="shared" si="1"/>
        <v>46371</v>
      </c>
      <c r="C284" s="249"/>
      <c r="D284" s="249"/>
      <c r="E284" s="249"/>
      <c r="F284" s="249"/>
      <c r="G284" s="249" t="s">
        <v>110</v>
      </c>
      <c r="H284" s="249"/>
      <c r="I284" s="249"/>
      <c r="J284" s="256"/>
      <c r="L284" s="249"/>
      <c r="M284" s="249"/>
      <c r="N284" s="249"/>
      <c r="O284" s="249"/>
      <c r="P284" s="249"/>
      <c r="Q284" s="251" t="s">
        <v>110</v>
      </c>
      <c r="R284" s="122"/>
      <c r="S284" s="122"/>
      <c r="T284" s="122"/>
      <c r="U284" s="122"/>
      <c r="V284" s="122"/>
      <c r="W284" s="122"/>
    </row>
    <row r="285">
      <c r="A285" s="122"/>
      <c r="B285" s="252">
        <f t="shared" si="1"/>
        <v>46372</v>
      </c>
      <c r="C285" s="254"/>
      <c r="D285" s="254"/>
      <c r="E285" s="254"/>
      <c r="F285" s="254"/>
      <c r="G285" s="254" t="s">
        <v>110</v>
      </c>
      <c r="H285" s="254"/>
      <c r="I285" s="254"/>
      <c r="J285" s="255"/>
      <c r="L285" s="254"/>
      <c r="M285" s="254"/>
      <c r="N285" s="254"/>
      <c r="O285" s="254"/>
      <c r="P285" s="254"/>
      <c r="Q285" s="251" t="s">
        <v>110</v>
      </c>
      <c r="R285" s="122"/>
      <c r="S285" s="122"/>
      <c r="T285" s="122"/>
      <c r="U285" s="122"/>
      <c r="V285" s="122"/>
      <c r="W285" s="122"/>
    </row>
    <row r="286">
      <c r="A286" s="122"/>
      <c r="B286" s="247">
        <f t="shared" si="1"/>
        <v>46373</v>
      </c>
      <c r="C286" s="249"/>
      <c r="D286" s="249"/>
      <c r="E286" s="249"/>
      <c r="F286" s="249"/>
      <c r="G286" s="249" t="s">
        <v>110</v>
      </c>
      <c r="H286" s="249"/>
      <c r="I286" s="249"/>
      <c r="J286" s="256"/>
      <c r="L286" s="249"/>
      <c r="M286" s="249"/>
      <c r="N286" s="249"/>
      <c r="O286" s="249"/>
      <c r="P286" s="249"/>
      <c r="Q286" s="251" t="s">
        <v>110</v>
      </c>
      <c r="R286" s="122"/>
      <c r="S286" s="122"/>
      <c r="T286" s="122"/>
      <c r="U286" s="122"/>
      <c r="V286" s="122"/>
      <c r="W286" s="122"/>
    </row>
    <row r="287">
      <c r="A287" s="122"/>
      <c r="B287" s="252">
        <f t="shared" si="1"/>
        <v>46374</v>
      </c>
      <c r="C287" s="254"/>
      <c r="D287" s="254"/>
      <c r="E287" s="254"/>
      <c r="F287" s="254"/>
      <c r="G287" s="254" t="s">
        <v>110</v>
      </c>
      <c r="H287" s="254"/>
      <c r="I287" s="254"/>
      <c r="J287" s="255"/>
      <c r="L287" s="254"/>
      <c r="M287" s="254"/>
      <c r="N287" s="254"/>
      <c r="O287" s="254"/>
      <c r="P287" s="254"/>
      <c r="Q287" s="251" t="s">
        <v>110</v>
      </c>
      <c r="R287" s="122"/>
      <c r="S287" s="122"/>
      <c r="T287" s="122"/>
      <c r="U287" s="122"/>
      <c r="V287" s="122"/>
      <c r="W287" s="122"/>
    </row>
    <row r="288">
      <c r="A288" s="122"/>
      <c r="B288" s="247">
        <f t="shared" si="1"/>
        <v>46375</v>
      </c>
      <c r="C288" s="249"/>
      <c r="D288" s="249"/>
      <c r="E288" s="249"/>
      <c r="F288" s="249"/>
      <c r="G288" s="249" t="s">
        <v>110</v>
      </c>
      <c r="H288" s="249"/>
      <c r="I288" s="249"/>
      <c r="J288" s="256"/>
      <c r="L288" s="249"/>
      <c r="M288" s="249"/>
      <c r="N288" s="249"/>
      <c r="O288" s="249"/>
      <c r="P288" s="249"/>
      <c r="Q288" s="251" t="s">
        <v>110</v>
      </c>
      <c r="R288" s="122"/>
      <c r="S288" s="122"/>
      <c r="T288" s="122"/>
      <c r="U288" s="122"/>
      <c r="V288" s="122"/>
      <c r="W288" s="122"/>
    </row>
    <row r="289">
      <c r="A289" s="122"/>
      <c r="B289" s="252">
        <f t="shared" si="1"/>
        <v>46376</v>
      </c>
      <c r="C289" s="254"/>
      <c r="D289" s="254"/>
      <c r="E289" s="254"/>
      <c r="F289" s="254"/>
      <c r="G289" s="254" t="s">
        <v>110</v>
      </c>
      <c r="H289" s="254"/>
      <c r="I289" s="254"/>
      <c r="J289" s="255"/>
      <c r="L289" s="254"/>
      <c r="M289" s="254"/>
      <c r="N289" s="254"/>
      <c r="O289" s="254"/>
      <c r="P289" s="254"/>
      <c r="Q289" s="251" t="s">
        <v>110</v>
      </c>
      <c r="R289" s="122"/>
      <c r="S289" s="122"/>
      <c r="T289" s="122"/>
      <c r="U289" s="122"/>
      <c r="V289" s="122"/>
      <c r="W289" s="122"/>
    </row>
    <row r="290">
      <c r="A290" s="122"/>
      <c r="B290" s="247">
        <f t="shared" si="1"/>
        <v>46377</v>
      </c>
      <c r="C290" s="249"/>
      <c r="D290" s="249"/>
      <c r="E290" s="249"/>
      <c r="F290" s="249"/>
      <c r="G290" s="249" t="s">
        <v>110</v>
      </c>
      <c r="H290" s="249"/>
      <c r="I290" s="249"/>
      <c r="J290" s="256"/>
      <c r="L290" s="249"/>
      <c r="M290" s="249"/>
      <c r="N290" s="249"/>
      <c r="O290" s="249"/>
      <c r="P290" s="249"/>
      <c r="Q290" s="251" t="s">
        <v>110</v>
      </c>
      <c r="R290" s="122"/>
      <c r="S290" s="122"/>
      <c r="T290" s="122"/>
      <c r="U290" s="122"/>
      <c r="V290" s="122"/>
      <c r="W290" s="122"/>
    </row>
    <row r="291">
      <c r="A291" s="122"/>
      <c r="B291" s="252">
        <f t="shared" si="1"/>
        <v>46378</v>
      </c>
      <c r="C291" s="254"/>
      <c r="D291" s="254"/>
      <c r="E291" s="254"/>
      <c r="F291" s="254"/>
      <c r="G291" s="254" t="s">
        <v>110</v>
      </c>
      <c r="H291" s="254"/>
      <c r="I291" s="254"/>
      <c r="J291" s="255"/>
      <c r="L291" s="254"/>
      <c r="M291" s="254"/>
      <c r="N291" s="254"/>
      <c r="O291" s="254"/>
      <c r="P291" s="254"/>
      <c r="Q291" s="251" t="s">
        <v>110</v>
      </c>
      <c r="R291" s="122"/>
      <c r="S291" s="122"/>
      <c r="T291" s="122"/>
      <c r="U291" s="122"/>
      <c r="V291" s="122"/>
      <c r="W291" s="122"/>
    </row>
    <row r="292">
      <c r="A292" s="122"/>
      <c r="B292" s="247">
        <f t="shared" si="1"/>
        <v>46379</v>
      </c>
      <c r="C292" s="249"/>
      <c r="D292" s="249"/>
      <c r="E292" s="249"/>
      <c r="F292" s="249"/>
      <c r="G292" s="249" t="s">
        <v>110</v>
      </c>
      <c r="H292" s="249"/>
      <c r="I292" s="249"/>
      <c r="J292" s="256"/>
      <c r="L292" s="249"/>
      <c r="M292" s="249"/>
      <c r="N292" s="249"/>
      <c r="O292" s="249"/>
      <c r="P292" s="249"/>
      <c r="Q292" s="251" t="s">
        <v>110</v>
      </c>
      <c r="R292" s="122"/>
      <c r="S292" s="122"/>
      <c r="T292" s="122"/>
      <c r="U292" s="122"/>
      <c r="V292" s="122"/>
      <c r="W292" s="122"/>
    </row>
    <row r="293">
      <c r="A293" s="122"/>
      <c r="B293" s="252">
        <f t="shared" si="1"/>
        <v>46380</v>
      </c>
      <c r="C293" s="254"/>
      <c r="D293" s="254"/>
      <c r="E293" s="254"/>
      <c r="F293" s="254"/>
      <c r="G293" s="254" t="s">
        <v>110</v>
      </c>
      <c r="H293" s="254"/>
      <c r="I293" s="254"/>
      <c r="J293" s="255"/>
      <c r="L293" s="254"/>
      <c r="M293" s="254"/>
      <c r="N293" s="254"/>
      <c r="O293" s="254"/>
      <c r="P293" s="254"/>
      <c r="Q293" s="251" t="s">
        <v>110</v>
      </c>
      <c r="R293" s="122"/>
      <c r="S293" s="122"/>
      <c r="T293" s="122"/>
      <c r="U293" s="122"/>
      <c r="V293" s="122"/>
      <c r="W293" s="122"/>
    </row>
    <row r="294">
      <c r="A294" s="122"/>
      <c r="B294" s="247">
        <f t="shared" si="1"/>
        <v>46381</v>
      </c>
      <c r="C294" s="249"/>
      <c r="D294" s="249"/>
      <c r="E294" s="249"/>
      <c r="F294" s="249"/>
      <c r="G294" s="249" t="s">
        <v>110</v>
      </c>
      <c r="H294" s="249"/>
      <c r="I294" s="249"/>
      <c r="J294" s="256"/>
      <c r="L294" s="249"/>
      <c r="M294" s="249"/>
      <c r="N294" s="249"/>
      <c r="O294" s="249"/>
      <c r="P294" s="249"/>
      <c r="Q294" s="251" t="s">
        <v>110</v>
      </c>
      <c r="R294" s="122"/>
      <c r="S294" s="122"/>
      <c r="T294" s="122"/>
      <c r="U294" s="122"/>
      <c r="V294" s="122"/>
      <c r="W294" s="122"/>
    </row>
    <row r="295">
      <c r="A295" s="122"/>
      <c r="B295" s="252">
        <f t="shared" si="1"/>
        <v>46382</v>
      </c>
      <c r="C295" s="254"/>
      <c r="D295" s="254"/>
      <c r="E295" s="254"/>
      <c r="F295" s="254"/>
      <c r="G295" s="254" t="s">
        <v>110</v>
      </c>
      <c r="H295" s="254"/>
      <c r="I295" s="254"/>
      <c r="J295" s="255"/>
      <c r="L295" s="254"/>
      <c r="M295" s="254"/>
      <c r="N295" s="254"/>
      <c r="O295" s="254"/>
      <c r="P295" s="254"/>
      <c r="Q295" s="251" t="s">
        <v>110</v>
      </c>
      <c r="R295" s="122"/>
      <c r="S295" s="122"/>
      <c r="T295" s="122"/>
      <c r="U295" s="122"/>
      <c r="V295" s="122"/>
      <c r="W295" s="122"/>
    </row>
    <row r="296">
      <c r="A296" s="122"/>
      <c r="B296" s="247">
        <f t="shared" si="1"/>
        <v>46383</v>
      </c>
      <c r="C296" s="249"/>
      <c r="D296" s="249"/>
      <c r="E296" s="249"/>
      <c r="F296" s="249"/>
      <c r="G296" s="249" t="s">
        <v>110</v>
      </c>
      <c r="H296" s="249"/>
      <c r="I296" s="249"/>
      <c r="J296" s="256"/>
      <c r="L296" s="249"/>
      <c r="M296" s="249"/>
      <c r="N296" s="249"/>
      <c r="O296" s="249"/>
      <c r="P296" s="249"/>
      <c r="Q296" s="251" t="s">
        <v>110</v>
      </c>
      <c r="R296" s="122"/>
      <c r="S296" s="122"/>
      <c r="T296" s="122"/>
      <c r="U296" s="122"/>
      <c r="V296" s="122"/>
      <c r="W296" s="122"/>
    </row>
    <row r="297">
      <c r="A297" s="122"/>
      <c r="B297" s="252">
        <f t="shared" si="1"/>
        <v>46384</v>
      </c>
      <c r="C297" s="254"/>
      <c r="D297" s="254"/>
      <c r="E297" s="254"/>
      <c r="F297" s="254"/>
      <c r="G297" s="254" t="s">
        <v>110</v>
      </c>
      <c r="H297" s="254"/>
      <c r="I297" s="254"/>
      <c r="J297" s="255"/>
      <c r="L297" s="254"/>
      <c r="M297" s="254"/>
      <c r="N297" s="254"/>
      <c r="O297" s="254"/>
      <c r="P297" s="254"/>
      <c r="Q297" s="251" t="s">
        <v>110</v>
      </c>
      <c r="R297" s="122"/>
      <c r="S297" s="122"/>
      <c r="T297" s="122"/>
      <c r="U297" s="122"/>
      <c r="V297" s="122"/>
      <c r="W297" s="122"/>
    </row>
    <row r="298">
      <c r="A298" s="122"/>
      <c r="B298" s="247">
        <f t="shared" si="1"/>
        <v>46385</v>
      </c>
      <c r="C298" s="249"/>
      <c r="D298" s="249"/>
      <c r="E298" s="249"/>
      <c r="F298" s="249"/>
      <c r="G298" s="249" t="s">
        <v>110</v>
      </c>
      <c r="H298" s="249"/>
      <c r="I298" s="249"/>
      <c r="J298" s="256"/>
      <c r="L298" s="249"/>
      <c r="M298" s="249"/>
      <c r="N298" s="249"/>
      <c r="O298" s="249"/>
      <c r="P298" s="249"/>
      <c r="Q298" s="251" t="s">
        <v>110</v>
      </c>
      <c r="R298" s="122"/>
      <c r="S298" s="122"/>
      <c r="T298" s="122"/>
      <c r="U298" s="122"/>
      <c r="V298" s="122"/>
      <c r="W298" s="122"/>
    </row>
    <row r="299">
      <c r="A299" s="122"/>
      <c r="B299" s="252">
        <f t="shared" si="1"/>
        <v>46386</v>
      </c>
      <c r="C299" s="254"/>
      <c r="D299" s="254"/>
      <c r="E299" s="254"/>
      <c r="F299" s="254"/>
      <c r="G299" s="254" t="s">
        <v>110</v>
      </c>
      <c r="H299" s="254"/>
      <c r="I299" s="254"/>
      <c r="J299" s="255"/>
      <c r="L299" s="254"/>
      <c r="M299" s="254"/>
      <c r="N299" s="254"/>
      <c r="O299" s="254"/>
      <c r="P299" s="254"/>
      <c r="Q299" s="251" t="s">
        <v>110</v>
      </c>
      <c r="R299" s="122"/>
      <c r="S299" s="122"/>
      <c r="T299" s="122"/>
      <c r="U299" s="122"/>
      <c r="V299" s="122"/>
      <c r="W299" s="122"/>
    </row>
    <row r="300">
      <c r="A300" s="122"/>
      <c r="B300" s="247">
        <f t="shared" si="1"/>
        <v>46387</v>
      </c>
      <c r="C300" s="249"/>
      <c r="D300" s="249"/>
      <c r="E300" s="249"/>
      <c r="F300" s="249"/>
      <c r="G300" s="249" t="s">
        <v>110</v>
      </c>
      <c r="H300" s="249"/>
      <c r="I300" s="249"/>
      <c r="J300" s="256"/>
      <c r="L300" s="249"/>
      <c r="M300" s="249"/>
      <c r="N300" s="249"/>
      <c r="O300" s="249"/>
      <c r="P300" s="249"/>
      <c r="Q300" s="251" t="s">
        <v>110</v>
      </c>
      <c r="R300" s="122"/>
      <c r="S300" s="122"/>
      <c r="T300" s="122"/>
      <c r="U300" s="122"/>
      <c r="V300" s="122"/>
      <c r="W300" s="122"/>
    </row>
    <row r="301">
      <c r="A301" s="122"/>
      <c r="B301" s="252">
        <f t="shared" si="1"/>
        <v>46388</v>
      </c>
      <c r="C301" s="254"/>
      <c r="D301" s="254"/>
      <c r="E301" s="254"/>
      <c r="F301" s="254"/>
      <c r="G301" s="254" t="s">
        <v>110</v>
      </c>
      <c r="H301" s="254"/>
      <c r="I301" s="254"/>
      <c r="J301" s="255"/>
      <c r="L301" s="254"/>
      <c r="M301" s="254"/>
      <c r="N301" s="254"/>
      <c r="O301" s="254"/>
      <c r="P301" s="254"/>
      <c r="Q301" s="251" t="s">
        <v>110</v>
      </c>
      <c r="R301" s="122"/>
      <c r="S301" s="122"/>
      <c r="T301" s="122"/>
      <c r="U301" s="122"/>
      <c r="V301" s="122"/>
      <c r="W301" s="122"/>
    </row>
    <row r="302">
      <c r="A302" s="122"/>
      <c r="B302" s="247">
        <f t="shared" si="1"/>
        <v>46389</v>
      </c>
      <c r="C302" s="249"/>
      <c r="D302" s="249"/>
      <c r="E302" s="249"/>
      <c r="F302" s="249"/>
      <c r="G302" s="249" t="s">
        <v>110</v>
      </c>
      <c r="H302" s="249"/>
      <c r="I302" s="249"/>
      <c r="J302" s="256"/>
      <c r="L302" s="249"/>
      <c r="M302" s="249"/>
      <c r="N302" s="249"/>
      <c r="O302" s="249"/>
      <c r="P302" s="249"/>
      <c r="Q302" s="251" t="s">
        <v>110</v>
      </c>
      <c r="R302" s="122"/>
      <c r="S302" s="122"/>
      <c r="T302" s="122"/>
      <c r="U302" s="122"/>
      <c r="V302" s="122"/>
      <c r="W302" s="122"/>
    </row>
    <row r="303">
      <c r="A303" s="122"/>
      <c r="B303" s="252">
        <f t="shared" si="1"/>
        <v>46390</v>
      </c>
      <c r="C303" s="254"/>
      <c r="D303" s="254"/>
      <c r="E303" s="254"/>
      <c r="F303" s="254"/>
      <c r="G303" s="254" t="s">
        <v>110</v>
      </c>
      <c r="H303" s="254"/>
      <c r="I303" s="254"/>
      <c r="J303" s="255"/>
      <c r="L303" s="254"/>
      <c r="M303" s="254"/>
      <c r="N303" s="254"/>
      <c r="O303" s="254"/>
      <c r="P303" s="254"/>
      <c r="Q303" s="251" t="s">
        <v>110</v>
      </c>
      <c r="R303" s="122"/>
      <c r="S303" s="122"/>
      <c r="T303" s="122"/>
      <c r="U303" s="122"/>
      <c r="V303" s="122"/>
      <c r="W303" s="122"/>
    </row>
    <row r="304">
      <c r="A304" s="122"/>
      <c r="B304" s="247">
        <f t="shared" si="1"/>
        <v>46391</v>
      </c>
      <c r="C304" s="249"/>
      <c r="D304" s="249"/>
      <c r="E304" s="249"/>
      <c r="F304" s="249"/>
      <c r="G304" s="249" t="s">
        <v>110</v>
      </c>
      <c r="H304" s="249"/>
      <c r="I304" s="249"/>
      <c r="J304" s="256"/>
      <c r="L304" s="249"/>
      <c r="M304" s="249"/>
      <c r="N304" s="249"/>
      <c r="O304" s="249"/>
      <c r="P304" s="249"/>
      <c r="Q304" s="251" t="s">
        <v>110</v>
      </c>
      <c r="R304" s="122"/>
      <c r="S304" s="122"/>
      <c r="T304" s="122"/>
      <c r="U304" s="122"/>
      <c r="V304" s="122"/>
      <c r="W304" s="122"/>
    </row>
    <row r="305">
      <c r="A305" s="122"/>
      <c r="B305" s="252">
        <f t="shared" si="1"/>
        <v>46392</v>
      </c>
      <c r="C305" s="254"/>
      <c r="D305" s="254"/>
      <c r="E305" s="254"/>
      <c r="F305" s="254"/>
      <c r="G305" s="254" t="s">
        <v>110</v>
      </c>
      <c r="H305" s="254"/>
      <c r="I305" s="254"/>
      <c r="J305" s="255"/>
      <c r="L305" s="254"/>
      <c r="M305" s="254"/>
      <c r="N305" s="254"/>
      <c r="O305" s="254"/>
      <c r="P305" s="254"/>
      <c r="Q305" s="251" t="s">
        <v>110</v>
      </c>
      <c r="R305" s="122"/>
      <c r="S305" s="122"/>
      <c r="T305" s="122"/>
      <c r="U305" s="122"/>
      <c r="V305" s="122"/>
      <c r="W305" s="122"/>
    </row>
    <row r="306">
      <c r="A306" s="122"/>
      <c r="B306" s="247">
        <f t="shared" si="1"/>
        <v>46393</v>
      </c>
      <c r="C306" s="249"/>
      <c r="D306" s="249"/>
      <c r="E306" s="249"/>
      <c r="F306" s="249"/>
      <c r="G306" s="249" t="s">
        <v>110</v>
      </c>
      <c r="H306" s="249"/>
      <c r="I306" s="249"/>
      <c r="J306" s="256"/>
      <c r="L306" s="249"/>
      <c r="M306" s="249"/>
      <c r="N306" s="249"/>
      <c r="O306" s="249"/>
      <c r="P306" s="249"/>
      <c r="Q306" s="251" t="s">
        <v>110</v>
      </c>
      <c r="R306" s="122"/>
      <c r="S306" s="122"/>
      <c r="T306" s="122"/>
      <c r="U306" s="122"/>
      <c r="V306" s="122"/>
      <c r="W306" s="122"/>
    </row>
    <row r="307">
      <c r="A307" s="122"/>
      <c r="B307" s="252">
        <f t="shared" si="1"/>
        <v>46394</v>
      </c>
      <c r="C307" s="254"/>
      <c r="D307" s="254"/>
      <c r="E307" s="254"/>
      <c r="F307" s="254"/>
      <c r="G307" s="254" t="s">
        <v>110</v>
      </c>
      <c r="H307" s="254"/>
      <c r="I307" s="254"/>
      <c r="J307" s="255"/>
      <c r="L307" s="254"/>
      <c r="M307" s="254"/>
      <c r="N307" s="254"/>
      <c r="O307" s="254"/>
      <c r="P307" s="254"/>
      <c r="Q307" s="251" t="s">
        <v>110</v>
      </c>
      <c r="R307" s="122"/>
      <c r="S307" s="122"/>
      <c r="T307" s="122"/>
      <c r="U307" s="122"/>
      <c r="V307" s="122"/>
      <c r="W307" s="122"/>
    </row>
    <row r="308">
      <c r="A308" s="122"/>
      <c r="B308" s="247">
        <f t="shared" si="1"/>
        <v>46395</v>
      </c>
      <c r="C308" s="249"/>
      <c r="D308" s="249"/>
      <c r="E308" s="249"/>
      <c r="F308" s="249"/>
      <c r="G308" s="249" t="s">
        <v>110</v>
      </c>
      <c r="H308" s="249"/>
      <c r="I308" s="249"/>
      <c r="J308" s="256"/>
      <c r="L308" s="249"/>
      <c r="M308" s="249"/>
      <c r="N308" s="249"/>
      <c r="O308" s="249"/>
      <c r="P308" s="249"/>
      <c r="Q308" s="251" t="s">
        <v>110</v>
      </c>
      <c r="R308" s="122"/>
      <c r="S308" s="122"/>
      <c r="T308" s="122"/>
      <c r="U308" s="122"/>
      <c r="V308" s="122"/>
      <c r="W308" s="122"/>
    </row>
    <row r="309">
      <c r="A309" s="122"/>
      <c r="B309" s="252">
        <f t="shared" si="1"/>
        <v>46396</v>
      </c>
      <c r="C309" s="254"/>
      <c r="D309" s="254"/>
      <c r="E309" s="254"/>
      <c r="F309" s="254"/>
      <c r="G309" s="254" t="s">
        <v>110</v>
      </c>
      <c r="H309" s="254"/>
      <c r="I309" s="254"/>
      <c r="J309" s="255"/>
      <c r="L309" s="254"/>
      <c r="M309" s="254"/>
      <c r="N309" s="254"/>
      <c r="O309" s="254"/>
      <c r="P309" s="254"/>
      <c r="Q309" s="251" t="s">
        <v>110</v>
      </c>
      <c r="R309" s="122"/>
      <c r="S309" s="122"/>
      <c r="T309" s="122"/>
      <c r="U309" s="122"/>
      <c r="V309" s="122"/>
      <c r="W309" s="122"/>
    </row>
    <row r="310">
      <c r="A310" s="122"/>
      <c r="B310" s="247">
        <f t="shared" si="1"/>
        <v>46397</v>
      </c>
      <c r="C310" s="249"/>
      <c r="D310" s="249"/>
      <c r="E310" s="249"/>
      <c r="F310" s="249"/>
      <c r="G310" s="249" t="s">
        <v>110</v>
      </c>
      <c r="H310" s="249"/>
      <c r="I310" s="249"/>
      <c r="J310" s="256"/>
      <c r="L310" s="249"/>
      <c r="M310" s="249"/>
      <c r="N310" s="249"/>
      <c r="O310" s="249"/>
      <c r="P310" s="249"/>
      <c r="Q310" s="251" t="s">
        <v>110</v>
      </c>
      <c r="R310" s="122"/>
      <c r="S310" s="122"/>
      <c r="T310" s="122"/>
      <c r="U310" s="122"/>
      <c r="V310" s="122"/>
      <c r="W310" s="122"/>
    </row>
    <row r="311">
      <c r="A311" s="122"/>
      <c r="B311" s="252">
        <f t="shared" si="1"/>
        <v>46398</v>
      </c>
      <c r="C311" s="254"/>
      <c r="D311" s="254"/>
      <c r="E311" s="254"/>
      <c r="F311" s="254"/>
      <c r="G311" s="254" t="s">
        <v>110</v>
      </c>
      <c r="H311" s="254"/>
      <c r="I311" s="254"/>
      <c r="J311" s="255"/>
      <c r="L311" s="254"/>
      <c r="M311" s="254"/>
      <c r="N311" s="254"/>
      <c r="O311" s="254"/>
      <c r="P311" s="254"/>
      <c r="Q311" s="251" t="s">
        <v>110</v>
      </c>
      <c r="R311" s="122"/>
      <c r="S311" s="122"/>
      <c r="T311" s="122"/>
      <c r="U311" s="122"/>
      <c r="V311" s="122"/>
      <c r="W311" s="122"/>
    </row>
    <row r="312">
      <c r="A312" s="122"/>
      <c r="B312" s="247">
        <f t="shared" si="1"/>
        <v>46399</v>
      </c>
      <c r="C312" s="249"/>
      <c r="D312" s="249"/>
      <c r="E312" s="249"/>
      <c r="F312" s="249"/>
      <c r="G312" s="249" t="s">
        <v>110</v>
      </c>
      <c r="H312" s="249"/>
      <c r="I312" s="249"/>
      <c r="J312" s="256"/>
      <c r="L312" s="249"/>
      <c r="M312" s="249"/>
      <c r="N312" s="249"/>
      <c r="O312" s="249"/>
      <c r="P312" s="249"/>
      <c r="Q312" s="251" t="s">
        <v>110</v>
      </c>
      <c r="R312" s="122"/>
      <c r="S312" s="122"/>
      <c r="T312" s="122"/>
      <c r="U312" s="122"/>
      <c r="V312" s="122"/>
      <c r="W312" s="122"/>
    </row>
    <row r="313">
      <c r="A313" s="122"/>
      <c r="B313" s="252">
        <f t="shared" si="1"/>
        <v>46400</v>
      </c>
      <c r="C313" s="254"/>
      <c r="D313" s="254"/>
      <c r="E313" s="254"/>
      <c r="F313" s="254"/>
      <c r="G313" s="254" t="s">
        <v>110</v>
      </c>
      <c r="H313" s="254"/>
      <c r="I313" s="254"/>
      <c r="J313" s="255"/>
      <c r="L313" s="254"/>
      <c r="M313" s="254"/>
      <c r="N313" s="254"/>
      <c r="O313" s="254"/>
      <c r="P313" s="254"/>
      <c r="Q313" s="251" t="s">
        <v>110</v>
      </c>
      <c r="R313" s="122"/>
      <c r="S313" s="122"/>
      <c r="T313" s="122"/>
      <c r="U313" s="122"/>
      <c r="V313" s="122"/>
      <c r="W313" s="122"/>
    </row>
    <row r="314">
      <c r="A314" s="122"/>
      <c r="B314" s="247">
        <f t="shared" si="1"/>
        <v>46401</v>
      </c>
      <c r="C314" s="249"/>
      <c r="D314" s="249"/>
      <c r="E314" s="249"/>
      <c r="F314" s="249"/>
      <c r="G314" s="249" t="s">
        <v>110</v>
      </c>
      <c r="H314" s="249"/>
      <c r="I314" s="249"/>
      <c r="J314" s="256"/>
      <c r="L314" s="249"/>
      <c r="M314" s="249"/>
      <c r="N314" s="249"/>
      <c r="O314" s="249"/>
      <c r="P314" s="249"/>
      <c r="Q314" s="251" t="s">
        <v>110</v>
      </c>
      <c r="R314" s="122"/>
      <c r="S314" s="122"/>
      <c r="T314" s="122"/>
      <c r="U314" s="122"/>
      <c r="V314" s="122"/>
      <c r="W314" s="122"/>
    </row>
    <row r="315">
      <c r="A315" s="122"/>
      <c r="B315" s="252">
        <f t="shared" si="1"/>
        <v>46402</v>
      </c>
      <c r="C315" s="254"/>
      <c r="D315" s="254"/>
      <c r="E315" s="254"/>
      <c r="F315" s="254"/>
      <c r="G315" s="254" t="s">
        <v>110</v>
      </c>
      <c r="H315" s="254"/>
      <c r="I315" s="254"/>
      <c r="J315" s="255"/>
      <c r="L315" s="254"/>
      <c r="M315" s="254"/>
      <c r="N315" s="254"/>
      <c r="O315" s="254"/>
      <c r="P315" s="254"/>
      <c r="Q315" s="251" t="s">
        <v>110</v>
      </c>
      <c r="R315" s="122"/>
      <c r="S315" s="122"/>
      <c r="T315" s="122"/>
      <c r="U315" s="122"/>
      <c r="V315" s="122"/>
      <c r="W315" s="122"/>
    </row>
    <row r="316">
      <c r="A316" s="122"/>
      <c r="B316" s="247">
        <f t="shared" si="1"/>
        <v>46403</v>
      </c>
      <c r="C316" s="249"/>
      <c r="D316" s="249"/>
      <c r="E316" s="249"/>
      <c r="F316" s="249"/>
      <c r="G316" s="249" t="s">
        <v>110</v>
      </c>
      <c r="H316" s="249"/>
      <c r="I316" s="249"/>
      <c r="J316" s="256"/>
      <c r="L316" s="249"/>
      <c r="M316" s="249"/>
      <c r="N316" s="249"/>
      <c r="O316" s="249"/>
      <c r="P316" s="249"/>
      <c r="Q316" s="251" t="s">
        <v>110</v>
      </c>
      <c r="R316" s="122"/>
      <c r="S316" s="122"/>
      <c r="T316" s="122"/>
      <c r="U316" s="122"/>
      <c r="V316" s="122"/>
      <c r="W316" s="122"/>
    </row>
    <row r="317">
      <c r="A317" s="122"/>
      <c r="B317" s="252">
        <f t="shared" si="1"/>
        <v>46404</v>
      </c>
      <c r="C317" s="254"/>
      <c r="D317" s="254"/>
      <c r="E317" s="254"/>
      <c r="F317" s="254"/>
      <c r="G317" s="254" t="s">
        <v>110</v>
      </c>
      <c r="H317" s="254"/>
      <c r="I317" s="254"/>
      <c r="J317" s="255"/>
      <c r="L317" s="254"/>
      <c r="M317" s="254"/>
      <c r="N317" s="254"/>
      <c r="O317" s="254"/>
      <c r="P317" s="254"/>
      <c r="Q317" s="251" t="s">
        <v>110</v>
      </c>
      <c r="R317" s="122"/>
      <c r="S317" s="122"/>
      <c r="T317" s="122"/>
      <c r="U317" s="122"/>
      <c r="V317" s="122"/>
      <c r="W317" s="122"/>
    </row>
    <row r="318">
      <c r="A318" s="122"/>
      <c r="B318" s="247">
        <f t="shared" si="1"/>
        <v>46405</v>
      </c>
      <c r="C318" s="249"/>
      <c r="D318" s="249"/>
      <c r="E318" s="249"/>
      <c r="F318" s="249"/>
      <c r="G318" s="249" t="s">
        <v>110</v>
      </c>
      <c r="H318" s="249"/>
      <c r="I318" s="249"/>
      <c r="J318" s="256"/>
      <c r="L318" s="249"/>
      <c r="M318" s="249"/>
      <c r="N318" s="249"/>
      <c r="O318" s="249"/>
      <c r="P318" s="249"/>
      <c r="Q318" s="251" t="s">
        <v>110</v>
      </c>
      <c r="R318" s="122"/>
      <c r="S318" s="122"/>
      <c r="T318" s="122"/>
      <c r="U318" s="122"/>
      <c r="V318" s="122"/>
      <c r="W318" s="122"/>
    </row>
    <row r="319">
      <c r="A319" s="122"/>
      <c r="B319" s="252">
        <f t="shared" si="1"/>
        <v>46406</v>
      </c>
      <c r="C319" s="254"/>
      <c r="D319" s="254"/>
      <c r="E319" s="254"/>
      <c r="F319" s="254"/>
      <c r="G319" s="254" t="s">
        <v>110</v>
      </c>
      <c r="H319" s="254"/>
      <c r="I319" s="254"/>
      <c r="J319" s="255"/>
      <c r="L319" s="254"/>
      <c r="M319" s="254"/>
      <c r="N319" s="254"/>
      <c r="O319" s="254"/>
      <c r="P319" s="254"/>
      <c r="Q319" s="251" t="s">
        <v>110</v>
      </c>
      <c r="R319" s="122"/>
      <c r="S319" s="122"/>
      <c r="T319" s="122"/>
      <c r="U319" s="122"/>
      <c r="V319" s="122"/>
      <c r="W319" s="122"/>
    </row>
    <row r="320">
      <c r="A320" s="122"/>
      <c r="B320" s="247">
        <f t="shared" si="1"/>
        <v>46407</v>
      </c>
      <c r="C320" s="249"/>
      <c r="D320" s="249"/>
      <c r="E320" s="249"/>
      <c r="F320" s="249"/>
      <c r="G320" s="249" t="s">
        <v>110</v>
      </c>
      <c r="H320" s="249"/>
      <c r="I320" s="249"/>
      <c r="J320" s="256"/>
      <c r="L320" s="249"/>
      <c r="M320" s="249"/>
      <c r="N320" s="249"/>
      <c r="O320" s="249"/>
      <c r="P320" s="249"/>
      <c r="Q320" s="251" t="s">
        <v>110</v>
      </c>
      <c r="R320" s="122"/>
      <c r="S320" s="122"/>
      <c r="T320" s="122"/>
      <c r="U320" s="122"/>
      <c r="V320" s="122"/>
      <c r="W320" s="122"/>
    </row>
    <row r="321">
      <c r="A321" s="122"/>
      <c r="B321" s="252">
        <f t="shared" si="1"/>
        <v>46408</v>
      </c>
      <c r="C321" s="254"/>
      <c r="D321" s="254"/>
      <c r="E321" s="254"/>
      <c r="F321" s="254"/>
      <c r="G321" s="254" t="s">
        <v>110</v>
      </c>
      <c r="H321" s="254"/>
      <c r="I321" s="254"/>
      <c r="J321" s="255"/>
      <c r="L321" s="254"/>
      <c r="M321" s="254"/>
      <c r="N321" s="254"/>
      <c r="O321" s="254"/>
      <c r="P321" s="254"/>
      <c r="Q321" s="251" t="s">
        <v>110</v>
      </c>
      <c r="R321" s="122"/>
      <c r="S321" s="122"/>
      <c r="T321" s="122"/>
      <c r="U321" s="122"/>
      <c r="V321" s="122"/>
      <c r="W321" s="122"/>
    </row>
    <row r="322">
      <c r="A322" s="122"/>
      <c r="B322" s="247">
        <f t="shared" si="1"/>
        <v>46409</v>
      </c>
      <c r="C322" s="249"/>
      <c r="D322" s="249"/>
      <c r="E322" s="249"/>
      <c r="F322" s="249"/>
      <c r="G322" s="249" t="s">
        <v>110</v>
      </c>
      <c r="H322" s="249"/>
      <c r="I322" s="249"/>
      <c r="J322" s="256"/>
      <c r="L322" s="249"/>
      <c r="M322" s="249"/>
      <c r="N322" s="249"/>
      <c r="O322" s="249"/>
      <c r="P322" s="249"/>
      <c r="Q322" s="251" t="s">
        <v>110</v>
      </c>
      <c r="R322" s="122"/>
      <c r="S322" s="122"/>
      <c r="T322" s="122"/>
      <c r="U322" s="122"/>
      <c r="V322" s="122"/>
      <c r="W322" s="122"/>
    </row>
    <row r="323">
      <c r="A323" s="122"/>
      <c r="B323" s="252">
        <f t="shared" si="1"/>
        <v>46410</v>
      </c>
      <c r="C323" s="254"/>
      <c r="D323" s="254"/>
      <c r="E323" s="254"/>
      <c r="F323" s="254"/>
      <c r="G323" s="254" t="s">
        <v>110</v>
      </c>
      <c r="H323" s="254"/>
      <c r="I323" s="254"/>
      <c r="J323" s="255"/>
      <c r="L323" s="254"/>
      <c r="M323" s="254"/>
      <c r="N323" s="254"/>
      <c r="O323" s="254"/>
      <c r="P323" s="254"/>
      <c r="Q323" s="251" t="s">
        <v>110</v>
      </c>
      <c r="R323" s="122"/>
      <c r="S323" s="122"/>
      <c r="T323" s="122"/>
      <c r="U323" s="122"/>
      <c r="V323" s="122"/>
      <c r="W323" s="122"/>
    </row>
    <row r="324">
      <c r="A324" s="122"/>
      <c r="B324" s="247">
        <f t="shared" si="1"/>
        <v>46411</v>
      </c>
      <c r="C324" s="249"/>
      <c r="D324" s="249"/>
      <c r="E324" s="249"/>
      <c r="F324" s="249"/>
      <c r="G324" s="249" t="s">
        <v>110</v>
      </c>
      <c r="H324" s="249"/>
      <c r="I324" s="249"/>
      <c r="J324" s="256"/>
      <c r="L324" s="249"/>
      <c r="M324" s="249"/>
      <c r="N324" s="249"/>
      <c r="O324" s="249"/>
      <c r="P324" s="249"/>
      <c r="Q324" s="251" t="s">
        <v>110</v>
      </c>
      <c r="R324" s="122"/>
      <c r="S324" s="122"/>
      <c r="T324" s="122"/>
      <c r="U324" s="122"/>
      <c r="V324" s="122"/>
      <c r="W324" s="122"/>
    </row>
    <row r="325">
      <c r="A325" s="122"/>
      <c r="B325" s="252">
        <f t="shared" si="1"/>
        <v>46412</v>
      </c>
      <c r="C325" s="254"/>
      <c r="D325" s="254"/>
      <c r="E325" s="254"/>
      <c r="F325" s="254"/>
      <c r="G325" s="254" t="s">
        <v>110</v>
      </c>
      <c r="H325" s="254"/>
      <c r="I325" s="254"/>
      <c r="J325" s="255"/>
      <c r="L325" s="254"/>
      <c r="M325" s="254"/>
      <c r="N325" s="254"/>
      <c r="O325" s="254"/>
      <c r="P325" s="254"/>
      <c r="Q325" s="251" t="s">
        <v>110</v>
      </c>
      <c r="R325" s="122"/>
      <c r="S325" s="122"/>
      <c r="T325" s="122"/>
      <c r="U325" s="122"/>
      <c r="V325" s="122"/>
      <c r="W325" s="122"/>
    </row>
    <row r="326">
      <c r="A326" s="122"/>
      <c r="B326" s="247">
        <f t="shared" si="1"/>
        <v>46413</v>
      </c>
      <c r="C326" s="249"/>
      <c r="D326" s="249"/>
      <c r="E326" s="249"/>
      <c r="F326" s="249"/>
      <c r="G326" s="249" t="s">
        <v>110</v>
      </c>
      <c r="H326" s="249"/>
      <c r="I326" s="249"/>
      <c r="J326" s="256"/>
      <c r="L326" s="249"/>
      <c r="M326" s="249"/>
      <c r="N326" s="249"/>
      <c r="O326" s="249"/>
      <c r="P326" s="249"/>
      <c r="Q326" s="251" t="s">
        <v>110</v>
      </c>
      <c r="R326" s="122"/>
      <c r="S326" s="122"/>
      <c r="T326" s="122"/>
      <c r="U326" s="122"/>
      <c r="V326" s="122"/>
      <c r="W326" s="122"/>
    </row>
    <row r="327">
      <c r="A327" s="122"/>
      <c r="B327" s="252">
        <f t="shared" si="1"/>
        <v>46414</v>
      </c>
      <c r="C327" s="254"/>
      <c r="D327" s="254"/>
      <c r="E327" s="254"/>
      <c r="F327" s="254"/>
      <c r="G327" s="254" t="s">
        <v>110</v>
      </c>
      <c r="H327" s="254"/>
      <c r="I327" s="254"/>
      <c r="J327" s="255"/>
      <c r="L327" s="254"/>
      <c r="M327" s="254"/>
      <c r="N327" s="254"/>
      <c r="O327" s="254"/>
      <c r="P327" s="254"/>
      <c r="Q327" s="251" t="s">
        <v>110</v>
      </c>
      <c r="R327" s="122"/>
      <c r="S327" s="122"/>
      <c r="T327" s="122"/>
      <c r="U327" s="122"/>
      <c r="V327" s="122"/>
      <c r="W327" s="122"/>
    </row>
    <row r="328">
      <c r="A328" s="122"/>
      <c r="B328" s="247">
        <f t="shared" si="1"/>
        <v>46415</v>
      </c>
      <c r="C328" s="249"/>
      <c r="D328" s="249"/>
      <c r="E328" s="249"/>
      <c r="F328" s="249"/>
      <c r="G328" s="249" t="s">
        <v>110</v>
      </c>
      <c r="H328" s="249"/>
      <c r="I328" s="249"/>
      <c r="J328" s="256"/>
      <c r="L328" s="249"/>
      <c r="M328" s="249"/>
      <c r="N328" s="249"/>
      <c r="O328" s="249"/>
      <c r="P328" s="249"/>
      <c r="Q328" s="251" t="s">
        <v>110</v>
      </c>
      <c r="R328" s="122"/>
      <c r="S328" s="122"/>
      <c r="T328" s="122"/>
      <c r="U328" s="122"/>
      <c r="V328" s="122"/>
      <c r="W328" s="122"/>
    </row>
    <row r="329">
      <c r="A329" s="122"/>
      <c r="B329" s="252">
        <f t="shared" si="1"/>
        <v>46416</v>
      </c>
      <c r="C329" s="254"/>
      <c r="D329" s="254"/>
      <c r="E329" s="254"/>
      <c r="F329" s="254"/>
      <c r="G329" s="254" t="s">
        <v>110</v>
      </c>
      <c r="H329" s="254"/>
      <c r="I329" s="254"/>
      <c r="J329" s="255"/>
      <c r="L329" s="254"/>
      <c r="M329" s="254"/>
      <c r="N329" s="254"/>
      <c r="O329" s="254"/>
      <c r="P329" s="254"/>
      <c r="Q329" s="251" t="s">
        <v>110</v>
      </c>
      <c r="R329" s="122"/>
      <c r="S329" s="122"/>
      <c r="T329" s="122"/>
      <c r="U329" s="122"/>
      <c r="V329" s="122"/>
      <c r="W329" s="122"/>
    </row>
    <row r="330">
      <c r="A330" s="122"/>
      <c r="B330" s="247">
        <f t="shared" si="1"/>
        <v>46417</v>
      </c>
      <c r="C330" s="249"/>
      <c r="D330" s="249"/>
      <c r="E330" s="249"/>
      <c r="F330" s="249"/>
      <c r="G330" s="249" t="s">
        <v>110</v>
      </c>
      <c r="H330" s="249"/>
      <c r="I330" s="249"/>
      <c r="J330" s="256"/>
      <c r="L330" s="249"/>
      <c r="M330" s="249"/>
      <c r="N330" s="249"/>
      <c r="O330" s="249"/>
      <c r="P330" s="249"/>
      <c r="Q330" s="251" t="s">
        <v>110</v>
      </c>
      <c r="R330" s="122"/>
      <c r="S330" s="122"/>
      <c r="T330" s="122"/>
      <c r="U330" s="122"/>
      <c r="V330" s="122"/>
      <c r="W330" s="122"/>
    </row>
    <row r="331">
      <c r="A331" s="122"/>
      <c r="B331" s="252">
        <f t="shared" si="1"/>
        <v>46418</v>
      </c>
      <c r="C331" s="254"/>
      <c r="D331" s="254"/>
      <c r="E331" s="254"/>
      <c r="F331" s="254"/>
      <c r="G331" s="254" t="s">
        <v>110</v>
      </c>
      <c r="H331" s="254"/>
      <c r="I331" s="254"/>
      <c r="J331" s="255"/>
      <c r="L331" s="254"/>
      <c r="M331" s="254"/>
      <c r="N331" s="254"/>
      <c r="O331" s="254"/>
      <c r="P331" s="254"/>
      <c r="Q331" s="251" t="s">
        <v>110</v>
      </c>
      <c r="R331" s="122"/>
      <c r="S331" s="122"/>
      <c r="T331" s="122"/>
      <c r="U331" s="122"/>
      <c r="V331" s="122"/>
      <c r="W331" s="122"/>
    </row>
    <row r="332">
      <c r="A332" s="122"/>
      <c r="B332" s="247">
        <f t="shared" si="1"/>
        <v>46419</v>
      </c>
      <c r="C332" s="249"/>
      <c r="D332" s="249"/>
      <c r="E332" s="249"/>
      <c r="F332" s="249"/>
      <c r="G332" s="249" t="s">
        <v>110</v>
      </c>
      <c r="H332" s="249"/>
      <c r="I332" s="249"/>
      <c r="J332" s="256"/>
      <c r="L332" s="249"/>
      <c r="M332" s="249"/>
      <c r="N332" s="249"/>
      <c r="O332" s="249"/>
      <c r="P332" s="249"/>
      <c r="Q332" s="251" t="s">
        <v>110</v>
      </c>
      <c r="R332" s="122"/>
      <c r="S332" s="122"/>
      <c r="T332" s="122"/>
      <c r="U332" s="122"/>
      <c r="V332" s="122"/>
      <c r="W332" s="122"/>
    </row>
    <row r="333">
      <c r="A333" s="122"/>
      <c r="B333" s="252">
        <f t="shared" si="1"/>
        <v>46420</v>
      </c>
      <c r="C333" s="254"/>
      <c r="D333" s="254"/>
      <c r="E333" s="254"/>
      <c r="F333" s="254"/>
      <c r="G333" s="254" t="s">
        <v>110</v>
      </c>
      <c r="H333" s="254"/>
      <c r="I333" s="254"/>
      <c r="J333" s="255"/>
      <c r="L333" s="254"/>
      <c r="M333" s="254"/>
      <c r="N333" s="254"/>
      <c r="O333" s="254"/>
      <c r="P333" s="254"/>
      <c r="Q333" s="251" t="s">
        <v>110</v>
      </c>
      <c r="R333" s="122"/>
      <c r="S333" s="122"/>
      <c r="T333" s="122"/>
      <c r="U333" s="122"/>
      <c r="V333" s="122"/>
      <c r="W333" s="122"/>
    </row>
    <row r="334">
      <c r="A334" s="122"/>
      <c r="B334" s="247">
        <f t="shared" si="1"/>
        <v>46421</v>
      </c>
      <c r="C334" s="249"/>
      <c r="D334" s="249"/>
      <c r="E334" s="249"/>
      <c r="F334" s="249"/>
      <c r="G334" s="249" t="s">
        <v>110</v>
      </c>
      <c r="H334" s="249"/>
      <c r="I334" s="249"/>
      <c r="J334" s="256"/>
      <c r="L334" s="249"/>
      <c r="M334" s="249"/>
      <c r="N334" s="249"/>
      <c r="O334" s="249"/>
      <c r="P334" s="249"/>
      <c r="Q334" s="251" t="s">
        <v>110</v>
      </c>
      <c r="R334" s="122"/>
      <c r="S334" s="122"/>
      <c r="T334" s="122"/>
      <c r="U334" s="122"/>
      <c r="V334" s="122"/>
      <c r="W334" s="122"/>
    </row>
    <row r="335">
      <c r="A335" s="122"/>
      <c r="B335" s="252">
        <f t="shared" si="1"/>
        <v>46422</v>
      </c>
      <c r="C335" s="254"/>
      <c r="D335" s="254"/>
      <c r="E335" s="254"/>
      <c r="F335" s="254"/>
      <c r="G335" s="254" t="s">
        <v>110</v>
      </c>
      <c r="H335" s="254"/>
      <c r="I335" s="254"/>
      <c r="J335" s="255"/>
      <c r="L335" s="254"/>
      <c r="M335" s="254"/>
      <c r="N335" s="254"/>
      <c r="O335" s="254"/>
      <c r="P335" s="254"/>
      <c r="Q335" s="251" t="s">
        <v>110</v>
      </c>
      <c r="R335" s="122"/>
      <c r="S335" s="122"/>
      <c r="T335" s="122"/>
      <c r="U335" s="122"/>
      <c r="V335" s="122"/>
      <c r="W335" s="122"/>
    </row>
    <row r="336">
      <c r="A336" s="122"/>
      <c r="B336" s="247">
        <f t="shared" si="1"/>
        <v>46423</v>
      </c>
      <c r="C336" s="249"/>
      <c r="D336" s="249"/>
      <c r="E336" s="249"/>
      <c r="F336" s="249"/>
      <c r="G336" s="249" t="s">
        <v>110</v>
      </c>
      <c r="H336" s="249"/>
      <c r="I336" s="249"/>
      <c r="J336" s="256"/>
      <c r="L336" s="249"/>
      <c r="M336" s="249"/>
      <c r="N336" s="249"/>
      <c r="O336" s="249"/>
      <c r="P336" s="249"/>
      <c r="Q336" s="251" t="s">
        <v>110</v>
      </c>
      <c r="R336" s="122"/>
      <c r="S336" s="122"/>
      <c r="T336" s="122"/>
      <c r="U336" s="122"/>
      <c r="V336" s="122"/>
      <c r="W336" s="122"/>
    </row>
    <row r="337">
      <c r="A337" s="122"/>
      <c r="B337" s="252">
        <f t="shared" si="1"/>
        <v>46424</v>
      </c>
      <c r="C337" s="254"/>
      <c r="D337" s="254"/>
      <c r="E337" s="254"/>
      <c r="F337" s="254"/>
      <c r="G337" s="254" t="s">
        <v>110</v>
      </c>
      <c r="H337" s="254"/>
      <c r="I337" s="254"/>
      <c r="J337" s="255"/>
      <c r="L337" s="254"/>
      <c r="M337" s="254"/>
      <c r="N337" s="254"/>
      <c r="O337" s="254"/>
      <c r="P337" s="254"/>
      <c r="Q337" s="251" t="s">
        <v>110</v>
      </c>
      <c r="R337" s="122"/>
      <c r="S337" s="122"/>
      <c r="T337" s="122"/>
      <c r="U337" s="122"/>
      <c r="V337" s="122"/>
      <c r="W337" s="122"/>
    </row>
    <row r="338">
      <c r="A338" s="122"/>
      <c r="B338" s="247">
        <f t="shared" si="1"/>
        <v>46425</v>
      </c>
      <c r="C338" s="249"/>
      <c r="D338" s="249"/>
      <c r="E338" s="249"/>
      <c r="F338" s="249"/>
      <c r="G338" s="249" t="s">
        <v>110</v>
      </c>
      <c r="H338" s="249"/>
      <c r="I338" s="249"/>
      <c r="J338" s="256"/>
      <c r="L338" s="249"/>
      <c r="M338" s="249"/>
      <c r="N338" s="249"/>
      <c r="O338" s="249"/>
      <c r="P338" s="249"/>
      <c r="Q338" s="251" t="s">
        <v>110</v>
      </c>
      <c r="R338" s="122"/>
      <c r="S338" s="122"/>
      <c r="T338" s="122"/>
      <c r="U338" s="122"/>
      <c r="V338" s="122"/>
      <c r="W338" s="122"/>
    </row>
    <row r="339">
      <c r="A339" s="122"/>
      <c r="B339" s="252">
        <f t="shared" si="1"/>
        <v>46426</v>
      </c>
      <c r="C339" s="254"/>
      <c r="D339" s="254"/>
      <c r="E339" s="254"/>
      <c r="F339" s="254"/>
      <c r="G339" s="254" t="s">
        <v>110</v>
      </c>
      <c r="H339" s="254"/>
      <c r="I339" s="254"/>
      <c r="J339" s="255"/>
      <c r="L339" s="254"/>
      <c r="M339" s="254"/>
      <c r="N339" s="254"/>
      <c r="O339" s="254"/>
      <c r="P339" s="254"/>
      <c r="Q339" s="251" t="s">
        <v>110</v>
      </c>
      <c r="R339" s="122"/>
      <c r="S339" s="122"/>
      <c r="T339" s="122"/>
      <c r="U339" s="122"/>
      <c r="V339" s="122"/>
      <c r="W339" s="122"/>
    </row>
    <row r="340">
      <c r="A340" s="122"/>
      <c r="B340" s="247">
        <f t="shared" si="1"/>
        <v>46427</v>
      </c>
      <c r="C340" s="249"/>
      <c r="D340" s="249"/>
      <c r="E340" s="249"/>
      <c r="F340" s="249"/>
      <c r="G340" s="249" t="s">
        <v>110</v>
      </c>
      <c r="H340" s="249"/>
      <c r="I340" s="249"/>
      <c r="J340" s="256"/>
      <c r="L340" s="249"/>
      <c r="M340" s="249"/>
      <c r="N340" s="249"/>
      <c r="O340" s="249"/>
      <c r="P340" s="249"/>
      <c r="Q340" s="251" t="s">
        <v>110</v>
      </c>
      <c r="R340" s="122"/>
      <c r="S340" s="122"/>
      <c r="T340" s="122"/>
      <c r="U340" s="122"/>
      <c r="V340" s="122"/>
      <c r="W340" s="122"/>
    </row>
    <row r="341">
      <c r="A341" s="122"/>
      <c r="B341" s="252">
        <f t="shared" si="1"/>
        <v>46428</v>
      </c>
      <c r="C341" s="254"/>
      <c r="D341" s="254"/>
      <c r="E341" s="254"/>
      <c r="F341" s="254"/>
      <c r="G341" s="254" t="s">
        <v>110</v>
      </c>
      <c r="H341" s="254"/>
      <c r="I341" s="254"/>
      <c r="J341" s="255"/>
      <c r="L341" s="254"/>
      <c r="M341" s="254"/>
      <c r="N341" s="254"/>
      <c r="O341" s="254"/>
      <c r="P341" s="254"/>
      <c r="Q341" s="251" t="s">
        <v>110</v>
      </c>
      <c r="R341" s="122"/>
      <c r="S341" s="122"/>
      <c r="T341" s="122"/>
      <c r="U341" s="122"/>
      <c r="V341" s="122"/>
      <c r="W341" s="122"/>
    </row>
    <row r="342">
      <c r="A342" s="122"/>
      <c r="B342" s="247">
        <f t="shared" si="1"/>
        <v>46429</v>
      </c>
      <c r="C342" s="249"/>
      <c r="D342" s="249"/>
      <c r="E342" s="249"/>
      <c r="F342" s="249"/>
      <c r="G342" s="249" t="s">
        <v>110</v>
      </c>
      <c r="H342" s="249"/>
      <c r="I342" s="249"/>
      <c r="J342" s="256"/>
      <c r="L342" s="249"/>
      <c r="M342" s="249"/>
      <c r="N342" s="249"/>
      <c r="O342" s="249"/>
      <c r="P342" s="249"/>
      <c r="Q342" s="251" t="s">
        <v>110</v>
      </c>
      <c r="R342" s="122"/>
      <c r="S342" s="122"/>
      <c r="T342" s="122"/>
      <c r="U342" s="122"/>
      <c r="V342" s="122"/>
      <c r="W342" s="122"/>
    </row>
    <row r="343">
      <c r="A343" s="122"/>
      <c r="B343" s="252">
        <f t="shared" si="1"/>
        <v>46430</v>
      </c>
      <c r="C343" s="254"/>
      <c r="D343" s="254"/>
      <c r="E343" s="254"/>
      <c r="F343" s="254"/>
      <c r="G343" s="254" t="s">
        <v>110</v>
      </c>
      <c r="H343" s="254"/>
      <c r="I343" s="254"/>
      <c r="J343" s="255"/>
      <c r="L343" s="254"/>
      <c r="M343" s="254"/>
      <c r="N343" s="254"/>
      <c r="O343" s="254"/>
      <c r="P343" s="254"/>
      <c r="Q343" s="251" t="s">
        <v>110</v>
      </c>
      <c r="R343" s="122"/>
      <c r="S343" s="122"/>
      <c r="T343" s="122"/>
      <c r="U343" s="122"/>
      <c r="V343" s="122"/>
      <c r="W343" s="122"/>
    </row>
    <row r="344">
      <c r="A344" s="122"/>
      <c r="B344" s="247">
        <f t="shared" si="1"/>
        <v>46431</v>
      </c>
      <c r="C344" s="249"/>
      <c r="D344" s="249"/>
      <c r="E344" s="249"/>
      <c r="F344" s="249"/>
      <c r="G344" s="249" t="s">
        <v>110</v>
      </c>
      <c r="H344" s="249"/>
      <c r="I344" s="249"/>
      <c r="J344" s="256"/>
      <c r="L344" s="249"/>
      <c r="M344" s="249"/>
      <c r="N344" s="249"/>
      <c r="O344" s="249"/>
      <c r="P344" s="249"/>
      <c r="Q344" s="251" t="s">
        <v>110</v>
      </c>
      <c r="R344" s="122"/>
      <c r="S344" s="122"/>
      <c r="T344" s="122"/>
      <c r="U344" s="122"/>
      <c r="V344" s="122"/>
      <c r="W344" s="122"/>
    </row>
    <row r="345">
      <c r="A345" s="122"/>
      <c r="B345" s="252">
        <f t="shared" si="1"/>
        <v>46432</v>
      </c>
      <c r="C345" s="254"/>
      <c r="D345" s="254"/>
      <c r="E345" s="254"/>
      <c r="F345" s="254"/>
      <c r="G345" s="254" t="s">
        <v>110</v>
      </c>
      <c r="H345" s="254"/>
      <c r="I345" s="254"/>
      <c r="J345" s="255"/>
      <c r="L345" s="254"/>
      <c r="M345" s="254"/>
      <c r="N345" s="254"/>
      <c r="O345" s="254"/>
      <c r="P345" s="254"/>
      <c r="Q345" s="251" t="s">
        <v>110</v>
      </c>
      <c r="R345" s="122"/>
      <c r="S345" s="122"/>
      <c r="T345" s="122"/>
      <c r="U345" s="122"/>
      <c r="V345" s="122"/>
      <c r="W345" s="122"/>
    </row>
    <row r="346">
      <c r="A346" s="122"/>
      <c r="B346" s="247">
        <f t="shared" si="1"/>
        <v>46433</v>
      </c>
      <c r="C346" s="249"/>
      <c r="D346" s="249"/>
      <c r="E346" s="249"/>
      <c r="F346" s="249"/>
      <c r="G346" s="249" t="s">
        <v>110</v>
      </c>
      <c r="H346" s="249"/>
      <c r="I346" s="249"/>
      <c r="J346" s="256"/>
      <c r="L346" s="249"/>
      <c r="M346" s="249"/>
      <c r="N346" s="249"/>
      <c r="O346" s="249"/>
      <c r="P346" s="249"/>
      <c r="Q346" s="251" t="s">
        <v>110</v>
      </c>
      <c r="R346" s="122"/>
      <c r="S346" s="122"/>
      <c r="T346" s="122"/>
      <c r="U346" s="122"/>
      <c r="V346" s="122"/>
      <c r="W346" s="122"/>
    </row>
    <row r="347">
      <c r="A347" s="122"/>
      <c r="B347" s="252">
        <f t="shared" si="1"/>
        <v>46434</v>
      </c>
      <c r="C347" s="254"/>
      <c r="D347" s="254"/>
      <c r="E347" s="254"/>
      <c r="F347" s="254"/>
      <c r="G347" s="254" t="s">
        <v>110</v>
      </c>
      <c r="H347" s="254"/>
      <c r="I347" s="254"/>
      <c r="J347" s="255"/>
      <c r="L347" s="254"/>
      <c r="M347" s="254"/>
      <c r="N347" s="254"/>
      <c r="O347" s="254"/>
      <c r="P347" s="254"/>
      <c r="Q347" s="251" t="s">
        <v>110</v>
      </c>
      <c r="R347" s="122"/>
      <c r="S347" s="122"/>
      <c r="T347" s="122"/>
      <c r="U347" s="122"/>
      <c r="V347" s="122"/>
      <c r="W347" s="122"/>
    </row>
    <row r="348">
      <c r="A348" s="122"/>
      <c r="B348" s="247">
        <f t="shared" si="1"/>
        <v>46435</v>
      </c>
      <c r="C348" s="249"/>
      <c r="D348" s="249"/>
      <c r="E348" s="249"/>
      <c r="F348" s="249"/>
      <c r="G348" s="249" t="s">
        <v>110</v>
      </c>
      <c r="H348" s="249"/>
      <c r="I348" s="249"/>
      <c r="J348" s="256"/>
      <c r="L348" s="249"/>
      <c r="M348" s="249"/>
      <c r="N348" s="249"/>
      <c r="O348" s="249"/>
      <c r="P348" s="249"/>
      <c r="Q348" s="251" t="s">
        <v>110</v>
      </c>
      <c r="R348" s="122"/>
      <c r="S348" s="122"/>
      <c r="T348" s="122"/>
      <c r="U348" s="122"/>
      <c r="V348" s="122"/>
      <c r="W348" s="122"/>
    </row>
    <row r="349">
      <c r="A349" s="122"/>
      <c r="B349" s="252">
        <f t="shared" si="1"/>
        <v>46436</v>
      </c>
      <c r="C349" s="254"/>
      <c r="D349" s="254"/>
      <c r="E349" s="254"/>
      <c r="F349" s="254"/>
      <c r="G349" s="254" t="s">
        <v>110</v>
      </c>
      <c r="H349" s="254"/>
      <c r="I349" s="254"/>
      <c r="J349" s="255"/>
      <c r="L349" s="254"/>
      <c r="M349" s="254"/>
      <c r="N349" s="254"/>
      <c r="O349" s="254"/>
      <c r="P349" s="254"/>
      <c r="Q349" s="251" t="s">
        <v>110</v>
      </c>
      <c r="R349" s="122"/>
      <c r="S349" s="122"/>
      <c r="T349" s="122"/>
      <c r="U349" s="122"/>
      <c r="V349" s="122"/>
      <c r="W349" s="122"/>
    </row>
    <row r="350">
      <c r="A350" s="122"/>
      <c r="B350" s="247">
        <f t="shared" si="1"/>
        <v>46437</v>
      </c>
      <c r="C350" s="249"/>
      <c r="D350" s="249"/>
      <c r="E350" s="249"/>
      <c r="F350" s="249"/>
      <c r="G350" s="249" t="s">
        <v>110</v>
      </c>
      <c r="H350" s="249"/>
      <c r="I350" s="249"/>
      <c r="J350" s="256"/>
      <c r="L350" s="249"/>
      <c r="M350" s="249"/>
      <c r="N350" s="249"/>
      <c r="O350" s="249"/>
      <c r="P350" s="249"/>
      <c r="Q350" s="251" t="s">
        <v>110</v>
      </c>
      <c r="R350" s="122"/>
      <c r="S350" s="122"/>
      <c r="T350" s="122"/>
      <c r="U350" s="122"/>
      <c r="V350" s="122"/>
      <c r="W350" s="122"/>
    </row>
    <row r="351">
      <c r="A351" s="122"/>
      <c r="B351" s="252">
        <f t="shared" si="1"/>
        <v>46438</v>
      </c>
      <c r="C351" s="254"/>
      <c r="D351" s="254"/>
      <c r="E351" s="254"/>
      <c r="F351" s="254"/>
      <c r="G351" s="254" t="s">
        <v>110</v>
      </c>
      <c r="H351" s="254"/>
      <c r="I351" s="254"/>
      <c r="J351" s="255"/>
      <c r="L351" s="254"/>
      <c r="M351" s="254"/>
      <c r="N351" s="254"/>
      <c r="O351" s="254"/>
      <c r="P351" s="254"/>
      <c r="Q351" s="251" t="s">
        <v>110</v>
      </c>
      <c r="R351" s="122"/>
      <c r="S351" s="122"/>
      <c r="T351" s="122"/>
      <c r="U351" s="122"/>
      <c r="V351" s="122"/>
      <c r="W351" s="122"/>
    </row>
    <row r="352">
      <c r="A352" s="122"/>
      <c r="B352" s="247">
        <f t="shared" si="1"/>
        <v>46439</v>
      </c>
      <c r="C352" s="249"/>
      <c r="D352" s="249"/>
      <c r="E352" s="249"/>
      <c r="F352" s="249"/>
      <c r="G352" s="249" t="s">
        <v>110</v>
      </c>
      <c r="H352" s="249"/>
      <c r="I352" s="249"/>
      <c r="J352" s="256"/>
      <c r="L352" s="249"/>
      <c r="M352" s="249"/>
      <c r="N352" s="249"/>
      <c r="O352" s="249"/>
      <c r="P352" s="249"/>
      <c r="Q352" s="251" t="s">
        <v>110</v>
      </c>
      <c r="R352" s="122"/>
      <c r="S352" s="122"/>
      <c r="T352" s="122"/>
      <c r="U352" s="122"/>
      <c r="V352" s="122"/>
      <c r="W352" s="122"/>
    </row>
    <row r="353">
      <c r="A353" s="122"/>
      <c r="B353" s="252">
        <f t="shared" si="1"/>
        <v>46440</v>
      </c>
      <c r="C353" s="254"/>
      <c r="D353" s="254"/>
      <c r="E353" s="254"/>
      <c r="F353" s="254"/>
      <c r="G353" s="254" t="s">
        <v>110</v>
      </c>
      <c r="H353" s="254"/>
      <c r="I353" s="254"/>
      <c r="J353" s="255"/>
      <c r="L353" s="254"/>
      <c r="M353" s="254"/>
      <c r="N353" s="254"/>
      <c r="O353" s="254"/>
      <c r="P353" s="254"/>
      <c r="Q353" s="251" t="s">
        <v>110</v>
      </c>
      <c r="R353" s="122"/>
      <c r="S353" s="122"/>
      <c r="T353" s="122"/>
      <c r="U353" s="122"/>
      <c r="V353" s="122"/>
      <c r="W353" s="122"/>
    </row>
    <row r="354">
      <c r="A354" s="122"/>
      <c r="B354" s="247">
        <f t="shared" si="1"/>
        <v>46441</v>
      </c>
      <c r="C354" s="249"/>
      <c r="D354" s="249"/>
      <c r="E354" s="249"/>
      <c r="F354" s="249"/>
      <c r="G354" s="249" t="s">
        <v>110</v>
      </c>
      <c r="H354" s="249"/>
      <c r="I354" s="249"/>
      <c r="J354" s="256"/>
      <c r="L354" s="249"/>
      <c r="M354" s="249"/>
      <c r="N354" s="249"/>
      <c r="O354" s="249"/>
      <c r="P354" s="249"/>
      <c r="Q354" s="251" t="s">
        <v>110</v>
      </c>
      <c r="R354" s="122"/>
      <c r="S354" s="122"/>
      <c r="T354" s="122"/>
      <c r="U354" s="122"/>
      <c r="V354" s="122"/>
      <c r="W354" s="122"/>
    </row>
    <row r="355">
      <c r="A355" s="122"/>
      <c r="B355" s="252">
        <f t="shared" si="1"/>
        <v>46442</v>
      </c>
      <c r="C355" s="254"/>
      <c r="D355" s="254"/>
      <c r="E355" s="254"/>
      <c r="F355" s="254"/>
      <c r="G355" s="254" t="s">
        <v>110</v>
      </c>
      <c r="H355" s="254"/>
      <c r="I355" s="254"/>
      <c r="J355" s="255"/>
      <c r="L355" s="254"/>
      <c r="M355" s="254"/>
      <c r="N355" s="254"/>
      <c r="O355" s="254"/>
      <c r="P355" s="254"/>
      <c r="Q355" s="251" t="s">
        <v>110</v>
      </c>
      <c r="R355" s="122"/>
      <c r="S355" s="122"/>
      <c r="T355" s="122"/>
      <c r="U355" s="122"/>
      <c r="V355" s="122"/>
      <c r="W355" s="122"/>
    </row>
    <row r="356">
      <c r="A356" s="122"/>
      <c r="B356" s="247">
        <f t="shared" si="1"/>
        <v>46443</v>
      </c>
      <c r="C356" s="249"/>
      <c r="D356" s="249"/>
      <c r="E356" s="249"/>
      <c r="F356" s="249"/>
      <c r="G356" s="249" t="s">
        <v>110</v>
      </c>
      <c r="H356" s="249"/>
      <c r="I356" s="249"/>
      <c r="J356" s="256"/>
      <c r="L356" s="249"/>
      <c r="M356" s="249"/>
      <c r="N356" s="249"/>
      <c r="O356" s="249"/>
      <c r="P356" s="249"/>
      <c r="Q356" s="251" t="s">
        <v>110</v>
      </c>
      <c r="R356" s="122"/>
      <c r="S356" s="122"/>
      <c r="T356" s="122"/>
      <c r="U356" s="122"/>
      <c r="V356" s="122"/>
      <c r="W356" s="122"/>
    </row>
    <row r="357">
      <c r="A357" s="122"/>
      <c r="B357" s="252">
        <f t="shared" si="1"/>
        <v>46444</v>
      </c>
      <c r="C357" s="254"/>
      <c r="D357" s="254"/>
      <c r="E357" s="254"/>
      <c r="F357" s="254"/>
      <c r="G357" s="254" t="s">
        <v>110</v>
      </c>
      <c r="H357" s="254"/>
      <c r="I357" s="254"/>
      <c r="J357" s="255"/>
      <c r="L357" s="254"/>
      <c r="M357" s="254"/>
      <c r="N357" s="254"/>
      <c r="O357" s="254"/>
      <c r="P357" s="254"/>
      <c r="Q357" s="251" t="s">
        <v>110</v>
      </c>
      <c r="R357" s="122"/>
      <c r="S357" s="122"/>
      <c r="T357" s="122"/>
      <c r="U357" s="122"/>
      <c r="V357" s="122"/>
      <c r="W357" s="122"/>
    </row>
    <row r="358">
      <c r="A358" s="122"/>
      <c r="B358" s="247">
        <f t="shared" si="1"/>
        <v>46445</v>
      </c>
      <c r="C358" s="249"/>
      <c r="D358" s="249"/>
      <c r="E358" s="249"/>
      <c r="F358" s="249"/>
      <c r="G358" s="249" t="s">
        <v>110</v>
      </c>
      <c r="H358" s="249"/>
      <c r="I358" s="249"/>
      <c r="J358" s="256"/>
      <c r="L358" s="249"/>
      <c r="M358" s="249"/>
      <c r="N358" s="249"/>
      <c r="O358" s="249"/>
      <c r="P358" s="249"/>
      <c r="Q358" s="251" t="s">
        <v>110</v>
      </c>
      <c r="R358" s="122"/>
      <c r="S358" s="122"/>
      <c r="T358" s="122"/>
      <c r="U358" s="122"/>
      <c r="V358" s="122"/>
      <c r="W358" s="122"/>
    </row>
    <row r="359">
      <c r="A359" s="122"/>
      <c r="B359" s="252">
        <f t="shared" si="1"/>
        <v>46446</v>
      </c>
      <c r="C359" s="254"/>
      <c r="D359" s="254"/>
      <c r="E359" s="254"/>
      <c r="F359" s="254"/>
      <c r="G359" s="254" t="s">
        <v>110</v>
      </c>
      <c r="H359" s="254"/>
      <c r="I359" s="254"/>
      <c r="J359" s="255"/>
      <c r="L359" s="254"/>
      <c r="M359" s="254"/>
      <c r="N359" s="254"/>
      <c r="O359" s="254"/>
      <c r="P359" s="254"/>
      <c r="Q359" s="251" t="s">
        <v>110</v>
      </c>
      <c r="R359" s="122"/>
      <c r="S359" s="122"/>
      <c r="T359" s="122"/>
      <c r="U359" s="122"/>
      <c r="V359" s="122"/>
      <c r="W359" s="122"/>
    </row>
    <row r="360">
      <c r="A360" s="122"/>
      <c r="B360" s="247">
        <f t="shared" si="1"/>
        <v>46447</v>
      </c>
      <c r="C360" s="249"/>
      <c r="D360" s="249"/>
      <c r="E360" s="249"/>
      <c r="F360" s="249"/>
      <c r="G360" s="249" t="s">
        <v>110</v>
      </c>
      <c r="H360" s="249"/>
      <c r="I360" s="249"/>
      <c r="J360" s="256"/>
      <c r="L360" s="249"/>
      <c r="M360" s="249"/>
      <c r="N360" s="249"/>
      <c r="O360" s="249"/>
      <c r="P360" s="249"/>
      <c r="Q360" s="251" t="s">
        <v>110</v>
      </c>
      <c r="R360" s="122"/>
      <c r="S360" s="122"/>
      <c r="T360" s="122"/>
      <c r="U360" s="122"/>
      <c r="V360" s="122"/>
      <c r="W360" s="122"/>
    </row>
    <row r="361">
      <c r="A361" s="122"/>
      <c r="B361" s="252">
        <f t="shared" si="1"/>
        <v>46448</v>
      </c>
      <c r="C361" s="254"/>
      <c r="D361" s="254"/>
      <c r="E361" s="254"/>
      <c r="F361" s="254"/>
      <c r="G361" s="254" t="s">
        <v>110</v>
      </c>
      <c r="H361" s="254"/>
      <c r="I361" s="254"/>
      <c r="J361" s="255"/>
      <c r="L361" s="254"/>
      <c r="M361" s="254"/>
      <c r="N361" s="254"/>
      <c r="O361" s="254"/>
      <c r="P361" s="254"/>
      <c r="Q361" s="251" t="s">
        <v>110</v>
      </c>
      <c r="R361" s="122"/>
      <c r="S361" s="122"/>
      <c r="T361" s="122"/>
      <c r="U361" s="122"/>
      <c r="V361" s="122"/>
      <c r="W361" s="122"/>
    </row>
    <row r="362">
      <c r="A362" s="122"/>
      <c r="B362" s="247">
        <f t="shared" si="1"/>
        <v>46449</v>
      </c>
      <c r="C362" s="249"/>
      <c r="D362" s="249"/>
      <c r="E362" s="249"/>
      <c r="F362" s="249"/>
      <c r="G362" s="249" t="s">
        <v>110</v>
      </c>
      <c r="H362" s="249"/>
      <c r="I362" s="249"/>
      <c r="J362" s="256"/>
      <c r="L362" s="249"/>
      <c r="M362" s="249"/>
      <c r="N362" s="249"/>
      <c r="O362" s="249"/>
      <c r="P362" s="249"/>
      <c r="Q362" s="251" t="s">
        <v>110</v>
      </c>
      <c r="R362" s="122"/>
      <c r="S362" s="122"/>
      <c r="T362" s="122"/>
      <c r="U362" s="122"/>
      <c r="V362" s="122"/>
      <c r="W362" s="122"/>
    </row>
    <row r="363">
      <c r="A363" s="122"/>
      <c r="B363" s="252">
        <f t="shared" si="1"/>
        <v>46450</v>
      </c>
      <c r="C363" s="254"/>
      <c r="D363" s="254"/>
      <c r="E363" s="254"/>
      <c r="F363" s="254"/>
      <c r="G363" s="254" t="s">
        <v>110</v>
      </c>
      <c r="H363" s="254"/>
      <c r="I363" s="254"/>
      <c r="J363" s="255"/>
      <c r="L363" s="254"/>
      <c r="M363" s="254"/>
      <c r="N363" s="254"/>
      <c r="O363" s="254"/>
      <c r="P363" s="254"/>
      <c r="Q363" s="251" t="s">
        <v>110</v>
      </c>
      <c r="R363" s="122"/>
      <c r="S363" s="122"/>
      <c r="T363" s="122"/>
      <c r="U363" s="122"/>
      <c r="V363" s="122"/>
      <c r="W363" s="122"/>
    </row>
    <row r="364">
      <c r="A364" s="122"/>
      <c r="B364" s="247">
        <f t="shared" si="1"/>
        <v>46451</v>
      </c>
      <c r="C364" s="249"/>
      <c r="D364" s="249"/>
      <c r="E364" s="249"/>
      <c r="F364" s="249"/>
      <c r="G364" s="249" t="s">
        <v>110</v>
      </c>
      <c r="H364" s="249"/>
      <c r="I364" s="249"/>
      <c r="J364" s="256"/>
      <c r="L364" s="249"/>
      <c r="M364" s="249"/>
      <c r="N364" s="249"/>
      <c r="O364" s="249"/>
      <c r="P364" s="249"/>
      <c r="Q364" s="251" t="s">
        <v>110</v>
      </c>
      <c r="R364" s="122"/>
      <c r="S364" s="122"/>
      <c r="T364" s="122"/>
      <c r="U364" s="122"/>
      <c r="V364" s="122"/>
      <c r="W364" s="122"/>
    </row>
    <row r="365">
      <c r="A365" s="122"/>
      <c r="B365" s="252">
        <f t="shared" si="1"/>
        <v>46452</v>
      </c>
      <c r="C365" s="254"/>
      <c r="D365" s="254"/>
      <c r="E365" s="254"/>
      <c r="F365" s="254"/>
      <c r="G365" s="254" t="s">
        <v>110</v>
      </c>
      <c r="H365" s="254"/>
      <c r="I365" s="254"/>
      <c r="J365" s="255"/>
      <c r="L365" s="254"/>
      <c r="M365" s="254"/>
      <c r="N365" s="254"/>
      <c r="O365" s="254"/>
      <c r="P365" s="254"/>
      <c r="Q365" s="251" t="s">
        <v>110</v>
      </c>
      <c r="R365" s="122"/>
      <c r="S365" s="122"/>
      <c r="T365" s="122"/>
      <c r="U365" s="122"/>
      <c r="V365" s="122"/>
      <c r="W365" s="122"/>
    </row>
    <row r="366">
      <c r="A366" s="122"/>
      <c r="B366" s="247">
        <f t="shared" si="1"/>
        <v>46453</v>
      </c>
      <c r="C366" s="249"/>
      <c r="D366" s="249"/>
      <c r="E366" s="249"/>
      <c r="F366" s="249"/>
      <c r="G366" s="249" t="s">
        <v>110</v>
      </c>
      <c r="H366" s="249"/>
      <c r="I366" s="249"/>
      <c r="J366" s="256"/>
      <c r="L366" s="249"/>
      <c r="M366" s="249"/>
      <c r="N366" s="249"/>
      <c r="O366" s="249"/>
      <c r="P366" s="249"/>
      <c r="Q366" s="251" t="s">
        <v>110</v>
      </c>
      <c r="R366" s="122"/>
      <c r="S366" s="122"/>
      <c r="T366" s="122"/>
      <c r="U366" s="122"/>
      <c r="V366" s="122"/>
      <c r="W366" s="122"/>
    </row>
    <row r="367">
      <c r="A367" s="122"/>
      <c r="B367" s="252">
        <f t="shared" si="1"/>
        <v>46454</v>
      </c>
      <c r="C367" s="254"/>
      <c r="D367" s="254"/>
      <c r="E367" s="254"/>
      <c r="F367" s="254"/>
      <c r="G367" s="254" t="s">
        <v>110</v>
      </c>
      <c r="H367" s="254"/>
      <c r="I367" s="254"/>
      <c r="J367" s="255"/>
      <c r="L367" s="254"/>
      <c r="M367" s="254"/>
      <c r="N367" s="254"/>
      <c r="O367" s="254"/>
      <c r="P367" s="254"/>
      <c r="Q367" s="251" t="s">
        <v>110</v>
      </c>
      <c r="R367" s="122"/>
      <c r="S367" s="122"/>
      <c r="T367" s="122"/>
      <c r="U367" s="122"/>
      <c r="V367" s="122"/>
      <c r="W367" s="122"/>
    </row>
    <row r="368">
      <c r="A368" s="122"/>
      <c r="B368" s="247">
        <f t="shared" si="1"/>
        <v>46455</v>
      </c>
      <c r="C368" s="249"/>
      <c r="D368" s="249"/>
      <c r="E368" s="249"/>
      <c r="F368" s="249"/>
      <c r="G368" s="249" t="s">
        <v>110</v>
      </c>
      <c r="H368" s="249"/>
      <c r="I368" s="249"/>
      <c r="J368" s="256"/>
      <c r="L368" s="249"/>
      <c r="M368" s="249"/>
      <c r="N368" s="249"/>
      <c r="O368" s="249"/>
      <c r="P368" s="249"/>
      <c r="Q368" s="251" t="s">
        <v>110</v>
      </c>
      <c r="R368" s="122"/>
      <c r="S368" s="122"/>
      <c r="T368" s="122"/>
      <c r="U368" s="122"/>
      <c r="V368" s="122"/>
      <c r="W368" s="122"/>
    </row>
    <row r="369">
      <c r="A369" s="122"/>
      <c r="B369" s="252">
        <f t="shared" si="1"/>
        <v>46456</v>
      </c>
      <c r="C369" s="254"/>
      <c r="D369" s="254"/>
      <c r="E369" s="254"/>
      <c r="F369" s="254"/>
      <c r="G369" s="254" t="s">
        <v>110</v>
      </c>
      <c r="H369" s="254"/>
      <c r="I369" s="254"/>
      <c r="J369" s="255"/>
      <c r="L369" s="254"/>
      <c r="M369" s="254"/>
      <c r="N369" s="254"/>
      <c r="O369" s="254"/>
      <c r="P369" s="254"/>
      <c r="Q369" s="251" t="s">
        <v>110</v>
      </c>
      <c r="R369" s="122"/>
      <c r="S369" s="122"/>
      <c r="T369" s="122"/>
      <c r="U369" s="122"/>
      <c r="V369" s="122"/>
      <c r="W369" s="122"/>
    </row>
    <row r="370">
      <c r="A370" s="122"/>
      <c r="B370" s="247">
        <f t="shared" si="1"/>
        <v>46457</v>
      </c>
      <c r="C370" s="249"/>
      <c r="D370" s="249"/>
      <c r="E370" s="249"/>
      <c r="F370" s="249"/>
      <c r="G370" s="249" t="s">
        <v>110</v>
      </c>
      <c r="H370" s="249"/>
      <c r="I370" s="249"/>
      <c r="J370" s="256"/>
      <c r="L370" s="249"/>
      <c r="M370" s="249"/>
      <c r="N370" s="249"/>
      <c r="O370" s="249"/>
      <c r="P370" s="249"/>
      <c r="Q370" s="251" t="s">
        <v>110</v>
      </c>
      <c r="R370" s="122"/>
      <c r="S370" s="122"/>
      <c r="T370" s="122"/>
      <c r="U370" s="122"/>
      <c r="V370" s="122"/>
      <c r="W370" s="122"/>
    </row>
    <row r="371">
      <c r="A371" s="122"/>
      <c r="B371" s="252">
        <f t="shared" si="1"/>
        <v>46458</v>
      </c>
      <c r="C371" s="254"/>
      <c r="D371" s="254"/>
      <c r="E371" s="254"/>
      <c r="F371" s="254"/>
      <c r="G371" s="254" t="s">
        <v>110</v>
      </c>
      <c r="H371" s="254"/>
      <c r="I371" s="254"/>
      <c r="J371" s="255"/>
      <c r="L371" s="254"/>
      <c r="M371" s="254"/>
      <c r="N371" s="254"/>
      <c r="O371" s="254"/>
      <c r="P371" s="254"/>
      <c r="Q371" s="251" t="s">
        <v>110</v>
      </c>
      <c r="R371" s="122"/>
      <c r="S371" s="122"/>
      <c r="T371" s="122"/>
      <c r="U371" s="122"/>
      <c r="V371" s="122"/>
      <c r="W371" s="122"/>
    </row>
    <row r="372">
      <c r="A372" s="122"/>
      <c r="B372" s="247">
        <f t="shared" si="1"/>
        <v>46459</v>
      </c>
      <c r="C372" s="249"/>
      <c r="D372" s="249"/>
      <c r="E372" s="249"/>
      <c r="F372" s="249"/>
      <c r="G372" s="249" t="s">
        <v>110</v>
      </c>
      <c r="H372" s="249"/>
      <c r="I372" s="249"/>
      <c r="J372" s="256"/>
      <c r="L372" s="249"/>
      <c r="M372" s="249"/>
      <c r="N372" s="249"/>
      <c r="O372" s="249"/>
      <c r="P372" s="249"/>
      <c r="Q372" s="251" t="s">
        <v>110</v>
      </c>
      <c r="R372" s="122"/>
      <c r="S372" s="122"/>
      <c r="T372" s="122"/>
      <c r="U372" s="122"/>
      <c r="V372" s="122"/>
      <c r="W372" s="122"/>
    </row>
    <row r="373">
      <c r="A373" s="122"/>
      <c r="B373" s="252">
        <f t="shared" si="1"/>
        <v>46460</v>
      </c>
      <c r="C373" s="254"/>
      <c r="D373" s="254"/>
      <c r="E373" s="254"/>
      <c r="F373" s="254"/>
      <c r="G373" s="254" t="s">
        <v>110</v>
      </c>
      <c r="H373" s="254"/>
      <c r="I373" s="254"/>
      <c r="J373" s="255"/>
      <c r="L373" s="254"/>
      <c r="M373" s="254"/>
      <c r="N373" s="254"/>
      <c r="O373" s="254"/>
      <c r="P373" s="254"/>
      <c r="Q373" s="251" t="s">
        <v>110</v>
      </c>
      <c r="R373" s="122"/>
      <c r="S373" s="122"/>
      <c r="T373" s="122"/>
      <c r="U373" s="122"/>
      <c r="V373" s="122"/>
      <c r="W373" s="122"/>
    </row>
    <row r="374">
      <c r="A374" s="122"/>
      <c r="B374" s="247">
        <f t="shared" si="1"/>
        <v>46461</v>
      </c>
      <c r="C374" s="249"/>
      <c r="D374" s="249"/>
      <c r="E374" s="249"/>
      <c r="F374" s="249"/>
      <c r="G374" s="249" t="s">
        <v>110</v>
      </c>
      <c r="H374" s="249"/>
      <c r="I374" s="249"/>
      <c r="J374" s="256"/>
      <c r="L374" s="249"/>
      <c r="M374" s="249"/>
      <c r="N374" s="249"/>
      <c r="O374" s="249"/>
      <c r="P374" s="249"/>
      <c r="Q374" s="251" t="s">
        <v>110</v>
      </c>
      <c r="R374" s="122"/>
      <c r="S374" s="122"/>
      <c r="T374" s="122"/>
      <c r="U374" s="122"/>
      <c r="V374" s="122"/>
      <c r="W374" s="122"/>
    </row>
    <row r="375">
      <c r="A375" s="122"/>
      <c r="B375" s="252">
        <f t="shared" si="1"/>
        <v>46462</v>
      </c>
      <c r="C375" s="254"/>
      <c r="D375" s="254"/>
      <c r="E375" s="254"/>
      <c r="F375" s="254"/>
      <c r="G375" s="254" t="s">
        <v>110</v>
      </c>
      <c r="H375" s="254"/>
      <c r="I375" s="254"/>
      <c r="J375" s="255"/>
      <c r="L375" s="254"/>
      <c r="M375" s="254"/>
      <c r="N375" s="254"/>
      <c r="O375" s="254"/>
      <c r="P375" s="254"/>
      <c r="Q375" s="251" t="s">
        <v>110</v>
      </c>
      <c r="R375" s="122"/>
      <c r="S375" s="122"/>
      <c r="T375" s="122"/>
      <c r="U375" s="122"/>
      <c r="V375" s="122"/>
      <c r="W375" s="122"/>
    </row>
    <row r="376">
      <c r="A376" s="122"/>
      <c r="B376" s="247">
        <f t="shared" si="1"/>
        <v>46463</v>
      </c>
      <c r="C376" s="249"/>
      <c r="D376" s="249"/>
      <c r="E376" s="249"/>
      <c r="F376" s="249"/>
      <c r="G376" s="249" t="s">
        <v>110</v>
      </c>
      <c r="H376" s="249"/>
      <c r="I376" s="249"/>
      <c r="J376" s="256"/>
      <c r="L376" s="249"/>
      <c r="M376" s="249"/>
      <c r="N376" s="249"/>
      <c r="O376" s="249"/>
      <c r="P376" s="249"/>
      <c r="Q376" s="251" t="s">
        <v>110</v>
      </c>
      <c r="R376" s="122"/>
      <c r="S376" s="122"/>
      <c r="T376" s="122"/>
      <c r="U376" s="122"/>
      <c r="V376" s="122"/>
      <c r="W376" s="122"/>
    </row>
    <row r="377">
      <c r="A377" s="122"/>
      <c r="B377" s="252">
        <f t="shared" si="1"/>
        <v>46464</v>
      </c>
      <c r="C377" s="254"/>
      <c r="D377" s="254"/>
      <c r="E377" s="254"/>
      <c r="F377" s="254"/>
      <c r="G377" s="254" t="s">
        <v>110</v>
      </c>
      <c r="H377" s="254"/>
      <c r="I377" s="254"/>
      <c r="J377" s="255"/>
      <c r="L377" s="254"/>
      <c r="M377" s="254"/>
      <c r="N377" s="254"/>
      <c r="O377" s="254"/>
      <c r="P377" s="254"/>
      <c r="Q377" s="251" t="s">
        <v>110</v>
      </c>
      <c r="R377" s="122"/>
      <c r="S377" s="122"/>
      <c r="T377" s="122"/>
      <c r="U377" s="122"/>
      <c r="V377" s="122"/>
      <c r="W377" s="122"/>
    </row>
    <row r="378">
      <c r="A378" s="122"/>
      <c r="B378" s="247">
        <f t="shared" si="1"/>
        <v>46465</v>
      </c>
      <c r="C378" s="249"/>
      <c r="D378" s="249"/>
      <c r="E378" s="249"/>
      <c r="F378" s="249"/>
      <c r="G378" s="249" t="s">
        <v>110</v>
      </c>
      <c r="H378" s="249"/>
      <c r="I378" s="249"/>
      <c r="J378" s="256"/>
      <c r="L378" s="249"/>
      <c r="M378" s="249"/>
      <c r="N378" s="249"/>
      <c r="O378" s="249"/>
      <c r="P378" s="249"/>
      <c r="Q378" s="251" t="s">
        <v>110</v>
      </c>
      <c r="R378" s="122"/>
      <c r="S378" s="122"/>
      <c r="T378" s="122"/>
      <c r="U378" s="122"/>
      <c r="V378" s="122"/>
      <c r="W378" s="122"/>
    </row>
    <row r="379">
      <c r="A379" s="122"/>
      <c r="B379" s="252">
        <f t="shared" si="1"/>
        <v>46466</v>
      </c>
      <c r="C379" s="254"/>
      <c r="D379" s="254"/>
      <c r="E379" s="254"/>
      <c r="F379" s="254"/>
      <c r="G379" s="254" t="s">
        <v>110</v>
      </c>
      <c r="H379" s="254"/>
      <c r="I379" s="254"/>
      <c r="J379" s="255"/>
      <c r="L379" s="254"/>
      <c r="M379" s="254"/>
      <c r="N379" s="254"/>
      <c r="O379" s="254"/>
      <c r="P379" s="254"/>
      <c r="Q379" s="251" t="s">
        <v>110</v>
      </c>
      <c r="R379" s="122"/>
      <c r="S379" s="122"/>
      <c r="T379" s="122"/>
      <c r="U379" s="122"/>
      <c r="V379" s="122"/>
      <c r="W379" s="122"/>
    </row>
    <row r="380">
      <c r="A380" s="122"/>
      <c r="B380" s="247">
        <f t="shared" si="1"/>
        <v>46467</v>
      </c>
      <c r="C380" s="249"/>
      <c r="D380" s="249"/>
      <c r="E380" s="249"/>
      <c r="F380" s="249"/>
      <c r="G380" s="249" t="s">
        <v>110</v>
      </c>
      <c r="H380" s="249"/>
      <c r="I380" s="249"/>
      <c r="J380" s="256"/>
      <c r="L380" s="249"/>
      <c r="M380" s="249"/>
      <c r="N380" s="249"/>
      <c r="O380" s="249"/>
      <c r="P380" s="249"/>
      <c r="Q380" s="251" t="s">
        <v>110</v>
      </c>
      <c r="R380" s="122"/>
      <c r="S380" s="122"/>
      <c r="T380" s="122"/>
      <c r="U380" s="122"/>
      <c r="V380" s="122"/>
      <c r="W380" s="122"/>
    </row>
    <row r="381">
      <c r="A381" s="122"/>
      <c r="B381" s="252">
        <f t="shared" si="1"/>
        <v>46468</v>
      </c>
      <c r="C381" s="254"/>
      <c r="D381" s="254"/>
      <c r="E381" s="254"/>
      <c r="F381" s="254"/>
      <c r="G381" s="254" t="s">
        <v>110</v>
      </c>
      <c r="H381" s="254"/>
      <c r="I381" s="254"/>
      <c r="J381" s="255"/>
      <c r="L381" s="254"/>
      <c r="M381" s="254"/>
      <c r="N381" s="254"/>
      <c r="O381" s="254"/>
      <c r="P381" s="254"/>
      <c r="Q381" s="251" t="s">
        <v>110</v>
      </c>
      <c r="R381" s="122"/>
      <c r="S381" s="122"/>
      <c r="T381" s="122"/>
      <c r="U381" s="122"/>
      <c r="V381" s="122"/>
      <c r="W381" s="122"/>
    </row>
    <row r="382">
      <c r="A382" s="122"/>
      <c r="B382" s="247">
        <f t="shared" si="1"/>
        <v>46469</v>
      </c>
      <c r="C382" s="249"/>
      <c r="D382" s="249"/>
      <c r="E382" s="249"/>
      <c r="F382" s="249"/>
      <c r="G382" s="249" t="s">
        <v>110</v>
      </c>
      <c r="H382" s="249"/>
      <c r="I382" s="249"/>
      <c r="J382" s="256"/>
      <c r="L382" s="249"/>
      <c r="M382" s="249"/>
      <c r="N382" s="249"/>
      <c r="O382" s="249"/>
      <c r="P382" s="249"/>
      <c r="Q382" s="251" t="s">
        <v>110</v>
      </c>
      <c r="R382" s="122"/>
      <c r="S382" s="122"/>
      <c r="T382" s="122"/>
      <c r="U382" s="122"/>
      <c r="V382" s="122"/>
      <c r="W382" s="122"/>
    </row>
    <row r="383">
      <c r="A383" s="122"/>
      <c r="B383" s="252">
        <f t="shared" si="1"/>
        <v>46470</v>
      </c>
      <c r="C383" s="254"/>
      <c r="D383" s="254"/>
      <c r="E383" s="254"/>
      <c r="F383" s="254"/>
      <c r="G383" s="254" t="s">
        <v>110</v>
      </c>
      <c r="H383" s="254"/>
      <c r="I383" s="254"/>
      <c r="J383" s="255"/>
      <c r="L383" s="254"/>
      <c r="M383" s="254"/>
      <c r="N383" s="254"/>
      <c r="O383" s="254"/>
      <c r="P383" s="254"/>
      <c r="Q383" s="251" t="s">
        <v>110</v>
      </c>
      <c r="R383" s="122"/>
      <c r="S383" s="122"/>
      <c r="T383" s="122"/>
      <c r="U383" s="122"/>
      <c r="V383" s="122"/>
      <c r="W383" s="122"/>
    </row>
    <row r="384">
      <c r="A384" s="122"/>
      <c r="B384" s="247">
        <f t="shared" si="1"/>
        <v>46471</v>
      </c>
      <c r="C384" s="249"/>
      <c r="D384" s="249"/>
      <c r="E384" s="249"/>
      <c r="F384" s="249"/>
      <c r="G384" s="249" t="s">
        <v>110</v>
      </c>
      <c r="H384" s="249"/>
      <c r="I384" s="249"/>
      <c r="J384" s="256"/>
      <c r="L384" s="249"/>
      <c r="M384" s="249"/>
      <c r="N384" s="249"/>
      <c r="O384" s="249"/>
      <c r="P384" s="249"/>
      <c r="Q384" s="251" t="s">
        <v>110</v>
      </c>
      <c r="R384" s="122"/>
      <c r="S384" s="122"/>
      <c r="T384" s="122"/>
      <c r="U384" s="122"/>
      <c r="V384" s="122"/>
      <c r="W384" s="122"/>
    </row>
    <row r="385">
      <c r="A385" s="122"/>
      <c r="B385" s="252">
        <f t="shared" si="1"/>
        <v>46472</v>
      </c>
      <c r="C385" s="254"/>
      <c r="D385" s="254"/>
      <c r="E385" s="254"/>
      <c r="F385" s="254"/>
      <c r="G385" s="254" t="s">
        <v>110</v>
      </c>
      <c r="H385" s="254"/>
      <c r="I385" s="254"/>
      <c r="J385" s="255"/>
      <c r="L385" s="254"/>
      <c r="M385" s="254"/>
      <c r="N385" s="254"/>
      <c r="O385" s="254"/>
      <c r="P385" s="254"/>
      <c r="Q385" s="251" t="s">
        <v>110</v>
      </c>
      <c r="R385" s="122"/>
      <c r="S385" s="122"/>
      <c r="T385" s="122"/>
      <c r="U385" s="122"/>
      <c r="V385" s="122"/>
      <c r="W385" s="122"/>
    </row>
    <row r="386">
      <c r="A386" s="122"/>
      <c r="B386" s="247">
        <f t="shared" si="1"/>
        <v>46473</v>
      </c>
      <c r="C386" s="249"/>
      <c r="D386" s="249"/>
      <c r="E386" s="249"/>
      <c r="F386" s="249"/>
      <c r="G386" s="249" t="s">
        <v>110</v>
      </c>
      <c r="H386" s="249"/>
      <c r="I386" s="249"/>
      <c r="J386" s="256"/>
      <c r="L386" s="249"/>
      <c r="M386" s="249"/>
      <c r="N386" s="249"/>
      <c r="O386" s="249"/>
      <c r="P386" s="249"/>
      <c r="Q386" s="251" t="s">
        <v>110</v>
      </c>
      <c r="R386" s="122"/>
      <c r="S386" s="122"/>
      <c r="T386" s="122"/>
      <c r="U386" s="122"/>
      <c r="V386" s="122"/>
      <c r="W386" s="122"/>
    </row>
    <row r="387">
      <c r="A387" s="122"/>
      <c r="B387" s="252">
        <f t="shared" si="1"/>
        <v>46474</v>
      </c>
      <c r="C387" s="254"/>
      <c r="D387" s="254"/>
      <c r="E387" s="254"/>
      <c r="F387" s="254"/>
      <c r="G387" s="254" t="s">
        <v>110</v>
      </c>
      <c r="H387" s="254"/>
      <c r="I387" s="254"/>
      <c r="J387" s="255"/>
      <c r="L387" s="254"/>
      <c r="M387" s="254"/>
      <c r="N387" s="254"/>
      <c r="O387" s="254"/>
      <c r="P387" s="254"/>
      <c r="Q387" s="251" t="s">
        <v>110</v>
      </c>
      <c r="R387" s="122"/>
      <c r="S387" s="122"/>
      <c r="T387" s="122"/>
      <c r="U387" s="122"/>
      <c r="V387" s="122"/>
      <c r="W387" s="122"/>
    </row>
    <row r="388">
      <c r="A388" s="122"/>
      <c r="B388" s="247">
        <f t="shared" si="1"/>
        <v>46475</v>
      </c>
      <c r="C388" s="249"/>
      <c r="D388" s="249"/>
      <c r="E388" s="249"/>
      <c r="F388" s="249"/>
      <c r="G388" s="249" t="s">
        <v>110</v>
      </c>
      <c r="H388" s="249"/>
      <c r="I388" s="249"/>
      <c r="J388" s="256"/>
      <c r="L388" s="249"/>
      <c r="M388" s="249"/>
      <c r="N388" s="249"/>
      <c r="O388" s="249"/>
      <c r="P388" s="249"/>
      <c r="Q388" s="251" t="s">
        <v>110</v>
      </c>
      <c r="R388" s="122"/>
      <c r="S388" s="122"/>
      <c r="T388" s="122"/>
      <c r="U388" s="122"/>
      <c r="V388" s="122"/>
      <c r="W388" s="122"/>
    </row>
    <row r="389">
      <c r="A389" s="122"/>
      <c r="B389" s="252">
        <f t="shared" si="1"/>
        <v>46476</v>
      </c>
      <c r="C389" s="254"/>
      <c r="D389" s="254"/>
      <c r="E389" s="254"/>
      <c r="F389" s="254"/>
      <c r="G389" s="254" t="s">
        <v>110</v>
      </c>
      <c r="H389" s="254"/>
      <c r="I389" s="254"/>
      <c r="J389" s="255"/>
      <c r="L389" s="254"/>
      <c r="M389" s="254"/>
      <c r="N389" s="254"/>
      <c r="O389" s="254"/>
      <c r="P389" s="254"/>
      <c r="Q389" s="251" t="s">
        <v>110</v>
      </c>
      <c r="R389" s="122"/>
      <c r="S389" s="122"/>
      <c r="T389" s="122"/>
      <c r="U389" s="122"/>
      <c r="V389" s="122"/>
      <c r="W389" s="122"/>
    </row>
    <row r="390">
      <c r="A390" s="122"/>
      <c r="B390" s="247">
        <f t="shared" si="1"/>
        <v>46477</v>
      </c>
      <c r="C390" s="249"/>
      <c r="D390" s="249"/>
      <c r="E390" s="249"/>
      <c r="F390" s="249"/>
      <c r="G390" s="249" t="s">
        <v>110</v>
      </c>
      <c r="H390" s="249"/>
      <c r="I390" s="249"/>
      <c r="J390" s="256"/>
      <c r="L390" s="249"/>
      <c r="M390" s="249"/>
      <c r="N390" s="249"/>
      <c r="O390" s="249"/>
      <c r="P390" s="249"/>
      <c r="Q390" s="251" t="s">
        <v>110</v>
      </c>
      <c r="R390" s="122"/>
      <c r="S390" s="122"/>
      <c r="T390" s="122"/>
      <c r="U390" s="122"/>
      <c r="V390" s="122"/>
      <c r="W390" s="122"/>
    </row>
    <row r="391">
      <c r="A391" s="122"/>
      <c r="B391" s="252">
        <f t="shared" si="1"/>
        <v>46478</v>
      </c>
      <c r="C391" s="254"/>
      <c r="D391" s="254"/>
      <c r="E391" s="254"/>
      <c r="F391" s="254"/>
      <c r="G391" s="254" t="s">
        <v>110</v>
      </c>
      <c r="H391" s="254"/>
      <c r="I391" s="254"/>
      <c r="J391" s="255"/>
      <c r="L391" s="254"/>
      <c r="M391" s="254"/>
      <c r="N391" s="254"/>
      <c r="O391" s="254"/>
      <c r="P391" s="254"/>
      <c r="Q391" s="251" t="s">
        <v>110</v>
      </c>
      <c r="R391" s="122"/>
      <c r="S391" s="122"/>
      <c r="T391" s="122"/>
      <c r="U391" s="122"/>
      <c r="V391" s="122"/>
      <c r="W391" s="122"/>
    </row>
    <row r="392">
      <c r="A392" s="122"/>
      <c r="B392" s="247">
        <f t="shared" si="1"/>
        <v>46479</v>
      </c>
      <c r="C392" s="249"/>
      <c r="D392" s="249"/>
      <c r="E392" s="249"/>
      <c r="F392" s="249"/>
      <c r="G392" s="249" t="s">
        <v>110</v>
      </c>
      <c r="H392" s="249"/>
      <c r="I392" s="249"/>
      <c r="J392" s="256"/>
      <c r="L392" s="249"/>
      <c r="M392" s="249"/>
      <c r="N392" s="249"/>
      <c r="O392" s="249"/>
      <c r="P392" s="249"/>
      <c r="Q392" s="251" t="s">
        <v>110</v>
      </c>
      <c r="R392" s="122"/>
      <c r="S392" s="122"/>
      <c r="T392" s="122"/>
      <c r="U392" s="122"/>
      <c r="V392" s="122"/>
      <c r="W392" s="122"/>
    </row>
    <row r="393">
      <c r="A393" s="122"/>
      <c r="B393" s="252">
        <f t="shared" si="1"/>
        <v>46480</v>
      </c>
      <c r="C393" s="254"/>
      <c r="D393" s="254"/>
      <c r="E393" s="254"/>
      <c r="F393" s="254"/>
      <c r="G393" s="254" t="s">
        <v>110</v>
      </c>
      <c r="H393" s="254"/>
      <c r="I393" s="254"/>
      <c r="J393" s="255"/>
      <c r="L393" s="254"/>
      <c r="M393" s="254"/>
      <c r="N393" s="254"/>
      <c r="O393" s="254"/>
      <c r="P393" s="254"/>
      <c r="Q393" s="251" t="s">
        <v>110</v>
      </c>
      <c r="R393" s="122"/>
      <c r="S393" s="122"/>
      <c r="T393" s="122"/>
      <c r="U393" s="122"/>
      <c r="V393" s="122"/>
      <c r="W393" s="122"/>
    </row>
    <row r="394">
      <c r="A394" s="122"/>
      <c r="B394" s="247">
        <f t="shared" si="1"/>
        <v>46481</v>
      </c>
      <c r="C394" s="249"/>
      <c r="D394" s="249"/>
      <c r="E394" s="249"/>
      <c r="F394" s="249"/>
      <c r="G394" s="249" t="s">
        <v>110</v>
      </c>
      <c r="H394" s="249"/>
      <c r="I394" s="249"/>
      <c r="J394" s="256"/>
      <c r="L394" s="249"/>
      <c r="M394" s="249"/>
      <c r="N394" s="249"/>
      <c r="O394" s="249"/>
      <c r="P394" s="249"/>
      <c r="Q394" s="251" t="s">
        <v>110</v>
      </c>
      <c r="R394" s="122"/>
      <c r="S394" s="122"/>
      <c r="T394" s="122"/>
      <c r="U394" s="122"/>
      <c r="V394" s="122"/>
      <c r="W394" s="122"/>
    </row>
    <row r="395">
      <c r="A395" s="122"/>
      <c r="B395" s="252">
        <f t="shared" si="1"/>
        <v>46482</v>
      </c>
      <c r="C395" s="254"/>
      <c r="D395" s="254"/>
      <c r="E395" s="254"/>
      <c r="F395" s="254"/>
      <c r="G395" s="254" t="s">
        <v>110</v>
      </c>
      <c r="H395" s="254"/>
      <c r="I395" s="254"/>
      <c r="J395" s="255"/>
      <c r="L395" s="254"/>
      <c r="M395" s="254"/>
      <c r="N395" s="254"/>
      <c r="O395" s="254"/>
      <c r="P395" s="254"/>
      <c r="Q395" s="251" t="s">
        <v>110</v>
      </c>
      <c r="R395" s="122"/>
      <c r="S395" s="122"/>
      <c r="T395" s="122"/>
      <c r="U395" s="122"/>
      <c r="V395" s="122"/>
      <c r="W395" s="122"/>
    </row>
    <row r="396">
      <c r="A396" s="122"/>
      <c r="B396" s="247">
        <f t="shared" si="1"/>
        <v>46483</v>
      </c>
      <c r="C396" s="249"/>
      <c r="D396" s="249"/>
      <c r="E396" s="249"/>
      <c r="F396" s="249"/>
      <c r="G396" s="249" t="s">
        <v>110</v>
      </c>
      <c r="H396" s="249"/>
      <c r="I396" s="249"/>
      <c r="J396" s="256"/>
      <c r="L396" s="249"/>
      <c r="M396" s="249"/>
      <c r="N396" s="249"/>
      <c r="O396" s="249"/>
      <c r="P396" s="249"/>
      <c r="Q396" s="251" t="s">
        <v>110</v>
      </c>
      <c r="R396" s="122"/>
      <c r="S396" s="122"/>
      <c r="T396" s="122"/>
      <c r="U396" s="122"/>
      <c r="V396" s="122"/>
      <c r="W396" s="122"/>
    </row>
    <row r="397">
      <c r="A397" s="122"/>
      <c r="B397" s="252">
        <f t="shared" si="1"/>
        <v>46484</v>
      </c>
      <c r="C397" s="254"/>
      <c r="D397" s="254"/>
      <c r="E397" s="254"/>
      <c r="F397" s="254"/>
      <c r="G397" s="254" t="s">
        <v>110</v>
      </c>
      <c r="H397" s="254"/>
      <c r="I397" s="254"/>
      <c r="J397" s="255"/>
      <c r="L397" s="254"/>
      <c r="M397" s="254"/>
      <c r="N397" s="254"/>
      <c r="O397" s="254"/>
      <c r="P397" s="254"/>
      <c r="Q397" s="251" t="s">
        <v>110</v>
      </c>
      <c r="R397" s="122"/>
      <c r="S397" s="122"/>
      <c r="T397" s="122"/>
      <c r="U397" s="122"/>
      <c r="V397" s="122"/>
      <c r="W397" s="122"/>
    </row>
    <row r="398">
      <c r="A398" s="122"/>
      <c r="B398" s="247">
        <f t="shared" si="1"/>
        <v>46485</v>
      </c>
      <c r="C398" s="249"/>
      <c r="D398" s="249"/>
      <c r="E398" s="249"/>
      <c r="F398" s="249"/>
      <c r="G398" s="249" t="s">
        <v>110</v>
      </c>
      <c r="H398" s="249"/>
      <c r="I398" s="249"/>
      <c r="J398" s="256"/>
      <c r="L398" s="249"/>
      <c r="M398" s="249"/>
      <c r="N398" s="249"/>
      <c r="O398" s="249"/>
      <c r="P398" s="249"/>
      <c r="Q398" s="251" t="s">
        <v>110</v>
      </c>
      <c r="R398" s="122"/>
      <c r="S398" s="122"/>
      <c r="T398" s="122"/>
      <c r="U398" s="122"/>
      <c r="V398" s="122"/>
      <c r="W398" s="122"/>
    </row>
    <row r="399">
      <c r="A399" s="122"/>
      <c r="B399" s="252">
        <f t="shared" si="1"/>
        <v>46486</v>
      </c>
      <c r="C399" s="254"/>
      <c r="D399" s="254"/>
      <c r="E399" s="254"/>
      <c r="F399" s="254"/>
      <c r="G399" s="254" t="s">
        <v>110</v>
      </c>
      <c r="H399" s="254"/>
      <c r="I399" s="254"/>
      <c r="J399" s="255"/>
      <c r="L399" s="254"/>
      <c r="M399" s="254"/>
      <c r="N399" s="254"/>
      <c r="O399" s="254"/>
      <c r="P399" s="254"/>
      <c r="Q399" s="251" t="s">
        <v>110</v>
      </c>
      <c r="R399" s="122"/>
      <c r="S399" s="122"/>
      <c r="T399" s="122"/>
      <c r="U399" s="122"/>
      <c r="V399" s="122"/>
      <c r="W399" s="122"/>
    </row>
    <row r="400">
      <c r="A400" s="122"/>
      <c r="B400" s="247">
        <f t="shared" si="1"/>
        <v>46487</v>
      </c>
      <c r="C400" s="249"/>
      <c r="D400" s="249"/>
      <c r="E400" s="249"/>
      <c r="F400" s="249"/>
      <c r="G400" s="249" t="s">
        <v>110</v>
      </c>
      <c r="H400" s="249"/>
      <c r="I400" s="249"/>
      <c r="J400" s="256"/>
      <c r="L400" s="249"/>
      <c r="M400" s="249"/>
      <c r="N400" s="249"/>
      <c r="O400" s="249"/>
      <c r="P400" s="249"/>
      <c r="Q400" s="251" t="s">
        <v>110</v>
      </c>
      <c r="R400" s="122"/>
      <c r="S400" s="122"/>
      <c r="T400" s="122"/>
      <c r="U400" s="122"/>
      <c r="V400" s="122"/>
      <c r="W400" s="122"/>
    </row>
    <row r="401">
      <c r="A401" s="122"/>
      <c r="B401" s="252">
        <f t="shared" si="1"/>
        <v>46488</v>
      </c>
      <c r="C401" s="254"/>
      <c r="D401" s="254"/>
      <c r="E401" s="254"/>
      <c r="F401" s="254"/>
      <c r="G401" s="254" t="s">
        <v>110</v>
      </c>
      <c r="H401" s="254"/>
      <c r="I401" s="254"/>
      <c r="J401" s="255"/>
      <c r="L401" s="254"/>
      <c r="M401" s="254"/>
      <c r="N401" s="254"/>
      <c r="O401" s="254"/>
      <c r="P401" s="254"/>
      <c r="Q401" s="251" t="s">
        <v>110</v>
      </c>
      <c r="R401" s="122"/>
      <c r="S401" s="122"/>
      <c r="T401" s="122"/>
      <c r="U401" s="122"/>
      <c r="V401" s="122"/>
      <c r="W401" s="122"/>
    </row>
    <row r="402">
      <c r="A402" s="122"/>
      <c r="B402" s="247">
        <f t="shared" si="1"/>
        <v>46489</v>
      </c>
      <c r="C402" s="249"/>
      <c r="D402" s="249"/>
      <c r="E402" s="249"/>
      <c r="F402" s="249"/>
      <c r="G402" s="249" t="s">
        <v>110</v>
      </c>
      <c r="H402" s="249"/>
      <c r="I402" s="249"/>
      <c r="J402" s="256"/>
      <c r="L402" s="249"/>
      <c r="M402" s="249"/>
      <c r="N402" s="249"/>
      <c r="O402" s="249"/>
      <c r="P402" s="249"/>
      <c r="Q402" s="251" t="s">
        <v>110</v>
      </c>
      <c r="R402" s="122"/>
      <c r="S402" s="122"/>
      <c r="T402" s="122"/>
      <c r="U402" s="122"/>
      <c r="V402" s="122"/>
      <c r="W402" s="122"/>
    </row>
    <row r="403">
      <c r="A403" s="122"/>
      <c r="B403" s="263"/>
      <c r="C403" s="263"/>
      <c r="D403" s="263"/>
      <c r="E403" s="263"/>
      <c r="F403" s="263"/>
      <c r="G403" s="263" t="s">
        <v>110</v>
      </c>
      <c r="H403" s="263"/>
      <c r="I403" s="263"/>
      <c r="J403" s="263"/>
      <c r="K403" s="263"/>
      <c r="L403" s="264"/>
      <c r="M403" s="264"/>
      <c r="N403" s="264"/>
      <c r="O403" s="264"/>
      <c r="P403" s="264"/>
      <c r="Q403" s="265" t="s">
        <v>110</v>
      </c>
      <c r="R403" s="122"/>
      <c r="S403" s="122"/>
      <c r="T403" s="122"/>
      <c r="U403" s="122"/>
      <c r="V403" s="122"/>
      <c r="W403" s="122"/>
    </row>
    <row r="404">
      <c r="A404" s="122"/>
      <c r="B404" s="122"/>
      <c r="C404" s="122"/>
      <c r="D404" s="122"/>
      <c r="E404" s="122"/>
      <c r="F404" s="122"/>
      <c r="G404" s="122" t="s">
        <v>110</v>
      </c>
      <c r="H404" s="122"/>
      <c r="I404" s="122"/>
      <c r="J404" s="122"/>
      <c r="K404" s="122"/>
      <c r="L404" s="266"/>
      <c r="M404" s="266"/>
      <c r="N404" s="266"/>
      <c r="O404" s="266"/>
      <c r="P404" s="266"/>
      <c r="Q404" s="118" t="s">
        <v>110</v>
      </c>
      <c r="R404" s="122"/>
      <c r="S404" s="122"/>
      <c r="T404" s="122"/>
      <c r="U404" s="122"/>
      <c r="V404" s="122"/>
      <c r="W404" s="122"/>
    </row>
  </sheetData>
  <mergeCells count="391">
    <mergeCell ref="M3:P4"/>
    <mergeCell ref="M5:P5"/>
    <mergeCell ref="M6:P6"/>
    <mergeCell ref="M7:P7"/>
    <mergeCell ref="G10:H10"/>
    <mergeCell ref="C12:D12"/>
    <mergeCell ref="G12:H12"/>
    <mergeCell ref="C17:D17"/>
    <mergeCell ref="G17:H17"/>
    <mergeCell ref="N17:O17"/>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7:K397"/>
    <mergeCell ref="J398:K398"/>
    <mergeCell ref="J399:K399"/>
    <mergeCell ref="J400:K400"/>
    <mergeCell ref="J401:K401"/>
    <mergeCell ref="J402:K402"/>
    <mergeCell ref="J390:K390"/>
    <mergeCell ref="J391:K391"/>
    <mergeCell ref="J392:K392"/>
    <mergeCell ref="J393:K393"/>
    <mergeCell ref="J394:K394"/>
    <mergeCell ref="J395:K395"/>
    <mergeCell ref="J396:K396"/>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344:K344"/>
    <mergeCell ref="J345:K345"/>
    <mergeCell ref="J346:K346"/>
    <mergeCell ref="J347:K347"/>
    <mergeCell ref="J348:K348"/>
    <mergeCell ref="J349:K349"/>
    <mergeCell ref="J350:K350"/>
    <mergeCell ref="J351:K351"/>
    <mergeCell ref="J352:K352"/>
    <mergeCell ref="J353:K353"/>
    <mergeCell ref="J354:K354"/>
  </mergeCells>
  <conditionalFormatting sqref="B22:P402">
    <cfRule type="expression" dxfId="8" priority="1">
      <formula>$B22=TODAY()</formula>
    </cfRule>
  </conditionalFormatting>
  <conditionalFormatting sqref="B22:P402">
    <cfRule type="expression" dxfId="8" priority="2">
      <formula>$B22=TODAY()</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8"/>
    <col customWidth="1" min="2" max="2" width="5.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104</v>
      </c>
      <c r="C2" s="1"/>
      <c r="D2" s="1"/>
      <c r="E2" s="1"/>
      <c r="F2" s="1"/>
      <c r="G2" s="1"/>
      <c r="H2" s="1"/>
      <c r="I2" s="1"/>
      <c r="J2" s="1"/>
      <c r="K2" s="1"/>
      <c r="L2" s="1"/>
      <c r="M2" s="1"/>
      <c r="N2" s="1"/>
      <c r="O2" s="1"/>
      <c r="P2" s="1"/>
      <c r="Q2" s="1"/>
      <c r="R2" s="1"/>
      <c r="S2" s="1"/>
      <c r="T2" s="1"/>
      <c r="U2" s="1"/>
      <c r="V2" s="1"/>
      <c r="W2" s="1"/>
      <c r="X2" s="1"/>
      <c r="Y2" s="1"/>
      <c r="Z2" s="1"/>
    </row>
    <row r="3">
      <c r="A3" s="1"/>
      <c r="B3" s="3" t="s">
        <v>427</v>
      </c>
      <c r="C3" s="1"/>
      <c r="D3" s="1"/>
      <c r="E3" s="1"/>
      <c r="F3" s="1"/>
      <c r="G3" s="1"/>
      <c r="H3" s="1"/>
      <c r="I3" s="1"/>
      <c r="J3" s="1"/>
      <c r="K3" s="1"/>
      <c r="L3" s="1"/>
      <c r="M3" s="1"/>
      <c r="N3" s="1"/>
      <c r="O3" s="1"/>
      <c r="P3" s="1"/>
      <c r="Q3" s="1"/>
      <c r="R3" s="1"/>
      <c r="S3" s="1"/>
      <c r="T3" s="1"/>
      <c r="U3" s="1"/>
      <c r="V3" s="1"/>
      <c r="W3" s="1"/>
      <c r="X3" s="1"/>
      <c r="Y3" s="1"/>
      <c r="Z3" s="1"/>
    </row>
    <row r="4">
      <c r="A4" s="4"/>
      <c r="B4" s="4"/>
      <c r="C4" s="4"/>
      <c r="D4" s="4"/>
      <c r="E4" s="4"/>
      <c r="F4" s="4"/>
      <c r="G4" s="4"/>
      <c r="H4" s="4"/>
      <c r="I4" s="4"/>
      <c r="J4" s="4"/>
      <c r="K4" s="4"/>
      <c r="L4" s="4"/>
      <c r="M4" s="4"/>
      <c r="N4" s="4"/>
      <c r="O4" s="4"/>
      <c r="P4" s="4"/>
      <c r="Q4" s="4"/>
      <c r="R4" s="4"/>
      <c r="S4" s="4"/>
      <c r="T4" s="4"/>
      <c r="U4" s="4"/>
      <c r="V4" s="4"/>
      <c r="W4" s="4"/>
      <c r="X4" s="4"/>
      <c r="Y4" s="4"/>
      <c r="Z4" s="4"/>
    </row>
    <row r="5">
      <c r="A5" s="5"/>
      <c r="B5" s="5"/>
      <c r="C5" s="5"/>
      <c r="D5" s="5"/>
      <c r="E5" s="5"/>
      <c r="F5" s="5"/>
      <c r="G5" s="5"/>
      <c r="H5" s="5"/>
      <c r="I5" s="5"/>
      <c r="J5" s="5"/>
      <c r="K5" s="5"/>
      <c r="L5" s="5"/>
      <c r="M5" s="5"/>
      <c r="N5" s="5"/>
      <c r="O5" s="5"/>
      <c r="P5" s="5"/>
      <c r="Q5" s="5"/>
      <c r="R5" s="5"/>
      <c r="S5" s="5"/>
      <c r="T5" s="5"/>
      <c r="U5" s="5"/>
      <c r="V5" s="5"/>
      <c r="W5" s="5"/>
      <c r="X5" s="5"/>
      <c r="Y5" s="5"/>
      <c r="Z5" s="5"/>
    </row>
    <row r="6" ht="25.5" customHeight="1">
      <c r="A6" s="5"/>
      <c r="B6" s="5"/>
      <c r="C6" s="5"/>
      <c r="D6" s="5"/>
      <c r="E6" s="267" t="str">
        <f>HYPERLINK("https://www.youtube.com/watch?v=H6Lq7pkPb-8&amp;feature=youtu.be","WATCH A VIDEO")</f>
        <v>WATCH A VIDEO</v>
      </c>
      <c r="F6" s="15"/>
      <c r="G6" s="16"/>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9"/>
      <c r="B8" s="10" t="s">
        <v>15</v>
      </c>
      <c r="C8" s="22" t="s">
        <v>428</v>
      </c>
      <c r="D8" s="23"/>
      <c r="E8" s="23"/>
      <c r="F8" s="23"/>
      <c r="G8" s="23"/>
      <c r="H8" s="23"/>
      <c r="I8" s="23"/>
      <c r="J8" s="9"/>
      <c r="K8" s="9"/>
      <c r="L8" s="9"/>
      <c r="M8" s="9"/>
      <c r="N8" s="9"/>
      <c r="O8" s="9"/>
      <c r="P8" s="9"/>
      <c r="Q8" s="9"/>
      <c r="R8" s="9"/>
      <c r="S8" s="9"/>
      <c r="T8" s="9"/>
      <c r="U8" s="9"/>
      <c r="V8" s="9"/>
      <c r="W8" s="9"/>
      <c r="X8" s="9"/>
      <c r="Y8" s="9"/>
      <c r="Z8" s="9"/>
    </row>
    <row r="9">
      <c r="A9" s="9"/>
      <c r="B9" s="10" t="s">
        <v>17</v>
      </c>
      <c r="C9" s="24" t="s">
        <v>429</v>
      </c>
      <c r="J9" s="9"/>
      <c r="K9" s="9"/>
      <c r="L9" s="9"/>
      <c r="M9" s="9"/>
      <c r="N9" s="9"/>
      <c r="O9" s="9"/>
      <c r="P9" s="9"/>
      <c r="Q9" s="9"/>
      <c r="R9" s="9"/>
      <c r="S9" s="9"/>
      <c r="T9" s="9"/>
      <c r="U9" s="9"/>
      <c r="V9" s="9"/>
      <c r="W9" s="9"/>
      <c r="X9" s="9"/>
      <c r="Y9" s="9"/>
      <c r="Z9" s="9"/>
    </row>
    <row r="10">
      <c r="A10" s="9"/>
      <c r="B10" s="25"/>
      <c r="C10" s="23"/>
      <c r="D10" s="23"/>
      <c r="E10" s="23"/>
      <c r="F10" s="23"/>
      <c r="G10" s="23"/>
      <c r="H10" s="23"/>
      <c r="I10" s="23"/>
      <c r="J10" s="9"/>
      <c r="K10" s="9"/>
      <c r="L10" s="9"/>
      <c r="M10" s="9"/>
      <c r="N10" s="9"/>
      <c r="O10" s="9"/>
      <c r="P10" s="9"/>
      <c r="Q10" s="9"/>
      <c r="R10" s="9"/>
      <c r="S10" s="9"/>
      <c r="T10" s="9"/>
      <c r="U10" s="9"/>
      <c r="V10" s="9"/>
      <c r="W10" s="9"/>
      <c r="X10" s="9"/>
      <c r="Y10" s="9"/>
      <c r="Z10" s="9"/>
    </row>
    <row r="11">
      <c r="A11" s="9"/>
      <c r="B11" s="10" t="s">
        <v>15</v>
      </c>
      <c r="C11" s="22" t="s">
        <v>430</v>
      </c>
      <c r="J11" s="9"/>
      <c r="K11" s="9"/>
      <c r="L11" s="9"/>
      <c r="M11" s="9"/>
      <c r="N11" s="9"/>
      <c r="O11" s="9"/>
      <c r="P11" s="9"/>
      <c r="Q11" s="9"/>
      <c r="R11" s="9"/>
      <c r="S11" s="9"/>
      <c r="T11" s="9"/>
      <c r="U11" s="9"/>
      <c r="V11" s="9"/>
      <c r="W11" s="9"/>
      <c r="X11" s="9"/>
      <c r="Y11" s="9"/>
      <c r="Z11" s="9"/>
    </row>
    <row r="12">
      <c r="A12" s="9"/>
      <c r="B12" s="10" t="s">
        <v>17</v>
      </c>
      <c r="C12" s="24" t="s">
        <v>431</v>
      </c>
      <c r="J12" s="9"/>
      <c r="K12" s="9"/>
      <c r="L12" s="9"/>
      <c r="M12" s="9"/>
      <c r="N12" s="9"/>
      <c r="O12" s="9"/>
      <c r="P12" s="9"/>
      <c r="Q12" s="9"/>
      <c r="R12" s="9"/>
      <c r="S12" s="9"/>
      <c r="T12" s="9"/>
      <c r="U12" s="9"/>
      <c r="V12" s="9"/>
      <c r="W12" s="9"/>
      <c r="X12" s="9"/>
      <c r="Y12" s="9"/>
      <c r="Z12" s="9"/>
    </row>
    <row r="13">
      <c r="A13" s="9"/>
      <c r="B13" s="25"/>
      <c r="C13" s="268"/>
      <c r="D13" s="268"/>
      <c r="E13" s="268"/>
      <c r="F13" s="268"/>
      <c r="G13" s="268"/>
      <c r="H13" s="268"/>
      <c r="I13" s="268"/>
      <c r="J13" s="9"/>
      <c r="K13" s="9"/>
      <c r="L13" s="9"/>
      <c r="M13" s="9"/>
      <c r="N13" s="9"/>
      <c r="O13" s="9"/>
      <c r="P13" s="9"/>
      <c r="Q13" s="9"/>
      <c r="R13" s="9"/>
      <c r="S13" s="9"/>
      <c r="T13" s="9"/>
      <c r="U13" s="9"/>
      <c r="V13" s="9"/>
      <c r="W13" s="9"/>
      <c r="X13" s="9"/>
      <c r="Y13" s="9"/>
      <c r="Z13" s="9"/>
    </row>
    <row r="14">
      <c r="A14" s="9"/>
      <c r="B14" s="10"/>
      <c r="C14" s="269" t="s">
        <v>432</v>
      </c>
      <c r="D14" s="270"/>
      <c r="E14" s="270"/>
      <c r="F14" s="270"/>
      <c r="G14" s="270"/>
      <c r="H14" s="270"/>
      <c r="I14" s="270"/>
      <c r="J14" s="9"/>
      <c r="K14" s="9"/>
      <c r="L14" s="9"/>
      <c r="M14" s="9"/>
      <c r="N14" s="9"/>
      <c r="O14" s="9"/>
      <c r="P14" s="9"/>
      <c r="Q14" s="9"/>
      <c r="R14" s="9"/>
      <c r="S14" s="9"/>
      <c r="T14" s="9"/>
      <c r="U14" s="9"/>
      <c r="V14" s="9"/>
      <c r="W14" s="9"/>
      <c r="X14" s="9"/>
      <c r="Y14" s="9"/>
      <c r="Z14" s="9"/>
    </row>
    <row r="15">
      <c r="A15" s="9"/>
      <c r="B15" s="10"/>
      <c r="C15" s="270"/>
      <c r="D15" s="271"/>
      <c r="E15" s="270"/>
      <c r="F15" s="270"/>
      <c r="G15" s="270"/>
      <c r="H15" s="270"/>
      <c r="I15" s="270"/>
      <c r="J15" s="9"/>
      <c r="K15" s="9"/>
      <c r="L15" s="9"/>
      <c r="M15" s="9"/>
      <c r="N15" s="9"/>
      <c r="O15" s="9"/>
      <c r="P15" s="9"/>
      <c r="Q15" s="9"/>
      <c r="R15" s="9"/>
      <c r="S15" s="9"/>
      <c r="T15" s="9"/>
      <c r="U15" s="9"/>
      <c r="V15" s="9"/>
      <c r="W15" s="9"/>
      <c r="X15" s="9"/>
      <c r="Y15" s="9"/>
      <c r="Z15" s="9"/>
    </row>
    <row r="16">
      <c r="A16" s="9"/>
      <c r="B16" s="10"/>
      <c r="C16" s="270" t="s">
        <v>433</v>
      </c>
      <c r="D16" s="271" t="s">
        <v>434</v>
      </c>
      <c r="E16" s="270"/>
      <c r="F16" s="270"/>
      <c r="G16" s="270"/>
      <c r="H16" s="270"/>
      <c r="I16" s="270"/>
      <c r="J16" s="9"/>
      <c r="K16" s="9"/>
      <c r="L16" s="9"/>
      <c r="M16" s="9"/>
      <c r="N16" s="9"/>
      <c r="O16" s="9"/>
      <c r="P16" s="9"/>
      <c r="Q16" s="9"/>
      <c r="R16" s="9"/>
      <c r="S16" s="9"/>
      <c r="T16" s="9"/>
      <c r="U16" s="9"/>
      <c r="V16" s="9"/>
      <c r="W16" s="9"/>
      <c r="X16" s="9"/>
      <c r="Y16" s="9"/>
      <c r="Z16" s="9"/>
    </row>
    <row r="17">
      <c r="A17" s="9"/>
      <c r="B17" s="26"/>
      <c r="C17" s="27" t="s">
        <v>435</v>
      </c>
      <c r="D17" s="26" t="s">
        <v>434</v>
      </c>
      <c r="E17" s="23"/>
      <c r="F17" s="23"/>
      <c r="G17" s="23"/>
      <c r="H17" s="23"/>
      <c r="I17" s="23"/>
      <c r="J17" s="9"/>
      <c r="K17" s="9"/>
      <c r="L17" s="9"/>
      <c r="M17" s="9"/>
      <c r="N17" s="9"/>
      <c r="O17" s="9"/>
      <c r="P17" s="9"/>
      <c r="Q17" s="9"/>
      <c r="R17" s="9"/>
      <c r="S17" s="9"/>
      <c r="T17" s="9"/>
      <c r="U17" s="9"/>
      <c r="V17" s="9"/>
      <c r="W17" s="9"/>
      <c r="X17" s="9"/>
      <c r="Y17" s="9"/>
      <c r="Z17" s="9"/>
    </row>
    <row r="18">
      <c r="A18" s="9"/>
      <c r="B18" s="26"/>
      <c r="C18" s="27" t="s">
        <v>436</v>
      </c>
      <c r="D18" s="26" t="s">
        <v>434</v>
      </c>
      <c r="E18" s="23"/>
      <c r="F18" s="23"/>
      <c r="G18" s="23"/>
      <c r="H18" s="23"/>
      <c r="I18" s="23"/>
      <c r="J18" s="9"/>
      <c r="K18" s="9"/>
      <c r="L18" s="9"/>
      <c r="M18" s="9"/>
      <c r="N18" s="9"/>
      <c r="O18" s="9"/>
      <c r="P18" s="9"/>
      <c r="Q18" s="9"/>
      <c r="R18" s="9"/>
      <c r="S18" s="9"/>
      <c r="T18" s="9"/>
      <c r="U18" s="9"/>
      <c r="V18" s="9"/>
      <c r="W18" s="9"/>
      <c r="X18" s="9"/>
      <c r="Y18" s="9"/>
      <c r="Z18" s="9"/>
    </row>
    <row r="19">
      <c r="A19" s="9"/>
      <c r="B19" s="26"/>
      <c r="C19" s="27" t="s">
        <v>437</v>
      </c>
      <c r="D19" s="30" t="s">
        <v>438</v>
      </c>
      <c r="E19" s="27" t="s">
        <v>439</v>
      </c>
      <c r="F19" s="23"/>
      <c r="G19" s="23"/>
      <c r="H19" s="23"/>
      <c r="I19" s="23"/>
      <c r="J19" s="9"/>
      <c r="K19" s="9"/>
      <c r="L19" s="9"/>
      <c r="M19" s="9"/>
      <c r="N19" s="9"/>
      <c r="O19" s="9"/>
      <c r="P19" s="9"/>
      <c r="Q19" s="9"/>
      <c r="R19" s="9"/>
      <c r="S19" s="9"/>
      <c r="T19" s="9"/>
      <c r="U19" s="9"/>
      <c r="V19" s="9"/>
      <c r="W19" s="9"/>
      <c r="X19" s="9"/>
      <c r="Y19" s="9"/>
      <c r="Z19" s="9"/>
    </row>
    <row r="20">
      <c r="A20" s="9"/>
      <c r="B20" s="26"/>
      <c r="C20" s="27" t="s">
        <v>440</v>
      </c>
      <c r="D20" s="30" t="s">
        <v>441</v>
      </c>
      <c r="E20" s="27" t="s">
        <v>442</v>
      </c>
      <c r="F20" s="23"/>
      <c r="G20" s="23"/>
      <c r="H20" s="23"/>
      <c r="I20" s="23"/>
      <c r="J20" s="9"/>
      <c r="K20" s="9"/>
      <c r="L20" s="9"/>
      <c r="M20" s="9"/>
      <c r="N20" s="9"/>
      <c r="O20" s="9"/>
      <c r="P20" s="9"/>
      <c r="Q20" s="9"/>
      <c r="R20" s="9"/>
      <c r="S20" s="9"/>
      <c r="T20" s="9"/>
      <c r="U20" s="9"/>
      <c r="V20" s="9"/>
      <c r="W20" s="9"/>
      <c r="X20" s="9"/>
      <c r="Y20" s="9"/>
      <c r="Z20" s="9"/>
    </row>
    <row r="21">
      <c r="A21" s="9"/>
      <c r="B21" s="26"/>
      <c r="C21" s="27" t="s">
        <v>440</v>
      </c>
      <c r="D21" s="30" t="s">
        <v>441</v>
      </c>
      <c r="E21" s="27" t="s">
        <v>443</v>
      </c>
      <c r="F21" s="23"/>
      <c r="G21" s="23"/>
      <c r="H21" s="23"/>
      <c r="I21" s="23"/>
      <c r="J21" s="9"/>
      <c r="K21" s="9"/>
      <c r="L21" s="9"/>
      <c r="M21" s="9"/>
      <c r="N21" s="9"/>
      <c r="O21" s="9"/>
      <c r="P21" s="9"/>
      <c r="Q21" s="9"/>
      <c r="R21" s="9"/>
      <c r="S21" s="9"/>
      <c r="T21" s="9"/>
      <c r="U21" s="9"/>
      <c r="V21" s="9"/>
      <c r="W21" s="9"/>
      <c r="X21" s="9"/>
      <c r="Y21" s="9"/>
      <c r="Z21" s="9"/>
    </row>
    <row r="22">
      <c r="A22" s="9"/>
      <c r="B22" s="26"/>
      <c r="C22" s="27" t="s">
        <v>440</v>
      </c>
      <c r="D22" s="30" t="s">
        <v>444</v>
      </c>
      <c r="E22" s="27" t="s">
        <v>443</v>
      </c>
      <c r="F22" s="23"/>
      <c r="G22" s="23"/>
      <c r="H22" s="23"/>
      <c r="I22" s="23"/>
      <c r="J22" s="9"/>
      <c r="K22" s="9"/>
      <c r="L22" s="9"/>
      <c r="M22" s="9"/>
      <c r="N22" s="9"/>
      <c r="O22" s="9"/>
      <c r="P22" s="9"/>
      <c r="Q22" s="9"/>
      <c r="R22" s="9"/>
      <c r="S22" s="9"/>
      <c r="T22" s="9"/>
      <c r="U22" s="9"/>
      <c r="V22" s="9"/>
      <c r="W22" s="9"/>
      <c r="X22" s="9"/>
      <c r="Y22" s="9"/>
      <c r="Z22" s="9"/>
    </row>
    <row r="23">
      <c r="A23" s="9"/>
      <c r="B23" s="26"/>
      <c r="C23" s="27"/>
      <c r="D23" s="23"/>
      <c r="E23" s="23"/>
      <c r="F23" s="23"/>
      <c r="G23" s="23"/>
      <c r="H23" s="23"/>
      <c r="I23" s="23"/>
      <c r="J23" s="9"/>
      <c r="K23" s="9"/>
      <c r="L23" s="9"/>
      <c r="M23" s="9"/>
      <c r="N23" s="9"/>
      <c r="O23" s="9"/>
      <c r="P23" s="9"/>
      <c r="Q23" s="9"/>
      <c r="R23" s="9"/>
      <c r="S23" s="9"/>
      <c r="T23" s="9"/>
      <c r="U23" s="9"/>
      <c r="V23" s="9"/>
      <c r="W23" s="9"/>
      <c r="X23" s="9"/>
      <c r="Y23" s="9"/>
      <c r="Z23" s="9"/>
    </row>
    <row r="24">
      <c r="A24" s="9"/>
      <c r="B24" s="10"/>
      <c r="C24" s="28"/>
      <c r="J24" s="9"/>
      <c r="K24" s="9"/>
      <c r="L24" s="9"/>
      <c r="M24" s="9"/>
      <c r="N24" s="9"/>
      <c r="O24" s="9"/>
      <c r="P24" s="9"/>
      <c r="Q24" s="9"/>
      <c r="R24" s="9"/>
      <c r="S24" s="9"/>
      <c r="T24" s="9"/>
      <c r="U24" s="9"/>
      <c r="V24" s="9"/>
      <c r="W24" s="9"/>
      <c r="X24" s="9"/>
      <c r="Y24" s="9"/>
      <c r="Z24" s="9"/>
    </row>
    <row r="25">
      <c r="A25" s="9"/>
      <c r="B25" s="10"/>
      <c r="C25" s="24"/>
      <c r="J25" s="9"/>
      <c r="K25" s="9"/>
      <c r="L25" s="9"/>
      <c r="M25" s="9"/>
      <c r="N25" s="9"/>
      <c r="O25" s="9"/>
      <c r="P25" s="9"/>
      <c r="Q25" s="9"/>
      <c r="R25" s="9"/>
      <c r="S25" s="9"/>
      <c r="T25" s="9"/>
      <c r="U25" s="9"/>
      <c r="V25" s="9"/>
      <c r="W25" s="9"/>
      <c r="X25" s="9"/>
      <c r="Y25" s="9"/>
      <c r="Z25" s="9"/>
    </row>
    <row r="26">
      <c r="A26" s="9"/>
      <c r="B26" s="23"/>
      <c r="C26" s="23"/>
      <c r="D26" s="23"/>
      <c r="E26" s="23"/>
      <c r="F26" s="23"/>
      <c r="G26" s="23"/>
      <c r="H26" s="23"/>
      <c r="I26" s="23"/>
      <c r="J26" s="9"/>
      <c r="K26" s="9"/>
      <c r="L26" s="9"/>
      <c r="M26" s="9"/>
      <c r="N26" s="9"/>
      <c r="O26" s="9"/>
      <c r="P26" s="9"/>
      <c r="Q26" s="9"/>
      <c r="R26" s="9"/>
      <c r="S26" s="9"/>
      <c r="T26" s="9"/>
      <c r="U26" s="9"/>
      <c r="V26" s="9"/>
      <c r="W26" s="9"/>
      <c r="X26" s="9"/>
      <c r="Y26" s="9"/>
      <c r="Z26" s="9"/>
    </row>
    <row r="27">
      <c r="A27" s="5"/>
      <c r="B27" s="8"/>
      <c r="C27" s="5"/>
      <c r="D27" s="5"/>
      <c r="E27" s="5"/>
      <c r="F27" s="5"/>
      <c r="G27" s="5"/>
      <c r="H27" s="5"/>
      <c r="I27" s="5"/>
      <c r="J27" s="5"/>
      <c r="K27" s="5"/>
      <c r="L27" s="5"/>
      <c r="M27" s="5"/>
      <c r="N27" s="5"/>
      <c r="O27" s="5"/>
      <c r="P27" s="5"/>
      <c r="Q27" s="5"/>
      <c r="R27" s="5"/>
      <c r="S27" s="5"/>
      <c r="T27" s="5"/>
      <c r="U27" s="5"/>
      <c r="V27" s="5"/>
      <c r="W27" s="5"/>
      <c r="X27" s="5"/>
      <c r="Y27" s="5"/>
      <c r="Z27" s="5"/>
    </row>
    <row r="28" ht="56.25" customHeight="1">
      <c r="A28" s="5"/>
      <c r="B28" s="10"/>
      <c r="C28" s="29"/>
      <c r="D28" s="29"/>
      <c r="E28" s="29"/>
      <c r="F28" s="29"/>
      <c r="G28" s="29"/>
      <c r="H28" s="29"/>
      <c r="I28" s="29"/>
      <c r="J28" s="5"/>
      <c r="K28" s="5"/>
      <c r="L28" s="5"/>
      <c r="M28" s="5"/>
      <c r="N28" s="5"/>
      <c r="O28" s="5"/>
      <c r="P28" s="5"/>
      <c r="Q28" s="5"/>
      <c r="R28" s="5"/>
      <c r="S28" s="5"/>
      <c r="T28" s="5"/>
      <c r="U28" s="5"/>
      <c r="V28" s="5"/>
      <c r="W28" s="5"/>
      <c r="X28" s="5"/>
      <c r="Y28" s="5"/>
      <c r="Z28" s="5"/>
    </row>
    <row r="29">
      <c r="A29" s="9"/>
      <c r="B29" s="10" t="s">
        <v>15</v>
      </c>
      <c r="C29" s="22" t="s">
        <v>445</v>
      </c>
      <c r="J29" s="9"/>
      <c r="K29" s="9"/>
      <c r="L29" s="9"/>
      <c r="M29" s="9"/>
      <c r="N29" s="9"/>
      <c r="O29" s="9"/>
      <c r="P29" s="9"/>
      <c r="Q29" s="9"/>
      <c r="R29" s="9"/>
      <c r="S29" s="9"/>
      <c r="T29" s="9"/>
      <c r="U29" s="9"/>
      <c r="V29" s="9"/>
      <c r="W29" s="9"/>
      <c r="X29" s="9"/>
      <c r="Y29" s="9"/>
      <c r="Z29" s="9"/>
    </row>
    <row r="30">
      <c r="A30" s="9"/>
      <c r="B30" s="272" t="s">
        <v>17</v>
      </c>
      <c r="C30" s="24" t="s">
        <v>446</v>
      </c>
      <c r="J30" s="9"/>
      <c r="K30" s="9"/>
      <c r="L30" s="9"/>
      <c r="M30" s="9"/>
      <c r="N30" s="9"/>
      <c r="O30" s="9"/>
      <c r="P30" s="9"/>
      <c r="Q30" s="9"/>
      <c r="R30" s="9"/>
      <c r="S30" s="9"/>
      <c r="T30" s="9"/>
      <c r="U30" s="9"/>
      <c r="V30" s="9"/>
      <c r="W30" s="9"/>
      <c r="X30" s="9"/>
      <c r="Y30" s="9"/>
      <c r="Z30" s="9"/>
    </row>
    <row r="31">
      <c r="A31" s="9"/>
      <c r="B31" s="9"/>
      <c r="C31" s="23"/>
      <c r="D31" s="9"/>
      <c r="E31" s="9"/>
      <c r="F31" s="9"/>
      <c r="G31" s="9"/>
      <c r="H31" s="9"/>
      <c r="I31" s="9"/>
      <c r="J31" s="9"/>
      <c r="K31" s="9"/>
      <c r="L31" s="9"/>
      <c r="M31" s="9"/>
      <c r="N31" s="9"/>
      <c r="O31" s="9"/>
      <c r="P31" s="9"/>
      <c r="Q31" s="9"/>
      <c r="R31" s="9"/>
      <c r="S31" s="9"/>
      <c r="T31" s="9"/>
      <c r="U31" s="9"/>
      <c r="V31" s="9"/>
      <c r="W31" s="9"/>
      <c r="X31" s="9"/>
      <c r="Y31" s="9"/>
      <c r="Z31" s="9"/>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sheetData>
  <mergeCells count="8">
    <mergeCell ref="E6:G6"/>
    <mergeCell ref="C9:I9"/>
    <mergeCell ref="C11:I11"/>
    <mergeCell ref="C12:I12"/>
    <mergeCell ref="C24:I24"/>
    <mergeCell ref="C25:I25"/>
    <mergeCell ref="C29:I29"/>
    <mergeCell ref="C30:I3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8"/>
    <col customWidth="1" min="2" max="2" width="4.5"/>
    <col customWidth="1" min="3" max="3" width="3.25"/>
    <col customWidth="1" min="4" max="5" width="4.5"/>
    <col customWidth="1" min="6" max="6" width="5.25"/>
    <col customWidth="1" min="7" max="7" width="11.0"/>
    <col customWidth="1" min="8" max="8" width="10.0"/>
    <col customWidth="1" min="9" max="9" width="12.13"/>
    <col customWidth="1" min="10" max="18" width="10.0"/>
    <col customWidth="1" hidden="1" min="20" max="20" width="29.13"/>
    <col customWidth="1" hidden="1" min="21" max="21" width="46.38"/>
    <col hidden="1" min="22" max="22" width="12.63"/>
    <col customWidth="1" hidden="1" min="23" max="23" width="18.38"/>
    <col hidden="1" min="24" max="32" width="12.63"/>
  </cols>
  <sheetData>
    <row r="1">
      <c r="A1" s="122"/>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row>
    <row r="2" ht="20.25" customHeight="1">
      <c r="A2" s="122"/>
      <c r="B2" s="122"/>
      <c r="C2" s="122"/>
      <c r="D2" s="122"/>
      <c r="E2" s="273" t="s">
        <v>447</v>
      </c>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row>
    <row r="3" ht="12.0" customHeight="1">
      <c r="A3" s="122"/>
      <c r="B3" s="122"/>
      <c r="C3" s="122"/>
      <c r="D3" s="122"/>
      <c r="E3" s="274" t="s">
        <v>448</v>
      </c>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row>
    <row r="4" ht="15.0" customHeight="1">
      <c r="A4" s="142"/>
      <c r="B4" s="142"/>
      <c r="C4" s="142"/>
      <c r="D4" s="142"/>
      <c r="E4" s="275"/>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row>
    <row r="5">
      <c r="A5" s="33"/>
      <c r="B5" s="33"/>
      <c r="C5" s="33"/>
      <c r="D5" s="38"/>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row>
    <row r="6">
      <c r="A6" s="33"/>
      <c r="B6" s="33"/>
      <c r="C6" s="33"/>
      <c r="D6" s="33"/>
      <c r="E6" s="33"/>
      <c r="F6" s="6" t="s">
        <v>449</v>
      </c>
      <c r="G6" s="276"/>
      <c r="H6" s="276"/>
      <c r="I6" s="276"/>
      <c r="J6" s="276"/>
      <c r="K6" s="276"/>
      <c r="L6" s="276"/>
      <c r="M6" s="276"/>
      <c r="N6" s="276"/>
      <c r="O6" s="276"/>
      <c r="P6" s="276"/>
      <c r="Q6" s="276"/>
      <c r="R6" s="276"/>
      <c r="S6" s="33"/>
      <c r="T6" s="33"/>
      <c r="U6" s="33"/>
      <c r="V6" s="33"/>
      <c r="W6" s="33"/>
      <c r="X6" s="33"/>
      <c r="Y6" s="33"/>
      <c r="Z6" s="33"/>
      <c r="AA6" s="33"/>
      <c r="AB6" s="33"/>
      <c r="AC6" s="33"/>
      <c r="AD6" s="33"/>
      <c r="AE6" s="33"/>
      <c r="AF6" s="33"/>
      <c r="AG6" s="33"/>
      <c r="AH6" s="33"/>
    </row>
    <row r="7">
      <c r="A7" s="33"/>
      <c r="B7" s="33"/>
      <c r="C7" s="33"/>
      <c r="D7" s="33"/>
      <c r="E7" s="33"/>
      <c r="F7" s="8"/>
      <c r="G7" s="276"/>
      <c r="H7" s="276"/>
      <c r="I7" s="276"/>
      <c r="J7" s="276"/>
      <c r="K7" s="276"/>
      <c r="L7" s="277" t="s">
        <v>450</v>
      </c>
      <c r="M7" s="276"/>
      <c r="N7" s="276"/>
      <c r="O7" s="276"/>
      <c r="P7" s="276"/>
      <c r="Q7" s="276"/>
      <c r="R7" s="276"/>
      <c r="S7" s="33"/>
      <c r="T7" s="33"/>
      <c r="U7" s="33"/>
      <c r="V7" s="33"/>
      <c r="W7" s="33"/>
      <c r="X7" s="33"/>
      <c r="Y7" s="33"/>
      <c r="Z7" s="33"/>
      <c r="AA7" s="33"/>
      <c r="AB7" s="33"/>
      <c r="AC7" s="33"/>
      <c r="AD7" s="33"/>
      <c r="AE7" s="33"/>
      <c r="AF7" s="33"/>
      <c r="AG7" s="33"/>
      <c r="AH7" s="33"/>
    </row>
    <row r="8">
      <c r="A8" s="33"/>
      <c r="B8" s="278"/>
      <c r="C8" s="278"/>
      <c r="D8" s="278"/>
      <c r="E8" s="279" t="s">
        <v>104</v>
      </c>
      <c r="F8" s="280" t="s">
        <v>451</v>
      </c>
      <c r="G8" s="281" t="s">
        <v>452</v>
      </c>
      <c r="H8" s="281" t="s">
        <v>453</v>
      </c>
      <c r="I8" s="281" t="s">
        <v>454</v>
      </c>
      <c r="J8" s="281" t="s">
        <v>455</v>
      </c>
      <c r="K8" s="281" t="s">
        <v>456</v>
      </c>
      <c r="L8" s="281" t="s">
        <v>457</v>
      </c>
      <c r="M8" s="281" t="s">
        <v>458</v>
      </c>
      <c r="N8" s="281" t="s">
        <v>459</v>
      </c>
      <c r="O8" s="281" t="s">
        <v>460</v>
      </c>
      <c r="P8" s="281" t="s">
        <v>461</v>
      </c>
      <c r="Q8" s="281" t="s">
        <v>462</v>
      </c>
      <c r="R8" s="281" t="s">
        <v>463</v>
      </c>
      <c r="S8" s="33"/>
      <c r="T8" s="33"/>
      <c r="U8" s="33"/>
      <c r="V8" s="33"/>
      <c r="W8" s="33"/>
      <c r="X8" s="33"/>
      <c r="Y8" s="33"/>
      <c r="Z8" s="33"/>
      <c r="AA8" s="33"/>
      <c r="AB8" s="33"/>
      <c r="AC8" s="33"/>
      <c r="AD8" s="33"/>
      <c r="AE8" s="33"/>
      <c r="AF8" s="33"/>
      <c r="AG8" s="33"/>
      <c r="AH8" s="33"/>
    </row>
    <row r="9">
      <c r="A9" s="33"/>
      <c r="B9" s="278"/>
      <c r="C9" s="278"/>
      <c r="D9" s="278"/>
      <c r="F9" s="280">
        <v>10.0</v>
      </c>
      <c r="G9" s="282">
        <v>1.0</v>
      </c>
      <c r="H9" s="282">
        <v>0.955</v>
      </c>
      <c r="I9" s="282">
        <v>0.922</v>
      </c>
      <c r="J9" s="282">
        <v>0.892</v>
      </c>
      <c r="K9" s="282">
        <v>0.863</v>
      </c>
      <c r="L9" s="282">
        <v>0.837</v>
      </c>
      <c r="M9" s="282">
        <v>0.811</v>
      </c>
      <c r="N9" s="282">
        <v>0.786</v>
      </c>
      <c r="O9" s="282">
        <v>0.762</v>
      </c>
      <c r="P9" s="282">
        <v>0.739</v>
      </c>
      <c r="Q9" s="282">
        <v>0.707</v>
      </c>
      <c r="R9" s="282">
        <v>0.68</v>
      </c>
      <c r="S9" s="33"/>
      <c r="T9" s="33"/>
      <c r="U9" s="33"/>
      <c r="V9" s="33"/>
      <c r="W9" s="33"/>
      <c r="X9" s="33"/>
      <c r="Y9" s="33"/>
      <c r="Z9" s="33"/>
      <c r="AA9" s="33"/>
      <c r="AB9" s="33"/>
      <c r="AC9" s="33"/>
      <c r="AD9" s="33"/>
      <c r="AE9" s="33"/>
      <c r="AF9" s="33"/>
      <c r="AG9" s="33"/>
      <c r="AH9" s="33"/>
    </row>
    <row r="10">
      <c r="A10" s="33"/>
      <c r="B10" s="278"/>
      <c r="C10" s="278"/>
      <c r="D10" s="278"/>
      <c r="F10" s="280">
        <v>9.5</v>
      </c>
      <c r="G10" s="282">
        <v>0.978</v>
      </c>
      <c r="H10" s="282">
        <v>0.939</v>
      </c>
      <c r="I10" s="282">
        <v>0.907</v>
      </c>
      <c r="J10" s="282">
        <v>0.878</v>
      </c>
      <c r="K10" s="282">
        <v>0.85</v>
      </c>
      <c r="L10" s="282">
        <v>0.824</v>
      </c>
      <c r="M10" s="282">
        <v>0.799</v>
      </c>
      <c r="N10" s="282">
        <v>0.774</v>
      </c>
      <c r="O10" s="282">
        <v>0.751</v>
      </c>
      <c r="P10" s="282">
        <v>0.723</v>
      </c>
      <c r="Q10" s="282">
        <v>0.694</v>
      </c>
      <c r="R10" s="282">
        <v>0.667</v>
      </c>
      <c r="S10" s="33"/>
      <c r="T10" s="33"/>
      <c r="U10" s="33"/>
      <c r="V10" s="33"/>
      <c r="W10" s="33"/>
      <c r="X10" s="33"/>
      <c r="Y10" s="33"/>
      <c r="Z10" s="33"/>
      <c r="AA10" s="33"/>
      <c r="AB10" s="33"/>
      <c r="AC10" s="33"/>
      <c r="AD10" s="33"/>
      <c r="AE10" s="33"/>
      <c r="AF10" s="33"/>
      <c r="AG10" s="33"/>
      <c r="AH10" s="33"/>
    </row>
    <row r="11">
      <c r="A11" s="33"/>
      <c r="B11" s="278"/>
      <c r="C11" s="278"/>
      <c r="D11" s="278"/>
      <c r="F11" s="280">
        <v>9.0</v>
      </c>
      <c r="G11" s="282">
        <v>0.955</v>
      </c>
      <c r="H11" s="282">
        <v>0.922</v>
      </c>
      <c r="I11" s="282">
        <v>0.892</v>
      </c>
      <c r="J11" s="282">
        <v>0.863</v>
      </c>
      <c r="K11" s="282">
        <v>0.837</v>
      </c>
      <c r="L11" s="282">
        <v>0.811</v>
      </c>
      <c r="M11" s="282">
        <v>0.786</v>
      </c>
      <c r="N11" s="282">
        <v>0.762</v>
      </c>
      <c r="O11" s="282">
        <v>0.739</v>
      </c>
      <c r="P11" s="282">
        <v>0.707</v>
      </c>
      <c r="Q11" s="282">
        <v>0.68</v>
      </c>
      <c r="R11" s="282">
        <v>0.653</v>
      </c>
      <c r="S11" s="33"/>
      <c r="T11" s="33"/>
      <c r="U11" s="33"/>
      <c r="V11" s="33"/>
      <c r="W11" s="33"/>
      <c r="X11" s="33"/>
      <c r="Y11" s="33"/>
      <c r="Z11" s="33"/>
      <c r="AA11" s="33"/>
      <c r="AB11" s="33"/>
      <c r="AC11" s="33"/>
      <c r="AD11" s="33"/>
      <c r="AE11" s="33"/>
      <c r="AF11" s="33"/>
      <c r="AG11" s="33"/>
      <c r="AH11" s="33"/>
    </row>
    <row r="12">
      <c r="A12" s="33"/>
      <c r="B12" s="278"/>
      <c r="C12" s="278"/>
      <c r="D12" s="278"/>
      <c r="F12" s="280">
        <v>8.5</v>
      </c>
      <c r="G12" s="282">
        <v>0.939</v>
      </c>
      <c r="H12" s="282">
        <v>0.907</v>
      </c>
      <c r="I12" s="282">
        <v>0.878</v>
      </c>
      <c r="J12" s="282">
        <v>0.85</v>
      </c>
      <c r="K12" s="282">
        <v>0.824</v>
      </c>
      <c r="L12" s="282">
        <v>0.799</v>
      </c>
      <c r="M12" s="282">
        <v>0.774</v>
      </c>
      <c r="N12" s="282">
        <v>0.751</v>
      </c>
      <c r="O12" s="282">
        <v>0.723</v>
      </c>
      <c r="P12" s="282">
        <v>0.694</v>
      </c>
      <c r="Q12" s="282">
        <v>0.667</v>
      </c>
      <c r="R12" s="282">
        <v>0.64</v>
      </c>
      <c r="S12" s="33"/>
      <c r="T12" s="33"/>
      <c r="U12" s="33"/>
      <c r="V12" s="33"/>
      <c r="W12" s="33"/>
      <c r="X12" s="33"/>
      <c r="Y12" s="33"/>
      <c r="Z12" s="33"/>
      <c r="AA12" s="33"/>
      <c r="AB12" s="33"/>
      <c r="AC12" s="33"/>
      <c r="AD12" s="33"/>
      <c r="AE12" s="33"/>
      <c r="AF12" s="33"/>
      <c r="AG12" s="33"/>
      <c r="AH12" s="33"/>
    </row>
    <row r="13">
      <c r="A13" s="33"/>
      <c r="B13" s="278"/>
      <c r="C13" s="278"/>
      <c r="D13" s="278"/>
      <c r="F13" s="280">
        <v>8.0</v>
      </c>
      <c r="G13" s="282">
        <v>0.922</v>
      </c>
      <c r="H13" s="282">
        <v>0.892</v>
      </c>
      <c r="I13" s="282">
        <v>0.863</v>
      </c>
      <c r="J13" s="282">
        <v>0.837</v>
      </c>
      <c r="K13" s="282">
        <v>0.811</v>
      </c>
      <c r="L13" s="282">
        <v>0.786</v>
      </c>
      <c r="M13" s="282">
        <v>0.762</v>
      </c>
      <c r="N13" s="282">
        <v>0.739</v>
      </c>
      <c r="O13" s="282">
        <v>0.707</v>
      </c>
      <c r="P13" s="282">
        <v>0.68</v>
      </c>
      <c r="Q13" s="282">
        <v>0.653</v>
      </c>
      <c r="R13" s="282">
        <v>0.626</v>
      </c>
      <c r="S13" s="33"/>
      <c r="T13" s="33"/>
      <c r="U13" s="33"/>
      <c r="V13" s="33"/>
      <c r="W13" s="33"/>
      <c r="X13" s="33"/>
      <c r="Y13" s="33"/>
      <c r="Z13" s="33"/>
      <c r="AA13" s="33"/>
      <c r="AB13" s="33"/>
      <c r="AC13" s="33"/>
      <c r="AD13" s="33"/>
      <c r="AE13" s="33"/>
      <c r="AF13" s="33"/>
      <c r="AG13" s="33"/>
      <c r="AH13" s="33"/>
    </row>
    <row r="14">
      <c r="A14" s="33"/>
      <c r="B14" s="278"/>
      <c r="C14" s="278"/>
      <c r="D14" s="278"/>
      <c r="F14" s="280">
        <v>7.5</v>
      </c>
      <c r="G14" s="282">
        <v>0.907</v>
      </c>
      <c r="H14" s="282">
        <v>0.878</v>
      </c>
      <c r="I14" s="282">
        <v>0.85</v>
      </c>
      <c r="J14" s="282">
        <v>0.824</v>
      </c>
      <c r="K14" s="282">
        <v>0.799</v>
      </c>
      <c r="L14" s="282">
        <v>0.774</v>
      </c>
      <c r="M14" s="282">
        <v>0.751</v>
      </c>
      <c r="N14" s="282">
        <v>0.723</v>
      </c>
      <c r="O14" s="282">
        <v>0.694</v>
      </c>
      <c r="P14" s="282">
        <v>0.667</v>
      </c>
      <c r="Q14" s="282">
        <v>0.64</v>
      </c>
      <c r="R14" s="282">
        <v>0.613</v>
      </c>
      <c r="S14" s="33"/>
      <c r="T14" s="33"/>
      <c r="U14" s="33"/>
      <c r="V14" s="33"/>
      <c r="W14" s="33"/>
      <c r="X14" s="33"/>
      <c r="Y14" s="33"/>
      <c r="Z14" s="33"/>
      <c r="AA14" s="33"/>
      <c r="AB14" s="33"/>
      <c r="AC14" s="33"/>
      <c r="AD14" s="33"/>
      <c r="AE14" s="33"/>
      <c r="AF14" s="33"/>
      <c r="AG14" s="33"/>
      <c r="AH14" s="33"/>
    </row>
    <row r="15">
      <c r="A15" s="33"/>
      <c r="B15" s="278"/>
      <c r="C15" s="278"/>
      <c r="D15" s="278"/>
      <c r="F15" s="280">
        <v>7.0</v>
      </c>
      <c r="G15" s="282">
        <v>0.892</v>
      </c>
      <c r="H15" s="282">
        <v>0.863</v>
      </c>
      <c r="I15" s="282">
        <v>0.837</v>
      </c>
      <c r="J15" s="282">
        <v>0.811</v>
      </c>
      <c r="K15" s="282">
        <v>0.786</v>
      </c>
      <c r="L15" s="282">
        <v>0.762</v>
      </c>
      <c r="M15" s="282">
        <v>0.739</v>
      </c>
      <c r="N15" s="282">
        <v>0.707</v>
      </c>
      <c r="O15" s="282">
        <v>0.68</v>
      </c>
      <c r="P15" s="282">
        <v>0.653</v>
      </c>
      <c r="Q15" s="282">
        <v>0.626</v>
      </c>
      <c r="R15" s="282">
        <v>0.599</v>
      </c>
      <c r="S15" s="33"/>
      <c r="T15" s="33"/>
      <c r="U15" s="33"/>
      <c r="V15" s="33"/>
      <c r="W15" s="33"/>
      <c r="X15" s="33"/>
      <c r="Y15" s="33"/>
      <c r="Z15" s="33"/>
      <c r="AA15" s="33"/>
      <c r="AB15" s="33"/>
      <c r="AC15" s="33"/>
      <c r="AD15" s="33"/>
      <c r="AE15" s="33"/>
      <c r="AF15" s="33"/>
      <c r="AG15" s="33"/>
      <c r="AH15" s="33"/>
    </row>
    <row r="16">
      <c r="A16" s="33"/>
      <c r="B16" s="278"/>
      <c r="C16" s="278"/>
      <c r="D16" s="278"/>
      <c r="F16" s="280">
        <v>6.5</v>
      </c>
      <c r="G16" s="282">
        <v>0.878</v>
      </c>
      <c r="H16" s="282">
        <v>0.85</v>
      </c>
      <c r="I16" s="282">
        <v>0.824</v>
      </c>
      <c r="J16" s="282">
        <v>0.799</v>
      </c>
      <c r="K16" s="282">
        <v>0.774</v>
      </c>
      <c r="L16" s="282">
        <v>0.751</v>
      </c>
      <c r="M16" s="282">
        <v>0.723</v>
      </c>
      <c r="N16" s="282">
        <v>0.694</v>
      </c>
      <c r="O16" s="282">
        <v>0.667</v>
      </c>
      <c r="P16" s="282">
        <v>0.64</v>
      </c>
      <c r="Q16" s="282">
        <v>0.613</v>
      </c>
      <c r="R16" s="282">
        <v>0.586</v>
      </c>
      <c r="S16" s="33"/>
      <c r="T16" s="33"/>
      <c r="U16" s="33"/>
      <c r="V16" s="33"/>
      <c r="W16" s="33"/>
      <c r="X16" s="33"/>
      <c r="Y16" s="33"/>
      <c r="Z16" s="33"/>
      <c r="AA16" s="33"/>
      <c r="AB16" s="33"/>
      <c r="AC16" s="33"/>
      <c r="AD16" s="33"/>
      <c r="AE16" s="33"/>
      <c r="AF16" s="33"/>
      <c r="AG16" s="33"/>
      <c r="AH16" s="33"/>
    </row>
    <row r="17">
      <c r="A17" s="33"/>
      <c r="B17" s="33"/>
      <c r="C17" s="33"/>
      <c r="D17" s="33"/>
      <c r="E17" s="33"/>
      <c r="F17" s="283"/>
      <c r="G17" s="284"/>
      <c r="H17" s="284"/>
      <c r="I17" s="284"/>
      <c r="J17" s="284"/>
      <c r="K17" s="284"/>
      <c r="L17" s="284"/>
      <c r="M17" s="284"/>
      <c r="N17" s="284"/>
      <c r="O17" s="284"/>
      <c r="P17" s="284"/>
      <c r="Q17" s="284"/>
      <c r="R17" s="284"/>
      <c r="S17" s="33"/>
      <c r="T17" s="33"/>
      <c r="U17" s="33"/>
      <c r="V17" s="33"/>
      <c r="W17" s="33"/>
      <c r="X17" s="33"/>
      <c r="Y17" s="33"/>
      <c r="Z17" s="33"/>
      <c r="AA17" s="33"/>
      <c r="AB17" s="33"/>
      <c r="AC17" s="33"/>
      <c r="AD17" s="33"/>
      <c r="AE17" s="33"/>
      <c r="AF17" s="33"/>
      <c r="AG17" s="33"/>
      <c r="AH17" s="33"/>
    </row>
    <row r="18" ht="24.0" customHeight="1">
      <c r="A18" s="33"/>
      <c r="B18" s="33"/>
      <c r="C18" s="33"/>
      <c r="D18" s="33"/>
      <c r="E18" s="33"/>
      <c r="F18" s="6" t="s">
        <v>464</v>
      </c>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row>
    <row r="19">
      <c r="A19" s="33"/>
      <c r="B19" s="33"/>
      <c r="C19" s="33"/>
      <c r="D19" s="33"/>
      <c r="E19" s="33"/>
      <c r="F19" s="33"/>
      <c r="G19" s="38"/>
      <c r="H19" s="33"/>
      <c r="I19" s="38"/>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row>
    <row r="20">
      <c r="A20" s="33"/>
      <c r="B20" s="33"/>
      <c r="C20" s="33"/>
      <c r="D20" s="33"/>
      <c r="E20" s="33"/>
      <c r="F20" s="285" t="s">
        <v>465</v>
      </c>
      <c r="G20" s="286"/>
      <c r="H20" s="287" t="str">
        <f>Home!V6&amp;" L/day"</f>
        <v>3.5 - 7.5 L/day</v>
      </c>
      <c r="I20" s="288"/>
      <c r="J20" s="39"/>
      <c r="K20" s="39"/>
      <c r="L20" s="39"/>
      <c r="M20" s="33"/>
      <c r="N20" s="33"/>
      <c r="O20" s="33"/>
      <c r="P20" s="33"/>
      <c r="Q20" s="33"/>
      <c r="R20" s="33"/>
      <c r="S20" s="33"/>
      <c r="T20" s="33"/>
      <c r="U20" s="33"/>
      <c r="V20" s="33"/>
      <c r="W20" s="33"/>
      <c r="X20" s="33"/>
      <c r="Y20" s="33"/>
      <c r="Z20" s="33"/>
      <c r="AA20" s="33"/>
      <c r="AB20" s="33"/>
      <c r="AC20" s="33"/>
      <c r="AD20" s="33"/>
      <c r="AE20" s="33"/>
      <c r="AF20" s="33"/>
      <c r="AG20" s="33"/>
      <c r="AH20" s="33"/>
    </row>
    <row r="21">
      <c r="A21" s="33"/>
      <c r="B21" s="33"/>
      <c r="C21" s="33"/>
      <c r="D21" s="33"/>
      <c r="E21" s="33"/>
      <c r="F21" s="285" t="s">
        <v>466</v>
      </c>
      <c r="G21" s="287"/>
      <c r="H21" s="287" t="s">
        <v>467</v>
      </c>
      <c r="I21" s="288"/>
      <c r="J21" s="39"/>
      <c r="K21" s="39"/>
      <c r="L21" s="39"/>
      <c r="M21" s="33"/>
      <c r="N21" s="33"/>
      <c r="O21" s="33"/>
      <c r="P21" s="33"/>
      <c r="Q21" s="33"/>
      <c r="R21" s="33"/>
      <c r="S21" s="33"/>
      <c r="T21" s="33"/>
      <c r="U21" s="33"/>
      <c r="V21" s="33"/>
      <c r="W21" s="33"/>
      <c r="X21" s="33"/>
      <c r="Y21" s="33"/>
      <c r="Z21" s="33"/>
      <c r="AA21" s="33"/>
      <c r="AB21" s="33"/>
      <c r="AC21" s="33"/>
      <c r="AD21" s="33"/>
      <c r="AE21" s="33"/>
      <c r="AF21" s="33"/>
      <c r="AG21" s="33"/>
      <c r="AH21" s="33"/>
    </row>
    <row r="22">
      <c r="A22" s="33"/>
      <c r="B22" s="33"/>
      <c r="C22" s="33"/>
      <c r="D22" s="33"/>
      <c r="E22" s="33"/>
      <c r="F22" s="285" t="s">
        <v>468</v>
      </c>
      <c r="G22" s="287"/>
      <c r="H22" s="287" t="s">
        <v>469</v>
      </c>
      <c r="I22" s="288"/>
      <c r="J22" s="39"/>
      <c r="K22" s="39"/>
      <c r="L22" s="39"/>
      <c r="M22" s="33"/>
      <c r="N22" s="33"/>
      <c r="O22" s="33"/>
      <c r="P22" s="33"/>
      <c r="Q22" s="33"/>
      <c r="R22" s="33"/>
      <c r="S22" s="33"/>
      <c r="T22" s="33"/>
      <c r="U22" s="33"/>
      <c r="V22" s="33"/>
      <c r="W22" s="33"/>
      <c r="X22" s="33"/>
      <c r="Y22" s="33"/>
      <c r="Z22" s="33"/>
      <c r="AA22" s="33"/>
      <c r="AB22" s="33"/>
      <c r="AC22" s="33"/>
      <c r="AD22" s="33"/>
      <c r="AE22" s="33"/>
      <c r="AF22" s="33"/>
      <c r="AG22" s="33"/>
      <c r="AH22" s="33"/>
    </row>
    <row r="23">
      <c r="A23" s="33"/>
      <c r="B23" s="33"/>
      <c r="C23" s="33"/>
      <c r="D23" s="33"/>
      <c r="E23" s="33"/>
      <c r="F23" s="285" t="s">
        <v>470</v>
      </c>
      <c r="G23" s="287"/>
      <c r="H23" s="287" t="s">
        <v>471</v>
      </c>
      <c r="I23" s="288"/>
      <c r="J23" s="39"/>
      <c r="K23" s="39"/>
      <c r="L23" s="39"/>
      <c r="M23" s="33"/>
      <c r="N23" s="33"/>
      <c r="O23" s="33"/>
      <c r="P23" s="33"/>
      <c r="Q23" s="33"/>
      <c r="R23" s="33"/>
      <c r="S23" s="33"/>
      <c r="T23" s="33"/>
      <c r="U23" s="33"/>
      <c r="V23" s="33"/>
      <c r="W23" s="33"/>
      <c r="X23" s="33"/>
      <c r="Y23" s="33"/>
      <c r="Z23" s="33"/>
      <c r="AA23" s="33"/>
      <c r="AB23" s="33"/>
      <c r="AC23" s="33"/>
      <c r="AD23" s="33"/>
      <c r="AE23" s="33"/>
      <c r="AF23" s="33"/>
      <c r="AG23" s="33"/>
      <c r="AH23" s="33"/>
    </row>
    <row r="24">
      <c r="A24" s="33"/>
      <c r="B24" s="33"/>
      <c r="C24" s="33"/>
      <c r="D24" s="33"/>
      <c r="E24" s="33"/>
      <c r="F24" s="285" t="s">
        <v>472</v>
      </c>
      <c r="G24" s="286"/>
      <c r="H24" s="287" t="s">
        <v>473</v>
      </c>
      <c r="I24" s="288"/>
      <c r="J24" s="39"/>
      <c r="K24" s="39"/>
      <c r="L24" s="39"/>
      <c r="M24" s="33"/>
      <c r="N24" s="33"/>
      <c r="O24" s="33"/>
      <c r="P24" s="33"/>
      <c r="Q24" s="33"/>
      <c r="R24" s="33"/>
      <c r="S24" s="33"/>
      <c r="T24" s="33"/>
      <c r="U24" s="33"/>
      <c r="V24" s="33"/>
      <c r="W24" s="33"/>
      <c r="X24" s="33"/>
      <c r="Y24" s="33"/>
      <c r="Z24" s="33"/>
      <c r="AA24" s="33"/>
      <c r="AB24" s="33"/>
      <c r="AC24" s="33"/>
      <c r="AD24" s="33"/>
      <c r="AE24" s="33"/>
      <c r="AF24" s="33"/>
      <c r="AG24" s="33"/>
      <c r="AH24" s="33"/>
    </row>
    <row r="25">
      <c r="A25" s="33"/>
      <c r="B25" s="33"/>
      <c r="C25" s="33"/>
      <c r="D25" s="33"/>
      <c r="E25" s="33"/>
      <c r="F25" s="33"/>
      <c r="G25" s="33"/>
      <c r="H25" s="33"/>
      <c r="I25" s="39"/>
      <c r="J25" s="39"/>
      <c r="K25" s="39"/>
      <c r="L25" s="39"/>
      <c r="M25" s="33"/>
      <c r="N25" s="33"/>
      <c r="O25" s="33"/>
      <c r="P25" s="33"/>
      <c r="Q25" s="33"/>
      <c r="R25" s="33"/>
      <c r="S25" s="33"/>
      <c r="T25" s="33"/>
      <c r="U25" s="33"/>
      <c r="V25" s="33"/>
      <c r="W25" s="33"/>
      <c r="X25" s="33"/>
      <c r="Y25" s="33"/>
      <c r="Z25" s="33"/>
      <c r="AA25" s="33"/>
      <c r="AB25" s="33"/>
      <c r="AC25" s="33"/>
      <c r="AD25" s="33"/>
      <c r="AE25" s="33"/>
      <c r="AF25" s="33"/>
      <c r="AG25" s="33"/>
      <c r="AH25" s="33"/>
    </row>
    <row r="26" hidden="1">
      <c r="A26" s="33"/>
      <c r="B26" s="33"/>
      <c r="C26" s="33"/>
      <c r="D26" s="33"/>
      <c r="E26" s="33"/>
      <c r="F26" s="33"/>
      <c r="G26" s="33"/>
      <c r="H26" s="33"/>
      <c r="I26" s="39"/>
      <c r="J26" s="39"/>
      <c r="K26" s="39"/>
      <c r="L26" s="39"/>
      <c r="M26" s="33"/>
      <c r="N26" s="33"/>
      <c r="O26" s="33"/>
      <c r="P26" s="33"/>
      <c r="Q26" s="33"/>
      <c r="R26" s="33"/>
      <c r="S26" s="33"/>
      <c r="T26" s="33"/>
      <c r="U26" s="33"/>
      <c r="V26" s="33"/>
      <c r="W26" s="33"/>
      <c r="X26" s="33"/>
      <c r="Y26" s="33"/>
      <c r="Z26" s="33"/>
      <c r="AA26" s="33"/>
      <c r="AB26" s="33"/>
      <c r="AC26" s="33"/>
      <c r="AD26" s="33"/>
      <c r="AE26" s="33"/>
      <c r="AF26" s="33"/>
      <c r="AG26" s="33"/>
      <c r="AH26" s="33"/>
    </row>
    <row r="27" hidden="1">
      <c r="A27" s="33"/>
      <c r="B27" s="33"/>
      <c r="C27" s="33"/>
      <c r="D27" s="33"/>
      <c r="E27" s="33"/>
      <c r="F27" s="33"/>
      <c r="G27" s="33"/>
      <c r="H27" s="33"/>
      <c r="I27" s="39"/>
      <c r="J27" s="39"/>
      <c r="K27" s="39"/>
      <c r="L27" s="39"/>
      <c r="M27" s="33"/>
      <c r="N27" s="33"/>
      <c r="O27" s="33"/>
      <c r="P27" s="33"/>
      <c r="Q27" s="33"/>
      <c r="R27" s="33"/>
      <c r="S27" s="33"/>
      <c r="T27" s="33"/>
      <c r="U27" s="33"/>
      <c r="V27" s="33"/>
      <c r="W27" s="33"/>
      <c r="X27" s="33"/>
      <c r="Y27" s="33"/>
      <c r="Z27" s="33"/>
      <c r="AA27" s="33"/>
      <c r="AB27" s="33"/>
      <c r="AC27" s="33"/>
      <c r="AD27" s="33"/>
      <c r="AE27" s="33"/>
      <c r="AF27" s="33"/>
      <c r="AG27" s="33"/>
      <c r="AH27" s="33"/>
    </row>
    <row r="28" hidden="1">
      <c r="A28" s="33"/>
      <c r="B28" s="33"/>
      <c r="C28" s="33"/>
      <c r="D28" s="33"/>
      <c r="E28" s="33"/>
      <c r="F28" s="33"/>
      <c r="G28" s="33"/>
      <c r="H28" s="33"/>
      <c r="I28" s="39"/>
      <c r="J28" s="39"/>
      <c r="K28" s="39"/>
      <c r="L28" s="39"/>
      <c r="M28" s="33"/>
      <c r="N28" s="33"/>
      <c r="O28" s="33"/>
      <c r="P28" s="33"/>
      <c r="Q28" s="33"/>
      <c r="R28" s="33"/>
      <c r="S28" s="33"/>
      <c r="T28" s="33"/>
      <c r="U28" s="33"/>
      <c r="V28" s="33"/>
      <c r="W28" s="33"/>
      <c r="X28" s="33"/>
      <c r="Y28" s="33"/>
      <c r="Z28" s="33"/>
      <c r="AA28" s="33"/>
      <c r="AB28" s="33"/>
      <c r="AC28" s="33"/>
      <c r="AD28" s="33"/>
      <c r="AE28" s="33"/>
      <c r="AF28" s="33"/>
      <c r="AG28" s="33"/>
      <c r="AH28" s="33"/>
    </row>
    <row r="29" hidden="1">
      <c r="A29" s="33"/>
      <c r="B29" s="33"/>
      <c r="C29" s="33"/>
      <c r="D29" s="33"/>
      <c r="E29" s="33"/>
      <c r="F29" s="33"/>
      <c r="G29" s="33"/>
      <c r="H29" s="33"/>
      <c r="I29" s="39"/>
      <c r="J29" s="39"/>
      <c r="K29" s="39"/>
      <c r="L29" s="39"/>
      <c r="M29" s="33"/>
      <c r="N29" s="33"/>
      <c r="O29" s="33"/>
      <c r="P29" s="33"/>
      <c r="Q29" s="33"/>
      <c r="R29" s="33"/>
      <c r="S29" s="33"/>
      <c r="T29" s="33"/>
      <c r="U29" s="33"/>
      <c r="V29" s="33"/>
      <c r="W29" s="33"/>
      <c r="X29" s="33"/>
      <c r="Y29" s="33"/>
      <c r="Z29" s="33"/>
      <c r="AA29" s="33"/>
      <c r="AB29" s="33"/>
      <c r="AC29" s="33"/>
      <c r="AD29" s="33"/>
      <c r="AE29" s="33"/>
      <c r="AF29" s="33"/>
      <c r="AG29" s="33"/>
      <c r="AH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row>
    <row r="31">
      <c r="A31" s="33"/>
      <c r="B31" s="33"/>
      <c r="C31" s="33"/>
      <c r="D31" s="33"/>
      <c r="E31" s="33"/>
      <c r="F31" s="6" t="s">
        <v>474</v>
      </c>
      <c r="G31" s="38"/>
      <c r="H31" s="33"/>
      <c r="I31" s="33"/>
      <c r="J31" s="33"/>
      <c r="K31" s="33"/>
      <c r="L31" s="33"/>
      <c r="M31" s="33"/>
      <c r="N31" s="6" t="s">
        <v>475</v>
      </c>
      <c r="O31" s="33"/>
      <c r="P31" s="33"/>
      <c r="Q31" s="33"/>
      <c r="R31" s="33"/>
      <c r="S31" s="289"/>
      <c r="T31" s="33"/>
      <c r="U31" s="33"/>
      <c r="V31" s="33"/>
      <c r="W31" s="33"/>
      <c r="X31" s="33"/>
      <c r="Y31" s="33"/>
      <c r="Z31" s="33"/>
      <c r="AA31" s="33"/>
      <c r="AB31" s="33"/>
      <c r="AC31" s="33"/>
      <c r="AD31" s="33"/>
      <c r="AE31" s="33"/>
      <c r="AF31" s="33"/>
      <c r="AG31" s="33"/>
      <c r="AH31" s="33"/>
    </row>
    <row r="32" ht="12.0" customHeight="1">
      <c r="A32" s="33"/>
      <c r="B32" s="33"/>
      <c r="C32" s="33"/>
      <c r="D32" s="33"/>
      <c r="E32" s="33"/>
      <c r="F32" s="290"/>
      <c r="G32" s="290"/>
      <c r="H32" s="290"/>
      <c r="I32" s="291"/>
      <c r="J32" s="292"/>
      <c r="K32" s="292"/>
      <c r="L32" s="292"/>
      <c r="M32" s="33"/>
      <c r="N32" s="293"/>
      <c r="O32" s="293"/>
      <c r="P32" s="293"/>
      <c r="Q32" s="293"/>
      <c r="R32" s="293"/>
      <c r="S32" s="33"/>
      <c r="T32" s="33"/>
      <c r="U32" s="33"/>
      <c r="V32" s="33"/>
      <c r="W32" s="33"/>
      <c r="X32" s="33"/>
      <c r="Y32" s="33"/>
      <c r="Z32" s="33"/>
      <c r="AA32" s="33"/>
      <c r="AB32" s="33"/>
      <c r="AC32" s="33"/>
      <c r="AD32" s="33"/>
      <c r="AE32" s="33"/>
      <c r="AF32" s="33"/>
      <c r="AG32" s="33"/>
      <c r="AH32" s="33"/>
    </row>
    <row r="33" ht="19.5" customHeight="1">
      <c r="A33" s="33"/>
      <c r="B33" s="33"/>
      <c r="C33" s="33"/>
      <c r="D33" s="33"/>
      <c r="E33" s="33"/>
      <c r="F33" s="294" t="s">
        <v>476</v>
      </c>
      <c r="I33" s="295" t="str">
        <f>TEXT(MROUND(IF(_uom="kgs",'Personal Info'!$L$30*2.20462,'Personal Info'!$L$30)*9,50),"0")&amp;" - "&amp;TEXT(MROUND(IF(_uom="kgs",'Personal Info'!$L$30*2.20462,'Personal Info'!$L$30)*36, 50),"0")&amp;" IU"</f>
        <v>1600 - 6500 IU</v>
      </c>
      <c r="J33" s="296" t="s">
        <v>477</v>
      </c>
      <c r="M33" s="33"/>
      <c r="N33" s="297" t="s">
        <v>478</v>
      </c>
      <c r="S33" s="33"/>
      <c r="T33" s="33"/>
      <c r="U33" s="33"/>
      <c r="V33" s="33"/>
      <c r="W33" s="33"/>
      <c r="X33" s="33"/>
      <c r="Y33" s="33"/>
      <c r="Z33" s="33"/>
      <c r="AA33" s="33"/>
      <c r="AB33" s="33"/>
      <c r="AC33" s="33"/>
      <c r="AD33" s="33"/>
      <c r="AE33" s="33"/>
      <c r="AF33" s="33"/>
      <c r="AG33" s="33"/>
      <c r="AH33" s="33"/>
    </row>
    <row r="34" ht="19.5" customHeight="1">
      <c r="A34" s="33"/>
      <c r="B34" s="33"/>
      <c r="C34" s="33"/>
      <c r="D34" s="33"/>
      <c r="E34" s="33"/>
      <c r="F34" s="298" t="s">
        <v>479</v>
      </c>
      <c r="I34" s="299" t="str">
        <f>TEXT(IF(_uom="kgs",'Personal Info'!$L$30*2.20462,'Personal Info'!$L$30)*0.02,"0.0")&amp;" g"</f>
        <v>3.6 g</v>
      </c>
      <c r="J34" s="297" t="s">
        <v>480</v>
      </c>
      <c r="M34" s="33"/>
      <c r="N34" s="297" t="s">
        <v>481</v>
      </c>
      <c r="S34" s="33"/>
      <c r="T34" s="33"/>
      <c r="U34" s="33"/>
      <c r="V34" s="33"/>
      <c r="W34" s="33"/>
      <c r="X34" s="33"/>
      <c r="Y34" s="33"/>
      <c r="Z34" s="33"/>
      <c r="AA34" s="33"/>
      <c r="AB34" s="33"/>
      <c r="AC34" s="33"/>
      <c r="AD34" s="33"/>
      <c r="AE34" s="33"/>
      <c r="AF34" s="33"/>
      <c r="AG34" s="33"/>
      <c r="AH34" s="33"/>
    </row>
    <row r="35" ht="19.5" customHeight="1">
      <c r="A35" s="33"/>
      <c r="B35" s="33"/>
      <c r="C35" s="33"/>
      <c r="D35" s="33"/>
      <c r="E35" s="33"/>
      <c r="F35" s="298" t="s">
        <v>482</v>
      </c>
      <c r="I35" s="298" t="s">
        <v>483</v>
      </c>
      <c r="J35" s="297" t="s">
        <v>484</v>
      </c>
      <c r="M35" s="33"/>
      <c r="N35" s="297" t="s">
        <v>485</v>
      </c>
      <c r="S35" s="33"/>
      <c r="T35" s="33"/>
      <c r="U35" s="33"/>
      <c r="V35" s="33"/>
      <c r="W35" s="33"/>
      <c r="X35" s="33"/>
      <c r="Y35" s="33"/>
      <c r="Z35" s="33"/>
      <c r="AA35" s="33"/>
      <c r="AB35" s="33"/>
      <c r="AC35" s="33"/>
      <c r="AD35" s="33"/>
      <c r="AE35" s="33"/>
      <c r="AF35" s="33"/>
      <c r="AG35" s="33"/>
      <c r="AH35" s="33"/>
    </row>
    <row r="36" ht="19.5" customHeight="1">
      <c r="A36" s="33"/>
      <c r="B36" s="33"/>
      <c r="C36" s="33"/>
      <c r="D36" s="33"/>
      <c r="E36" s="33"/>
      <c r="F36" s="298" t="s">
        <v>486</v>
      </c>
      <c r="I36" s="298" t="s">
        <v>487</v>
      </c>
      <c r="J36" s="297" t="s">
        <v>488</v>
      </c>
      <c r="M36" s="33"/>
      <c r="N36" s="297" t="s">
        <v>489</v>
      </c>
      <c r="S36" s="33"/>
      <c r="T36" s="38"/>
      <c r="U36" s="33"/>
      <c r="V36" s="33"/>
      <c r="W36" s="33"/>
      <c r="X36" s="33"/>
      <c r="Y36" s="33"/>
      <c r="Z36" s="33"/>
      <c r="AA36" s="33"/>
      <c r="AB36" s="33"/>
      <c r="AC36" s="33"/>
      <c r="AD36" s="33"/>
      <c r="AE36" s="33"/>
      <c r="AF36" s="33"/>
      <c r="AG36" s="33"/>
      <c r="AH36" s="33"/>
    </row>
    <row r="37" ht="19.5" customHeight="1">
      <c r="A37" s="33"/>
      <c r="B37" s="33"/>
      <c r="C37" s="33"/>
      <c r="D37" s="33"/>
      <c r="E37" s="33"/>
      <c r="F37" s="298" t="s">
        <v>490</v>
      </c>
      <c r="I37" s="299" t="str">
        <f>TEXT(MROUND(IF(_uom="kgs",'Personal Info'!$L$30*2.20462,'Personal Info'!$L$30)*0.5,25),"0")&amp;" - "&amp;TEXT(MROUND(IF(_uom="kgs",'Personal Info'!$L$30*2.20462,'Personal Info'!$L$30)*1.4,25),"0")&amp;" mg"</f>
        <v>100 - 250 mg</v>
      </c>
      <c r="J37" s="297" t="s">
        <v>491</v>
      </c>
      <c r="M37" s="33"/>
      <c r="N37" s="297" t="s">
        <v>492</v>
      </c>
      <c r="S37" s="33"/>
      <c r="T37" s="33"/>
      <c r="U37" s="33"/>
      <c r="V37" s="33"/>
      <c r="W37" s="33"/>
      <c r="X37" s="33"/>
      <c r="Y37" s="33"/>
      <c r="Z37" s="33"/>
      <c r="AA37" s="33"/>
      <c r="AB37" s="33"/>
      <c r="AC37" s="33"/>
      <c r="AD37" s="33"/>
      <c r="AE37" s="33"/>
      <c r="AF37" s="33"/>
      <c r="AG37" s="33"/>
      <c r="AH37" s="33"/>
    </row>
    <row r="38" ht="19.5" customHeight="1">
      <c r="A38" s="33"/>
      <c r="B38" s="33"/>
      <c r="C38" s="33"/>
      <c r="D38" s="33"/>
      <c r="E38" s="33"/>
      <c r="F38" s="298" t="s">
        <v>493</v>
      </c>
      <c r="I38" s="299" t="str">
        <f>TEXT(IF(_uom="kgs",'Personal Info'!$L$30*2.20462,'Personal Info'!$L$30)*0.02,"0.0")&amp;" g"</f>
        <v>3.6 g</v>
      </c>
      <c r="J38" s="297" t="s">
        <v>494</v>
      </c>
      <c r="M38" s="33"/>
      <c r="N38" s="297" t="s">
        <v>495</v>
      </c>
      <c r="S38" s="33"/>
      <c r="T38" s="33"/>
      <c r="U38" s="33"/>
      <c r="V38" s="33"/>
      <c r="W38" s="33"/>
      <c r="X38" s="33"/>
      <c r="Y38" s="33"/>
      <c r="Z38" s="33"/>
      <c r="AA38" s="33"/>
      <c r="AB38" s="33"/>
      <c r="AC38" s="33"/>
      <c r="AD38" s="33"/>
      <c r="AE38" s="33"/>
      <c r="AF38" s="33"/>
      <c r="AG38" s="33"/>
      <c r="AH38" s="33"/>
    </row>
    <row r="39" ht="19.5" customHeight="1">
      <c r="A39" s="33"/>
      <c r="B39" s="33"/>
      <c r="C39" s="33"/>
      <c r="D39" s="33"/>
      <c r="E39" s="33"/>
      <c r="F39" s="298" t="s">
        <v>496</v>
      </c>
      <c r="I39" s="300" t="s">
        <v>497</v>
      </c>
      <c r="J39" s="297" t="s">
        <v>498</v>
      </c>
      <c r="M39" s="33"/>
      <c r="N39" s="39"/>
      <c r="O39" s="39"/>
      <c r="P39" s="39"/>
      <c r="Q39" s="39"/>
      <c r="R39" s="39"/>
      <c r="S39" s="33"/>
      <c r="T39" s="33"/>
      <c r="U39" s="33"/>
      <c r="V39" s="33"/>
      <c r="W39" s="33"/>
      <c r="X39" s="33"/>
      <c r="Y39" s="33"/>
      <c r="Z39" s="33"/>
      <c r="AA39" s="33"/>
      <c r="AB39" s="33"/>
      <c r="AC39" s="33"/>
      <c r="AD39" s="33"/>
      <c r="AE39" s="33"/>
      <c r="AF39" s="33"/>
      <c r="AG39" s="33"/>
      <c r="AH39" s="33"/>
    </row>
    <row r="40" ht="19.5" customHeight="1">
      <c r="A40" s="33"/>
      <c r="B40" s="33"/>
      <c r="C40" s="33"/>
      <c r="D40" s="33"/>
      <c r="E40" s="33"/>
      <c r="F40" s="301"/>
      <c r="I40" s="301"/>
      <c r="J40" s="293"/>
      <c r="M40" s="33"/>
      <c r="N40" s="38"/>
      <c r="O40" s="33"/>
      <c r="P40" s="33"/>
      <c r="Q40" s="33"/>
      <c r="R40" s="33"/>
      <c r="S40" s="33"/>
      <c r="T40" s="33"/>
      <c r="U40" s="33"/>
      <c r="V40" s="33"/>
      <c r="W40" s="33"/>
      <c r="X40" s="33"/>
      <c r="Y40" s="33"/>
      <c r="Z40" s="33"/>
      <c r="AA40" s="33"/>
      <c r="AB40" s="33"/>
      <c r="AC40" s="33"/>
      <c r="AD40" s="33"/>
      <c r="AE40" s="33"/>
      <c r="AF40" s="33"/>
      <c r="AG40" s="33"/>
      <c r="AH40" s="33"/>
    </row>
    <row r="41">
      <c r="A41" s="33"/>
      <c r="B41" s="33"/>
      <c r="C41" s="33"/>
      <c r="D41" s="33"/>
      <c r="E41" s="33"/>
      <c r="F41" s="165"/>
      <c r="I41" s="165"/>
      <c r="J41" s="302"/>
      <c r="M41" s="33"/>
      <c r="N41" s="38"/>
      <c r="O41" s="303"/>
      <c r="P41" s="33"/>
      <c r="Q41" s="33"/>
      <c r="R41" s="33"/>
      <c r="S41" s="33"/>
      <c r="T41" s="33"/>
      <c r="U41" s="33"/>
      <c r="V41" s="33"/>
      <c r="W41" s="33"/>
      <c r="X41" s="33"/>
      <c r="Y41" s="33"/>
      <c r="Z41" s="33"/>
      <c r="AA41" s="33"/>
      <c r="AB41" s="33"/>
      <c r="AC41" s="33"/>
      <c r="AD41" s="33"/>
      <c r="AE41" s="33"/>
      <c r="AF41" s="33"/>
      <c r="AG41" s="33"/>
      <c r="AH41" s="33"/>
    </row>
    <row r="42">
      <c r="A42" s="33"/>
      <c r="B42" s="33"/>
      <c r="C42" s="33"/>
      <c r="D42" s="33"/>
      <c r="E42" s="33"/>
      <c r="F42" s="33"/>
      <c r="G42" s="38"/>
      <c r="H42" s="38"/>
      <c r="I42" s="38"/>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row>
    <row r="43">
      <c r="A43" s="33"/>
      <c r="B43" s="33"/>
      <c r="C43" s="33"/>
      <c r="D43" s="33"/>
      <c r="E43" s="33"/>
      <c r="F43" s="177"/>
      <c r="G43" s="33"/>
      <c r="H43" s="33"/>
      <c r="I43" s="33"/>
      <c r="J43" s="33"/>
      <c r="K43" s="33"/>
      <c r="L43" s="33"/>
      <c r="M43" s="33"/>
      <c r="N43" s="33"/>
      <c r="O43" s="33"/>
      <c r="P43" s="33"/>
      <c r="Q43" s="33"/>
      <c r="R43" s="33"/>
      <c r="S43" s="33"/>
      <c r="T43" s="304" t="s">
        <v>499</v>
      </c>
      <c r="U43" s="304" t="s">
        <v>500</v>
      </c>
      <c r="V43" s="304" t="s">
        <v>501</v>
      </c>
      <c r="W43" s="304" t="s">
        <v>502</v>
      </c>
      <c r="X43" s="304" t="s">
        <v>503</v>
      </c>
      <c r="Y43" s="33"/>
      <c r="Z43" s="33"/>
      <c r="AA43" s="33"/>
      <c r="AB43" s="33"/>
      <c r="AC43" s="33"/>
      <c r="AD43" s="38"/>
      <c r="AE43" s="38"/>
      <c r="AF43" s="38"/>
      <c r="AG43" s="33"/>
      <c r="AH43" s="33"/>
    </row>
    <row r="44">
      <c r="A44" s="33"/>
      <c r="B44" s="33"/>
      <c r="C44" s="33"/>
      <c r="D44" s="33"/>
      <c r="E44" s="33"/>
      <c r="F44" s="6" t="s">
        <v>504</v>
      </c>
      <c r="G44" s="33"/>
      <c r="H44" s="33"/>
      <c r="I44" s="33"/>
      <c r="J44" s="38"/>
      <c r="K44" s="33"/>
      <c r="L44" s="33"/>
      <c r="M44" s="33"/>
      <c r="N44" s="6" t="s">
        <v>505</v>
      </c>
      <c r="O44" s="33"/>
      <c r="P44" s="33"/>
      <c r="Q44" s="33"/>
      <c r="R44" s="33"/>
      <c r="S44" s="33"/>
      <c r="T44" s="305" t="s">
        <v>506</v>
      </c>
      <c r="U44" s="304" t="s">
        <v>507</v>
      </c>
      <c r="V44" s="304" t="s">
        <v>508</v>
      </c>
      <c r="W44" s="304" t="s">
        <v>509</v>
      </c>
      <c r="X44" s="304"/>
      <c r="Y44" s="33"/>
      <c r="Z44" s="38" t="s">
        <v>510</v>
      </c>
      <c r="AA44" s="38" t="s">
        <v>511</v>
      </c>
      <c r="AB44" s="38" t="s">
        <v>512</v>
      </c>
      <c r="AC44" s="38" t="s">
        <v>513</v>
      </c>
      <c r="AD44" s="38" t="s">
        <v>514</v>
      </c>
      <c r="AE44" s="38" t="s">
        <v>515</v>
      </c>
      <c r="AF44" s="38" t="s">
        <v>434</v>
      </c>
      <c r="AG44" s="33"/>
      <c r="AH44" s="33"/>
    </row>
    <row r="45">
      <c r="A45" s="33"/>
      <c r="B45" s="33"/>
      <c r="C45" s="33"/>
      <c r="D45" s="33"/>
      <c r="E45" s="33"/>
      <c r="F45" s="290"/>
      <c r="G45" s="33"/>
      <c r="H45" s="33"/>
      <c r="I45" s="33"/>
      <c r="J45" s="38"/>
      <c r="K45" s="33"/>
      <c r="L45" s="33"/>
      <c r="M45" s="306"/>
      <c r="N45" s="307"/>
      <c r="O45" s="33"/>
      <c r="P45" s="33"/>
      <c r="Q45" s="33"/>
      <c r="R45" s="33"/>
      <c r="S45" s="33"/>
      <c r="T45" s="304" t="s">
        <v>516</v>
      </c>
      <c r="U45" s="304" t="s">
        <v>517</v>
      </c>
      <c r="V45" s="304" t="s">
        <v>518</v>
      </c>
      <c r="W45" s="304" t="s">
        <v>502</v>
      </c>
      <c r="X45" s="304" t="s">
        <v>503</v>
      </c>
      <c r="Y45" s="33"/>
      <c r="Z45" s="33" t="str">
        <f>OFFSET($U$43,MATCH(VLOOKUP(1,$M$46:$N$131,2,FALSE),$U$43:$U300,0),-1,COUNTIF($U$43:$U300,VLOOKUP(1,$M$46:$N$131,2,FALSE)),1)</f>
        <v>SIT IN A HEATED CAR WHILE YOU DRIVE TO THE GYM</v>
      </c>
      <c r="AA45" s="33" t="str">
        <f>OFFSET($U$43,MATCH(VLOOKUP(2,$M$46:$N$131,2,FALSE),$U$43:$U300,0),-1,COUNTIF($U$43:$U300,VLOOKUP(2,$M$46:$N$131,2,FALSE)),1)</f>
        <v>BARBELL COMPLEX</v>
      </c>
      <c r="AB45" s="33" t="str">
        <f>OFFSET($U$43,MATCH(VLOOKUP(3,$M$46:$N$131,2,FALSE),$U$43:$U300,0),-1,COUNTIF($U$43:$U300,VLOOKUP(3,$M$46:$N$131,2,FALSE)),1)</f>
        <v>BOX JUMP/DEPTH DROP</v>
      </c>
      <c r="AC45" s="33" t="str">
        <f>OFFSET($U$43,MATCH(VLOOKUP(4,$M$46:$N$131,2,FALSE),$U$43:$U300,0),-1,COUNTIF($U$43:$U300,VLOOKUP(4,$M$46:$N$131,2,FALSE)),1)</f>
        <v>(IF BENCHING) BAND CIRCLES</v>
      </c>
      <c r="AD45" s="33" t="str">
        <f>OFFSET($U$42,MATCH(VLOOKUP(5,$M$46:$N$130,2,FALSE),$U$43:$U300,0),-1,COUNTIF($U$43:$U300,VLOOKUP(5,$M$46:$N$130,2,FALSE)),1)</f>
        <v>--</v>
      </c>
      <c r="AE45" s="33" t="str">
        <f>OFFSET($U$42,MATCH(VLOOKUP(6,$M$46:$N$130,2,FALSE),$U$43:$U300,0),-1,COUNTIF($U$43:$U300,VLOOKUP(6,$M$46:$N$130,2,FALSE)),1)</f>
        <v>--</v>
      </c>
      <c r="AF45" s="33" t="str">
        <f>OFFSET($U$42,MATCH(VLOOKUP(7,$M$46:$N$130,2,FALSE),$U$43:$U300,0),-1,COUNTIF($U$43:$U300,VLOOKUP(7,$M$46:$N$130,2,FALSE)),1)</f>
        <v>BARBELL WARMUP</v>
      </c>
      <c r="AG45" s="33"/>
      <c r="AH45" s="33"/>
    </row>
    <row r="46">
      <c r="A46" s="33"/>
      <c r="B46" s="33"/>
      <c r="C46" s="33"/>
      <c r="D46" s="33"/>
      <c r="E46" s="33"/>
      <c r="F46" s="290" t="s">
        <v>519</v>
      </c>
      <c r="G46" s="33"/>
      <c r="H46" s="33"/>
      <c r="I46" s="33"/>
      <c r="J46" s="38"/>
      <c r="K46" s="33"/>
      <c r="L46" s="33"/>
      <c r="M46" s="306">
        <v>1.0</v>
      </c>
      <c r="N46" s="308" t="s">
        <v>517</v>
      </c>
      <c r="O46" s="263"/>
      <c r="P46" s="263"/>
      <c r="Q46" s="263"/>
      <c r="R46" s="263"/>
      <c r="S46" s="33"/>
      <c r="T46" s="305" t="s">
        <v>520</v>
      </c>
      <c r="U46" s="304" t="s">
        <v>517</v>
      </c>
      <c r="V46" s="304" t="s">
        <v>518</v>
      </c>
      <c r="W46" s="304" t="s">
        <v>521</v>
      </c>
      <c r="X46" s="304"/>
      <c r="Y46" s="33"/>
      <c r="Z46" s="33" t="s">
        <v>522</v>
      </c>
      <c r="AA46" s="33" t="s">
        <v>523</v>
      </c>
      <c r="AB46" s="33" t="s">
        <v>524</v>
      </c>
      <c r="AC46" s="33" t="s">
        <v>525</v>
      </c>
      <c r="AD46" s="33" t="s">
        <v>526</v>
      </c>
      <c r="AE46" s="33" t="s">
        <v>527</v>
      </c>
      <c r="AF46" s="33"/>
      <c r="AG46" s="33"/>
      <c r="AH46" s="33"/>
    </row>
    <row r="47" ht="19.5" customHeight="1">
      <c r="A47" s="33"/>
      <c r="B47" s="33"/>
      <c r="C47" s="33"/>
      <c r="D47" s="33"/>
      <c r="E47" s="33"/>
      <c r="F47" s="309" t="s">
        <v>528</v>
      </c>
      <c r="M47" s="33"/>
      <c r="N47" s="310" t="s">
        <v>529</v>
      </c>
      <c r="O47" s="263"/>
      <c r="P47" s="263"/>
      <c r="Q47" s="263"/>
      <c r="R47" s="263"/>
      <c r="S47" s="33"/>
      <c r="T47" s="305" t="s">
        <v>522</v>
      </c>
      <c r="U47" s="304" t="s">
        <v>517</v>
      </c>
      <c r="V47" s="304" t="s">
        <v>518</v>
      </c>
      <c r="W47" s="304" t="s">
        <v>530</v>
      </c>
      <c r="X47" s="304"/>
      <c r="Y47" s="33"/>
      <c r="Z47" s="33" t="s">
        <v>531</v>
      </c>
      <c r="AA47" s="33" t="s">
        <v>532</v>
      </c>
      <c r="AB47" s="33" t="s">
        <v>533</v>
      </c>
      <c r="AC47" s="33" t="s">
        <v>534</v>
      </c>
      <c r="AD47" s="33" t="s">
        <v>535</v>
      </c>
      <c r="AE47" s="33" t="s">
        <v>536</v>
      </c>
      <c r="AF47" s="33"/>
      <c r="AG47" s="33"/>
      <c r="AH47" s="33"/>
    </row>
    <row r="48" ht="19.5" customHeight="1">
      <c r="A48" s="33"/>
      <c r="B48" s="33"/>
      <c r="C48" s="33"/>
      <c r="D48" s="33"/>
      <c r="E48" s="33"/>
      <c r="M48" s="38"/>
      <c r="N48" s="311" t="s">
        <v>531</v>
      </c>
      <c r="R48" s="312"/>
      <c r="S48" s="33"/>
      <c r="T48" s="305" t="s">
        <v>531</v>
      </c>
      <c r="U48" s="304" t="s">
        <v>517</v>
      </c>
      <c r="V48" s="304" t="s">
        <v>518</v>
      </c>
      <c r="W48" s="304" t="s">
        <v>537</v>
      </c>
      <c r="X48" s="304"/>
      <c r="Y48" s="33"/>
      <c r="Z48" s="33" t="s">
        <v>538</v>
      </c>
      <c r="AA48" s="33" t="s">
        <v>539</v>
      </c>
      <c r="AB48" s="33" t="s">
        <v>540</v>
      </c>
      <c r="AC48" s="33" t="s">
        <v>541</v>
      </c>
      <c r="AD48" s="33" t="s">
        <v>535</v>
      </c>
      <c r="AE48" s="33" t="s">
        <v>542</v>
      </c>
      <c r="AF48" s="33"/>
      <c r="AG48" s="33"/>
      <c r="AH48" s="33"/>
    </row>
    <row r="49">
      <c r="A49" s="33"/>
      <c r="B49" s="33"/>
      <c r="C49" s="33"/>
      <c r="D49" s="33"/>
      <c r="E49" s="33"/>
      <c r="M49" s="33"/>
      <c r="N49" s="296" t="str">
        <f>VLOOKUP(N48,$T$44:$X300,4,FALSE)</f>
        <v>Training in a warm environment, within reason, decreases blood lactate and increases skeletal muscle force. It is also likely to lead to faster warmups and more ready joints and muscles.</v>
      </c>
      <c r="S49" s="33"/>
      <c r="T49" s="305" t="s">
        <v>538</v>
      </c>
      <c r="U49" s="304" t="s">
        <v>517</v>
      </c>
      <c r="V49" s="304" t="s">
        <v>518</v>
      </c>
      <c r="W49" s="304" t="s">
        <v>543</v>
      </c>
      <c r="X49" s="304"/>
      <c r="Y49" s="33"/>
      <c r="Z49" s="33" t="s">
        <v>544</v>
      </c>
      <c r="AA49" s="33" t="s">
        <v>545</v>
      </c>
      <c r="AB49" s="33" t="s">
        <v>546</v>
      </c>
      <c r="AC49" s="33" t="s">
        <v>547</v>
      </c>
      <c r="AD49" s="33" t="s">
        <v>535</v>
      </c>
      <c r="AE49" s="33" t="s">
        <v>548</v>
      </c>
      <c r="AF49" s="33"/>
      <c r="AG49" s="33"/>
      <c r="AH49" s="33"/>
    </row>
    <row r="50">
      <c r="A50" s="33"/>
      <c r="B50" s="33"/>
      <c r="C50" s="33"/>
      <c r="D50" s="33"/>
      <c r="E50" s="33"/>
      <c r="M50" s="33"/>
      <c r="S50" s="33"/>
      <c r="T50" s="305" t="s">
        <v>544</v>
      </c>
      <c r="U50" s="304" t="s">
        <v>517</v>
      </c>
      <c r="V50" s="304" t="s">
        <v>518</v>
      </c>
      <c r="W50" s="304" t="s">
        <v>549</v>
      </c>
      <c r="X50" s="304"/>
      <c r="Y50" s="33"/>
      <c r="Z50" s="33" t="s">
        <v>516</v>
      </c>
      <c r="AA50" s="33"/>
      <c r="AB50" s="33" t="s">
        <v>550</v>
      </c>
      <c r="AC50" s="33" t="s">
        <v>551</v>
      </c>
      <c r="AD50" s="33" t="s">
        <v>535</v>
      </c>
      <c r="AE50" s="33" t="s">
        <v>552</v>
      </c>
      <c r="AF50" s="33"/>
      <c r="AG50" s="33"/>
      <c r="AH50" s="33"/>
    </row>
    <row r="51">
      <c r="A51" s="33"/>
      <c r="B51" s="33"/>
      <c r="C51" s="33"/>
      <c r="D51" s="33"/>
      <c r="E51" s="33"/>
      <c r="F51" s="38"/>
      <c r="G51" s="33"/>
      <c r="H51" s="33"/>
      <c r="I51" s="33"/>
      <c r="J51" s="38"/>
      <c r="K51" s="33"/>
      <c r="L51" s="33"/>
      <c r="M51" s="33"/>
      <c r="N51" s="313"/>
      <c r="O51" s="263"/>
      <c r="P51" s="263"/>
      <c r="Q51" s="263"/>
      <c r="R51" s="263"/>
      <c r="S51" s="33"/>
      <c r="T51" s="305" t="s">
        <v>516</v>
      </c>
      <c r="U51" s="304" t="s">
        <v>553</v>
      </c>
      <c r="V51" s="304" t="s">
        <v>554</v>
      </c>
      <c r="W51" s="304" t="s">
        <v>502</v>
      </c>
      <c r="X51" s="304" t="s">
        <v>503</v>
      </c>
      <c r="Y51" s="33"/>
      <c r="Z51" s="33"/>
      <c r="AA51" s="33"/>
      <c r="AB51" s="33" t="s">
        <v>516</v>
      </c>
      <c r="AC51" s="33" t="s">
        <v>555</v>
      </c>
      <c r="AD51" s="33" t="s">
        <v>556</v>
      </c>
      <c r="AE51" s="33" t="s">
        <v>557</v>
      </c>
      <c r="AF51" s="33"/>
      <c r="AG51" s="33"/>
      <c r="AH51" s="33"/>
    </row>
    <row r="52">
      <c r="A52" s="33"/>
      <c r="B52" s="33"/>
      <c r="C52" s="33"/>
      <c r="D52" s="33"/>
      <c r="E52" s="33"/>
      <c r="F52" s="6" t="s">
        <v>558</v>
      </c>
      <c r="G52" s="290"/>
      <c r="H52" s="290"/>
      <c r="I52" s="290"/>
      <c r="J52" s="290"/>
      <c r="K52" s="290"/>
      <c r="L52" s="290"/>
      <c r="M52" s="306">
        <v>2.0</v>
      </c>
      <c r="N52" s="308" t="s">
        <v>559</v>
      </c>
      <c r="O52" s="263"/>
      <c r="P52" s="263"/>
      <c r="Q52" s="263"/>
      <c r="R52" s="263"/>
      <c r="S52" s="33"/>
      <c r="T52" s="305" t="s">
        <v>526</v>
      </c>
      <c r="U52" s="304" t="s">
        <v>553</v>
      </c>
      <c r="V52" s="304" t="s">
        <v>560</v>
      </c>
      <c r="W52" s="304" t="s">
        <v>502</v>
      </c>
      <c r="X52" s="314" t="s">
        <v>561</v>
      </c>
      <c r="Y52" s="33"/>
      <c r="Z52" s="33"/>
      <c r="AA52" s="33"/>
      <c r="AB52" s="33"/>
      <c r="AC52" s="33" t="s">
        <v>562</v>
      </c>
      <c r="AD52" s="33" t="s">
        <v>563</v>
      </c>
      <c r="AE52" s="33" t="s">
        <v>564</v>
      </c>
      <c r="AF52" s="33"/>
      <c r="AG52" s="33"/>
      <c r="AH52" s="33"/>
    </row>
    <row r="53">
      <c r="A53" s="33"/>
      <c r="B53" s="33"/>
      <c r="C53" s="33"/>
      <c r="D53" s="33"/>
      <c r="E53" s="33"/>
      <c r="F53" s="290"/>
      <c r="G53" s="290"/>
      <c r="H53" s="290"/>
      <c r="I53" s="290"/>
      <c r="J53" s="290"/>
      <c r="K53" s="290"/>
      <c r="L53" s="290"/>
      <c r="M53" s="33"/>
      <c r="N53" s="310" t="s">
        <v>565</v>
      </c>
      <c r="O53" s="263"/>
      <c r="P53" s="263"/>
      <c r="Q53" s="263"/>
      <c r="R53" s="263"/>
      <c r="S53" s="33"/>
      <c r="T53" s="305" t="s">
        <v>535</v>
      </c>
      <c r="U53" s="304" t="s">
        <v>553</v>
      </c>
      <c r="V53" s="304" t="s">
        <v>554</v>
      </c>
      <c r="W53" s="304" t="s">
        <v>502</v>
      </c>
      <c r="X53" s="304" t="s">
        <v>503</v>
      </c>
      <c r="Y53" s="33"/>
      <c r="Z53" s="39"/>
      <c r="AA53" s="33"/>
      <c r="AB53" s="33"/>
      <c r="AC53" s="33" t="s">
        <v>516</v>
      </c>
      <c r="AD53" s="33"/>
      <c r="AE53" s="33" t="s">
        <v>566</v>
      </c>
      <c r="AF53" s="33"/>
      <c r="AG53" s="33"/>
      <c r="AH53" s="33"/>
    </row>
    <row r="54">
      <c r="A54" s="33"/>
      <c r="B54" s="33"/>
      <c r="C54" s="33"/>
      <c r="D54" s="33"/>
      <c r="E54" s="33"/>
      <c r="F54" s="315" t="s">
        <v>567</v>
      </c>
      <c r="G54" s="315"/>
      <c r="H54" s="315"/>
      <c r="I54" s="315"/>
      <c r="J54" s="315"/>
      <c r="K54" s="315"/>
      <c r="L54" s="315"/>
      <c r="M54" s="33"/>
      <c r="N54" s="311" t="s">
        <v>568</v>
      </c>
      <c r="R54" s="316" t="str">
        <f>HYPERLINK(VLOOKUP(N54,$T$44:$X$116,5,FALSE),"WATCH VIDEO")</f>
        <v>WATCH VIDEO</v>
      </c>
      <c r="S54" s="33"/>
      <c r="T54" s="305" t="s">
        <v>535</v>
      </c>
      <c r="U54" s="304" t="s">
        <v>553</v>
      </c>
      <c r="V54" s="304" t="s">
        <v>554</v>
      </c>
      <c r="W54" s="304" t="s">
        <v>502</v>
      </c>
      <c r="X54" s="304" t="s">
        <v>503</v>
      </c>
      <c r="Y54" s="33"/>
      <c r="Z54" s="39"/>
      <c r="AA54" s="33"/>
      <c r="AB54" s="33"/>
      <c r="AC54" s="33"/>
      <c r="AD54" s="33"/>
      <c r="AE54" s="33" t="s">
        <v>569</v>
      </c>
      <c r="AF54" s="33"/>
      <c r="AG54" s="33"/>
      <c r="AH54" s="33"/>
    </row>
    <row r="55">
      <c r="A55" s="33"/>
      <c r="B55" s="33"/>
      <c r="C55" s="33"/>
      <c r="D55" s="33"/>
      <c r="E55" s="33"/>
      <c r="F55" s="317" t="s">
        <v>570</v>
      </c>
      <c r="M55" s="33"/>
      <c r="N55" s="296" t="str">
        <f>VLOOKUP(N54,$T$44:$X300,4,FALSE)</f>
        <v>Perform the following with an empty bar: 10x BB Row, 10x RDL, 10x Hang Clean, 10x OHP, 10x Good Morning, 10x Back Squat/Front Squat. May repeat for 1-2 cycles. Some variation of this is perfectly acceptable.</v>
      </c>
      <c r="S55" s="33"/>
      <c r="T55" s="305" t="s">
        <v>535</v>
      </c>
      <c r="U55" s="304" t="s">
        <v>553</v>
      </c>
      <c r="V55" s="304" t="s">
        <v>554</v>
      </c>
      <c r="W55" s="304" t="s">
        <v>502</v>
      </c>
      <c r="X55" s="304" t="s">
        <v>503</v>
      </c>
      <c r="Y55" s="33"/>
      <c r="Z55" s="33"/>
      <c r="AA55" s="33"/>
      <c r="AB55" s="33"/>
      <c r="AC55" s="33"/>
      <c r="AD55" s="33"/>
      <c r="AE55" s="33" t="s">
        <v>571</v>
      </c>
      <c r="AF55" s="33"/>
      <c r="AG55" s="33"/>
      <c r="AH55" s="33"/>
    </row>
    <row r="56">
      <c r="A56" s="33"/>
      <c r="B56" s="33"/>
      <c r="C56" s="33"/>
      <c r="D56" s="33"/>
      <c r="E56" s="33"/>
      <c r="F56" s="318" t="s">
        <v>572</v>
      </c>
      <c r="G56" s="315"/>
      <c r="H56" s="315"/>
      <c r="I56" s="315"/>
      <c r="J56" s="315"/>
      <c r="K56" s="315"/>
      <c r="L56" s="315"/>
      <c r="M56" s="33"/>
      <c r="S56" s="33"/>
      <c r="T56" s="305" t="s">
        <v>535</v>
      </c>
      <c r="U56" s="304" t="s">
        <v>553</v>
      </c>
      <c r="V56" s="304" t="s">
        <v>554</v>
      </c>
      <c r="W56" s="304" t="s">
        <v>502</v>
      </c>
      <c r="X56" s="304" t="s">
        <v>503</v>
      </c>
      <c r="Y56" s="33"/>
      <c r="Z56" s="33"/>
      <c r="AA56" s="33"/>
      <c r="AB56" s="33"/>
      <c r="AC56" s="33"/>
      <c r="AD56" s="33"/>
      <c r="AE56" s="33"/>
      <c r="AF56" s="33"/>
      <c r="AG56" s="33"/>
      <c r="AH56" s="33"/>
    </row>
    <row r="57">
      <c r="A57" s="33"/>
      <c r="B57" s="33"/>
      <c r="C57" s="33"/>
      <c r="D57" s="33"/>
      <c r="E57" s="33"/>
      <c r="F57" s="318" t="s">
        <v>573</v>
      </c>
      <c r="G57" s="315"/>
      <c r="H57" s="315"/>
      <c r="I57" s="315"/>
      <c r="J57" s="315"/>
      <c r="K57" s="315"/>
      <c r="L57" s="315"/>
      <c r="M57" s="33"/>
      <c r="N57" s="313"/>
      <c r="O57" s="263"/>
      <c r="P57" s="263"/>
      <c r="Q57" s="263"/>
      <c r="R57" s="263"/>
      <c r="S57" s="33"/>
      <c r="T57" s="305" t="s">
        <v>556</v>
      </c>
      <c r="U57" s="304" t="s">
        <v>553</v>
      </c>
      <c r="V57" s="304" t="s">
        <v>554</v>
      </c>
      <c r="W57" s="304" t="s">
        <v>574</v>
      </c>
      <c r="X57" s="314" t="s">
        <v>575</v>
      </c>
      <c r="Y57" s="33"/>
      <c r="Z57" s="33"/>
      <c r="AA57" s="33"/>
      <c r="AB57" s="33"/>
      <c r="AC57" s="33"/>
      <c r="AD57" s="33"/>
      <c r="AE57" s="33"/>
      <c r="AF57" s="33"/>
      <c r="AG57" s="33"/>
      <c r="AH57" s="33"/>
    </row>
    <row r="58">
      <c r="A58" s="33"/>
      <c r="B58" s="33"/>
      <c r="C58" s="33"/>
      <c r="D58" s="33"/>
      <c r="E58" s="33"/>
      <c r="F58" s="315"/>
      <c r="G58" s="315"/>
      <c r="H58" s="315"/>
      <c r="I58" s="315"/>
      <c r="J58" s="315"/>
      <c r="K58" s="315"/>
      <c r="L58" s="315"/>
      <c r="M58" s="306">
        <v>3.0</v>
      </c>
      <c r="N58" s="308" t="s">
        <v>576</v>
      </c>
      <c r="O58" s="263"/>
      <c r="P58" s="263"/>
      <c r="Q58" s="263"/>
      <c r="R58" s="263"/>
      <c r="S58" s="33"/>
      <c r="T58" s="305" t="s">
        <v>563</v>
      </c>
      <c r="U58" s="304" t="s">
        <v>553</v>
      </c>
      <c r="V58" s="304" t="s">
        <v>577</v>
      </c>
      <c r="W58" s="304" t="s">
        <v>578</v>
      </c>
      <c r="X58" s="314" t="s">
        <v>579</v>
      </c>
      <c r="Y58" s="33"/>
      <c r="Z58" s="33"/>
      <c r="AA58" s="33"/>
      <c r="AB58" s="33"/>
      <c r="AC58" s="33"/>
      <c r="AD58" s="33"/>
      <c r="AE58" s="33"/>
      <c r="AF58" s="33"/>
      <c r="AG58" s="33"/>
      <c r="AH58" s="33"/>
    </row>
    <row r="59">
      <c r="A59" s="33"/>
      <c r="B59" s="33"/>
      <c r="C59" s="33"/>
      <c r="D59" s="33"/>
      <c r="E59" s="33"/>
      <c r="F59" s="315" t="s">
        <v>580</v>
      </c>
      <c r="G59" s="315"/>
      <c r="H59" s="315"/>
      <c r="I59" s="315"/>
      <c r="J59" s="315"/>
      <c r="K59" s="315"/>
      <c r="L59" s="315"/>
      <c r="M59" s="33"/>
      <c r="N59" s="310" t="s">
        <v>529</v>
      </c>
      <c r="O59" s="263"/>
      <c r="P59" s="263"/>
      <c r="Q59" s="263"/>
      <c r="R59" s="263"/>
      <c r="S59" s="33"/>
      <c r="T59" s="319" t="s">
        <v>516</v>
      </c>
      <c r="U59" s="319" t="s">
        <v>581</v>
      </c>
      <c r="V59" s="319" t="s">
        <v>582</v>
      </c>
      <c r="W59" s="319" t="s">
        <v>502</v>
      </c>
      <c r="X59" s="319" t="s">
        <v>503</v>
      </c>
      <c r="Y59" s="33"/>
      <c r="Z59" s="33"/>
      <c r="AA59" s="33"/>
      <c r="AB59" s="33"/>
      <c r="AC59" s="33"/>
      <c r="AD59" s="33"/>
      <c r="AE59" s="33"/>
      <c r="AF59" s="33"/>
      <c r="AG59" s="33"/>
      <c r="AH59" s="33"/>
    </row>
    <row r="60">
      <c r="A60" s="33"/>
      <c r="B60" s="33"/>
      <c r="C60" s="33"/>
      <c r="D60" s="33"/>
      <c r="E60" s="33"/>
      <c r="F60" s="320" t="s">
        <v>583</v>
      </c>
      <c r="M60" s="33"/>
      <c r="N60" s="321" t="s">
        <v>533</v>
      </c>
      <c r="R60" s="322" t="str">
        <f>HYPERLINK(VLOOKUP(N60,$T$44:$X$116,5,FALSE),"WATCH VIDEO")</f>
        <v>WATCH VIDEO</v>
      </c>
      <c r="S60" s="33"/>
      <c r="T60" s="305" t="s">
        <v>527</v>
      </c>
      <c r="U60" s="304" t="s">
        <v>581</v>
      </c>
      <c r="V60" s="304" t="s">
        <v>584</v>
      </c>
      <c r="W60" s="304" t="s">
        <v>585</v>
      </c>
      <c r="X60" s="314" t="s">
        <v>586</v>
      </c>
      <c r="Y60" s="33"/>
      <c r="Z60" s="33"/>
      <c r="AA60" s="33"/>
      <c r="AB60" s="33"/>
      <c r="AC60" s="33"/>
      <c r="AD60" s="33"/>
      <c r="AE60" s="33"/>
      <c r="AF60" s="33"/>
      <c r="AG60" s="33"/>
      <c r="AH60" s="33"/>
    </row>
    <row r="61">
      <c r="A61" s="33"/>
      <c r="B61" s="33"/>
      <c r="C61" s="33"/>
      <c r="D61" s="33"/>
      <c r="E61" s="33"/>
      <c r="M61" s="33"/>
      <c r="N61" s="296" t="str">
        <f>VLOOKUP(N60,$T$44:$X300,4,FALSE)</f>
        <v>Maintain a stacked spine with minimal flexion/extension and swing the leg front/back, aiming to keep the leg in a single plane. Avoid letting the low back arch. 5-10 swings. Then face a wall and swing the leg side to side, opening the hips in a dynamic fashion. 5-10 swings per side.</v>
      </c>
      <c r="S61" s="33"/>
      <c r="T61" s="305" t="s">
        <v>536</v>
      </c>
      <c r="U61" s="304" t="s">
        <v>581</v>
      </c>
      <c r="V61" s="304" t="s">
        <v>587</v>
      </c>
      <c r="W61" s="304" t="s">
        <v>588</v>
      </c>
      <c r="X61" s="314" t="s">
        <v>589</v>
      </c>
      <c r="Y61" s="33"/>
      <c r="Z61" s="33"/>
      <c r="AA61" s="33"/>
      <c r="AB61" s="33"/>
      <c r="AC61" s="33"/>
      <c r="AD61" s="33"/>
      <c r="AE61" s="33"/>
      <c r="AF61" s="33"/>
      <c r="AG61" s="33"/>
      <c r="AH61" s="33"/>
    </row>
    <row r="62">
      <c r="A62" s="33"/>
      <c r="B62" s="33"/>
      <c r="C62" s="33"/>
      <c r="D62" s="33"/>
      <c r="E62" s="33"/>
      <c r="M62" s="33"/>
      <c r="S62" s="33"/>
      <c r="T62" s="305" t="s">
        <v>542</v>
      </c>
      <c r="U62" s="304" t="s">
        <v>581</v>
      </c>
      <c r="V62" s="304" t="s">
        <v>587</v>
      </c>
      <c r="W62" s="304" t="s">
        <v>590</v>
      </c>
      <c r="X62" s="314" t="s">
        <v>591</v>
      </c>
      <c r="Y62" s="33"/>
      <c r="Z62" s="39"/>
      <c r="AA62" s="33"/>
      <c r="AB62" s="33"/>
      <c r="AC62" s="33"/>
      <c r="AD62" s="33"/>
      <c r="AE62" s="33"/>
      <c r="AF62" s="33"/>
      <c r="AG62" s="33"/>
      <c r="AH62" s="33"/>
    </row>
    <row r="63">
      <c r="A63" s="33"/>
      <c r="B63" s="33"/>
      <c r="C63" s="33"/>
      <c r="D63" s="33"/>
      <c r="E63" s="33"/>
      <c r="F63" s="320"/>
      <c r="G63" s="320"/>
      <c r="H63" s="320"/>
      <c r="I63" s="320"/>
      <c r="J63" s="320"/>
      <c r="K63" s="320"/>
      <c r="L63" s="320"/>
      <c r="M63" s="33"/>
      <c r="N63" s="323"/>
      <c r="O63" s="263"/>
      <c r="P63" s="263"/>
      <c r="Q63" s="263"/>
      <c r="R63" s="263"/>
      <c r="S63" s="33"/>
      <c r="T63" s="305" t="s">
        <v>548</v>
      </c>
      <c r="U63" s="304" t="s">
        <v>581</v>
      </c>
      <c r="V63" s="304" t="s">
        <v>582</v>
      </c>
      <c r="W63" s="304" t="s">
        <v>592</v>
      </c>
      <c r="X63" s="314" t="s">
        <v>593</v>
      </c>
      <c r="Y63" s="33"/>
      <c r="Z63" s="39"/>
      <c r="AA63" s="33"/>
      <c r="AB63" s="33"/>
      <c r="AC63" s="33"/>
      <c r="AD63" s="33"/>
      <c r="AE63" s="33"/>
      <c r="AF63" s="33"/>
      <c r="AG63" s="33"/>
      <c r="AH63" s="33"/>
    </row>
    <row r="64">
      <c r="A64" s="33"/>
      <c r="B64" s="33"/>
      <c r="C64" s="33"/>
      <c r="D64" s="33"/>
      <c r="E64" s="33"/>
      <c r="F64" s="318" t="s">
        <v>594</v>
      </c>
      <c r="G64" s="320"/>
      <c r="H64" s="320"/>
      <c r="I64" s="320"/>
      <c r="J64" s="320"/>
      <c r="K64" s="320"/>
      <c r="L64" s="320"/>
      <c r="M64" s="33"/>
      <c r="N64" s="321" t="s">
        <v>595</v>
      </c>
      <c r="R64" s="322" t="str">
        <f>HYPERLINK(VLOOKUP(N64,$T$44:$X$116,5,FALSE),"WATCH VIDEO")</f>
        <v>WATCH VIDEO</v>
      </c>
      <c r="S64" s="33"/>
      <c r="T64" s="38" t="s">
        <v>552</v>
      </c>
      <c r="U64" s="319" t="s">
        <v>581</v>
      </c>
      <c r="V64" s="319" t="s">
        <v>596</v>
      </c>
      <c r="W64" s="319" t="s">
        <v>597</v>
      </c>
      <c r="X64" s="324" t="s">
        <v>598</v>
      </c>
      <c r="Y64" s="33"/>
      <c r="Z64" s="33"/>
      <c r="AA64" s="33"/>
      <c r="AB64" s="33"/>
      <c r="AC64" s="33"/>
      <c r="AD64" s="33"/>
      <c r="AE64" s="33"/>
      <c r="AF64" s="33"/>
      <c r="AG64" s="33"/>
      <c r="AH64" s="33"/>
    </row>
    <row r="65">
      <c r="A65" s="33"/>
      <c r="B65" s="33"/>
      <c r="C65" s="33"/>
      <c r="D65" s="33"/>
      <c r="E65" s="33"/>
      <c r="F65" s="325" t="s">
        <v>599</v>
      </c>
      <c r="G65" s="320"/>
      <c r="H65" s="320"/>
      <c r="I65" s="320"/>
      <c r="J65" s="320"/>
      <c r="K65" s="320"/>
      <c r="L65" s="320"/>
      <c r="M65" s="33"/>
      <c r="N65" s="296" t="str">
        <f>VLOOKUP(N64,$T$44:$X300,4,FALSE)</f>
        <v>5-10x low height depth drop. Stop all motion within one second of landing. 5-10x box jump low height. Progressively land box jumps in lower and lower squat.</v>
      </c>
      <c r="S65" s="33"/>
      <c r="T65" s="38" t="s">
        <v>557</v>
      </c>
      <c r="U65" s="319" t="s">
        <v>581</v>
      </c>
      <c r="V65" s="319" t="s">
        <v>600</v>
      </c>
      <c r="W65" s="319" t="s">
        <v>601</v>
      </c>
      <c r="X65" s="324" t="s">
        <v>602</v>
      </c>
      <c r="Y65" s="33"/>
      <c r="Z65" s="33"/>
      <c r="AA65" s="33"/>
      <c r="AB65" s="33"/>
      <c r="AC65" s="33"/>
      <c r="AD65" s="33"/>
      <c r="AE65" s="33"/>
      <c r="AF65" s="33"/>
      <c r="AG65" s="33"/>
      <c r="AH65" s="33"/>
    </row>
    <row r="66">
      <c r="A66" s="33"/>
      <c r="B66" s="33"/>
      <c r="C66" s="33"/>
      <c r="D66" s="33"/>
      <c r="E66" s="33"/>
      <c r="F66" s="325" t="s">
        <v>603</v>
      </c>
      <c r="G66" s="107"/>
      <c r="H66" s="107"/>
      <c r="I66" s="107"/>
      <c r="J66" s="107"/>
      <c r="K66" s="107"/>
      <c r="L66" s="107"/>
      <c r="M66" s="33"/>
      <c r="S66" s="33"/>
      <c r="T66" s="38" t="s">
        <v>564</v>
      </c>
      <c r="U66" s="319" t="s">
        <v>581</v>
      </c>
      <c r="V66" s="319" t="s">
        <v>582</v>
      </c>
      <c r="W66" s="319" t="s">
        <v>604</v>
      </c>
      <c r="X66" s="324" t="s">
        <v>605</v>
      </c>
      <c r="Y66" s="33"/>
      <c r="Z66" s="33"/>
      <c r="AA66" s="33"/>
      <c r="AB66" s="33"/>
      <c r="AC66" s="33"/>
      <c r="AD66" s="33"/>
      <c r="AE66" s="33"/>
      <c r="AF66" s="33"/>
      <c r="AG66" s="33"/>
      <c r="AH66" s="33"/>
    </row>
    <row r="67">
      <c r="A67" s="33"/>
      <c r="B67" s="33"/>
      <c r="C67" s="33"/>
      <c r="D67" s="33"/>
      <c r="E67" s="33"/>
      <c r="F67" s="325" t="s">
        <v>606</v>
      </c>
      <c r="G67" s="107"/>
      <c r="H67" s="107"/>
      <c r="I67" s="107"/>
      <c r="J67" s="107"/>
      <c r="K67" s="107"/>
      <c r="L67" s="107"/>
      <c r="M67" s="33"/>
      <c r="N67" s="313"/>
      <c r="O67" s="263"/>
      <c r="P67" s="263"/>
      <c r="Q67" s="263"/>
      <c r="R67" s="263"/>
      <c r="S67" s="33"/>
      <c r="T67" s="305" t="s">
        <v>566</v>
      </c>
      <c r="U67" s="304" t="s">
        <v>581</v>
      </c>
      <c r="V67" s="304" t="s">
        <v>607</v>
      </c>
      <c r="W67" s="304" t="s">
        <v>608</v>
      </c>
      <c r="X67" s="314" t="s">
        <v>609</v>
      </c>
      <c r="Y67" s="33"/>
      <c r="Z67" s="33"/>
      <c r="AA67" s="33"/>
      <c r="AB67" s="33"/>
      <c r="AC67" s="33"/>
      <c r="AD67" s="33"/>
      <c r="AE67" s="33"/>
      <c r="AF67" s="33"/>
      <c r="AG67" s="33"/>
      <c r="AH67" s="33"/>
    </row>
    <row r="68">
      <c r="A68" s="33"/>
      <c r="B68" s="33"/>
      <c r="C68" s="33"/>
      <c r="D68" s="33"/>
      <c r="E68" s="33"/>
      <c r="F68" s="318" t="s">
        <v>610</v>
      </c>
      <c r="G68" s="107"/>
      <c r="H68" s="107"/>
      <c r="I68" s="107"/>
      <c r="J68" s="107"/>
      <c r="K68" s="107"/>
      <c r="L68" s="107"/>
      <c r="M68" s="33"/>
      <c r="N68" s="321" t="s">
        <v>540</v>
      </c>
      <c r="R68" s="322" t="str">
        <f>HYPERLINK(VLOOKUP(N68,$T$44:$X$116,5,FALSE),"WATCH VIDEO")</f>
        <v>WATCH VIDEO</v>
      </c>
      <c r="S68" s="33"/>
      <c r="T68" s="319" t="s">
        <v>569</v>
      </c>
      <c r="U68" s="319" t="s">
        <v>581</v>
      </c>
      <c r="V68" s="319" t="s">
        <v>611</v>
      </c>
      <c r="W68" s="319" t="s">
        <v>612</v>
      </c>
      <c r="X68" s="319"/>
      <c r="Y68" s="33"/>
      <c r="Z68" s="33"/>
      <c r="AA68" s="33"/>
      <c r="AB68" s="33"/>
      <c r="AC68" s="33"/>
      <c r="AD68" s="33"/>
      <c r="AE68" s="33"/>
      <c r="AF68" s="33"/>
      <c r="AG68" s="33"/>
      <c r="AH68" s="33"/>
    </row>
    <row r="69">
      <c r="A69" s="33"/>
      <c r="B69" s="33"/>
      <c r="C69" s="33"/>
      <c r="D69" s="33"/>
      <c r="E69" s="33"/>
      <c r="F69" s="326"/>
      <c r="G69" s="107"/>
      <c r="H69" s="107"/>
      <c r="I69" s="107"/>
      <c r="J69" s="107"/>
      <c r="K69" s="107"/>
      <c r="L69" s="107"/>
      <c r="M69" s="33"/>
      <c r="N69" s="296" t="str">
        <f>VLOOKUP(N68,$T$44:$X300,4,FALSE)</f>
        <v>From the quadruped position, retract the scapula, shrug and roll the shoulders in a circular motion 5-15 times. Then, bridge the thoracic spine and press the hips towards the shoulders. Then, arch the back and reach the shin toawrd the ceiling. Repeat 5x. Next, widen the knee support on the floor, tuck the pelvis and sit back into the hips, taking deep full breaths into your back and expanding your midsection. Repeat 3-5x. Returning to the quadruped position, drive the heel outward and upwards, activating the glutes. Perform 5-10x per side. Flip over on your back and lie down on the ground. Draw the knees upward and drive your heels down into the floor and press the hips up toward the ceiling. Contract the glutes. This may be performed single or double-leg, with your back on a bench as well. Repeat 5-10x. Finally, lie down on your back, keep the ankles together and the hands together and pointed toward the ceiling. Maintain a slightly elevated position with the legs and rock forward and backward, engaging the abs. The movement can be made easier or harder by changing the bend of the knees and location of the hands.</v>
      </c>
      <c r="S69" s="33"/>
      <c r="T69" s="305" t="s">
        <v>571</v>
      </c>
      <c r="U69" s="304" t="s">
        <v>581</v>
      </c>
      <c r="V69" s="304" t="s">
        <v>584</v>
      </c>
      <c r="W69" s="304" t="s">
        <v>613</v>
      </c>
      <c r="X69" s="314" t="s">
        <v>614</v>
      </c>
      <c r="Y69" s="33"/>
      <c r="Z69" s="33"/>
      <c r="AA69" s="33"/>
      <c r="AB69" s="33"/>
      <c r="AC69" s="33"/>
      <c r="AD69" s="33"/>
      <c r="AE69" s="33"/>
      <c r="AF69" s="33"/>
      <c r="AG69" s="33"/>
      <c r="AH69" s="33"/>
    </row>
    <row r="70">
      <c r="A70" s="33"/>
      <c r="B70" s="33"/>
      <c r="C70" s="190"/>
      <c r="D70" s="327"/>
      <c r="E70" s="190"/>
      <c r="F70" s="328"/>
      <c r="G70" s="329"/>
      <c r="H70" s="329"/>
      <c r="I70" s="329"/>
      <c r="J70" s="329"/>
      <c r="K70" s="330"/>
      <c r="L70" s="107"/>
      <c r="M70" s="33"/>
      <c r="S70" s="33"/>
      <c r="T70" s="305" t="s">
        <v>516</v>
      </c>
      <c r="U70" s="304" t="s">
        <v>576</v>
      </c>
      <c r="V70" s="304" t="s">
        <v>615</v>
      </c>
      <c r="W70" s="304" t="s">
        <v>502</v>
      </c>
      <c r="X70" s="304" t="s">
        <v>503</v>
      </c>
      <c r="Y70" s="33"/>
      <c r="Z70" s="33"/>
      <c r="AA70" s="33"/>
      <c r="AB70" s="33"/>
      <c r="AC70" s="33"/>
      <c r="AD70" s="33"/>
      <c r="AE70" s="33"/>
      <c r="AF70" s="33"/>
      <c r="AG70" s="33"/>
      <c r="AH70" s="33"/>
    </row>
    <row r="71">
      <c r="A71" s="33"/>
      <c r="B71" s="33"/>
      <c r="C71" s="190"/>
      <c r="D71" s="331" t="s">
        <v>616</v>
      </c>
      <c r="K71" s="332"/>
      <c r="L71" s="107"/>
      <c r="M71" s="33"/>
      <c r="N71" s="313"/>
      <c r="O71" s="263"/>
      <c r="P71" s="263"/>
      <c r="Q71" s="263"/>
      <c r="R71" s="263"/>
      <c r="S71" s="33"/>
      <c r="T71" s="305" t="s">
        <v>595</v>
      </c>
      <c r="U71" s="304" t="s">
        <v>576</v>
      </c>
      <c r="V71" s="304" t="s">
        <v>615</v>
      </c>
      <c r="W71" s="304" t="s">
        <v>617</v>
      </c>
      <c r="X71" s="314" t="s">
        <v>618</v>
      </c>
      <c r="Y71" s="33"/>
      <c r="Z71" s="39"/>
      <c r="AA71" s="33"/>
      <c r="AB71" s="33"/>
      <c r="AC71" s="33"/>
      <c r="AD71" s="33"/>
      <c r="AE71" s="33"/>
      <c r="AF71" s="33"/>
      <c r="AG71" s="33"/>
      <c r="AH71" s="33"/>
    </row>
    <row r="72">
      <c r="A72" s="33"/>
      <c r="B72" s="33"/>
      <c r="C72" s="190"/>
      <c r="K72" s="332"/>
      <c r="L72" s="107"/>
      <c r="M72" s="306">
        <v>4.0</v>
      </c>
      <c r="N72" s="308" t="s">
        <v>619</v>
      </c>
      <c r="O72" s="263"/>
      <c r="P72" s="263"/>
      <c r="Q72" s="263"/>
      <c r="R72" s="263"/>
      <c r="S72" s="33"/>
      <c r="T72" s="305" t="s">
        <v>524</v>
      </c>
      <c r="U72" s="304" t="s">
        <v>576</v>
      </c>
      <c r="V72" s="304" t="s">
        <v>577</v>
      </c>
      <c r="W72" s="304" t="s">
        <v>620</v>
      </c>
      <c r="X72" s="314" t="s">
        <v>621</v>
      </c>
      <c r="Y72" s="33"/>
      <c r="Z72" s="39"/>
      <c r="AA72" s="33"/>
      <c r="AB72" s="33"/>
      <c r="AC72" s="33"/>
      <c r="AD72" s="33"/>
      <c r="AE72" s="33"/>
      <c r="AF72" s="33"/>
      <c r="AG72" s="33"/>
      <c r="AH72" s="33"/>
    </row>
    <row r="73">
      <c r="A73" s="33"/>
      <c r="B73" s="33"/>
      <c r="C73" s="190"/>
      <c r="K73" s="332"/>
      <c r="L73" s="107"/>
      <c r="M73" s="306"/>
      <c r="N73" s="310" t="s">
        <v>622</v>
      </c>
      <c r="O73" s="263"/>
      <c r="P73" s="263"/>
      <c r="Q73" s="263"/>
      <c r="R73" s="263"/>
      <c r="S73" s="33"/>
      <c r="T73" s="305" t="s">
        <v>533</v>
      </c>
      <c r="U73" s="304" t="s">
        <v>576</v>
      </c>
      <c r="V73" s="304" t="s">
        <v>615</v>
      </c>
      <c r="W73" s="304" t="s">
        <v>623</v>
      </c>
      <c r="X73" s="314" t="s">
        <v>624</v>
      </c>
      <c r="Y73" s="33"/>
      <c r="Z73" s="33"/>
      <c r="AA73" s="33"/>
      <c r="AB73" s="33"/>
      <c r="AC73" s="33"/>
      <c r="AD73" s="33"/>
      <c r="AE73" s="33"/>
      <c r="AF73" s="33"/>
      <c r="AG73" s="33"/>
      <c r="AH73" s="33"/>
    </row>
    <row r="74">
      <c r="A74" s="33"/>
      <c r="B74" s="33"/>
      <c r="C74" s="190"/>
      <c r="D74" s="190"/>
      <c r="E74" s="190"/>
      <c r="F74" s="333"/>
      <c r="G74" s="334"/>
      <c r="H74" s="334"/>
      <c r="I74" s="334"/>
      <c r="J74" s="334"/>
      <c r="K74" s="335"/>
      <c r="L74" s="107"/>
      <c r="M74" s="33"/>
      <c r="N74" s="321" t="s">
        <v>551</v>
      </c>
      <c r="R74" s="322" t="str">
        <f>HYPERLINK(VLOOKUP(N74,$T$44:$X$116,5,FALSE),"WATCH VIDEO")</f>
        <v>WATCH VIDEO</v>
      </c>
      <c r="S74" s="33"/>
      <c r="T74" s="305" t="s">
        <v>540</v>
      </c>
      <c r="U74" s="304" t="s">
        <v>576</v>
      </c>
      <c r="V74" s="304" t="s">
        <v>577</v>
      </c>
      <c r="W74" s="304" t="s">
        <v>625</v>
      </c>
      <c r="X74" s="314" t="s">
        <v>626</v>
      </c>
      <c r="Y74" s="33"/>
      <c r="Z74" s="33"/>
      <c r="AA74" s="33"/>
      <c r="AB74" s="33"/>
      <c r="AC74" s="33"/>
      <c r="AD74" s="33"/>
      <c r="AE74" s="33"/>
      <c r="AF74" s="33"/>
      <c r="AG74" s="33"/>
      <c r="AH74" s="33"/>
    </row>
    <row r="75">
      <c r="A75" s="33"/>
      <c r="B75" s="33"/>
      <c r="C75" s="33"/>
      <c r="D75" s="33"/>
      <c r="E75" s="33"/>
      <c r="F75" s="318"/>
      <c r="G75" s="107"/>
      <c r="H75" s="107"/>
      <c r="I75" s="107"/>
      <c r="J75" s="107"/>
      <c r="K75" s="107"/>
      <c r="L75" s="107"/>
      <c r="M75" s="33"/>
      <c r="N75" s="296" t="str">
        <f>VLOOKUP(N74,$T$44:$X300,4,FALSE)</f>
        <v>Attach a light or medium band around a post, step inside and place the band around the butt. Step back with a fair amount of band tension and squat for 5-15 reps. Follow with 5-15 reps of RDL or sumo deadlift.</v>
      </c>
      <c r="S75" s="33"/>
      <c r="T75" s="305" t="s">
        <v>546</v>
      </c>
      <c r="U75" s="304" t="s">
        <v>576</v>
      </c>
      <c r="V75" s="304" t="s">
        <v>577</v>
      </c>
      <c r="W75" s="304" t="s">
        <v>627</v>
      </c>
      <c r="X75" s="314" t="s">
        <v>628</v>
      </c>
      <c r="Y75" s="33"/>
      <c r="Z75" s="33"/>
      <c r="AA75" s="33"/>
      <c r="AB75" s="33"/>
      <c r="AC75" s="33"/>
      <c r="AD75" s="33"/>
      <c r="AE75" s="33"/>
      <c r="AF75" s="33"/>
      <c r="AG75" s="33"/>
      <c r="AH75" s="33"/>
    </row>
    <row r="76">
      <c r="A76" s="33"/>
      <c r="B76" s="33"/>
      <c r="C76" s="33"/>
      <c r="D76" s="33"/>
      <c r="E76" s="33"/>
      <c r="F76" s="336" t="s">
        <v>629</v>
      </c>
      <c r="M76" s="33"/>
      <c r="S76" s="33"/>
      <c r="T76" s="304" t="s">
        <v>550</v>
      </c>
      <c r="U76" s="304" t="s">
        <v>576</v>
      </c>
      <c r="V76" s="304" t="s">
        <v>615</v>
      </c>
      <c r="W76" s="304" t="s">
        <v>630</v>
      </c>
      <c r="X76" s="314" t="s">
        <v>631</v>
      </c>
      <c r="Y76" s="33"/>
      <c r="Z76" s="33"/>
      <c r="AA76" s="33"/>
      <c r="AB76" s="33"/>
      <c r="AC76" s="33"/>
      <c r="AD76" s="33"/>
      <c r="AE76" s="33"/>
      <c r="AF76" s="33"/>
      <c r="AG76" s="33"/>
      <c r="AH76" s="33"/>
    </row>
    <row r="77">
      <c r="A77" s="33"/>
      <c r="B77" s="33"/>
      <c r="C77" s="33"/>
      <c r="D77" s="33"/>
      <c r="E77" s="33"/>
      <c r="M77" s="33"/>
      <c r="N77" s="313"/>
      <c r="O77" s="263"/>
      <c r="P77" s="263"/>
      <c r="Q77" s="263"/>
      <c r="R77" s="263"/>
      <c r="S77" s="33"/>
      <c r="T77" s="305" t="s">
        <v>516</v>
      </c>
      <c r="U77" s="304" t="s">
        <v>632</v>
      </c>
      <c r="V77" s="304" t="s">
        <v>633</v>
      </c>
      <c r="W77" s="304" t="s">
        <v>502</v>
      </c>
      <c r="X77" s="304" t="s">
        <v>503</v>
      </c>
      <c r="Y77" s="33"/>
      <c r="Z77" s="33"/>
      <c r="AA77" s="33"/>
      <c r="AB77" s="33"/>
      <c r="AC77" s="33"/>
      <c r="AD77" s="33"/>
      <c r="AE77" s="33"/>
      <c r="AF77" s="33"/>
      <c r="AG77" s="33"/>
      <c r="AH77" s="33"/>
    </row>
    <row r="78">
      <c r="A78" s="33"/>
      <c r="B78" s="33"/>
      <c r="C78" s="33"/>
      <c r="D78" s="33"/>
      <c r="E78" s="33"/>
      <c r="M78" s="33"/>
      <c r="N78" s="321" t="s">
        <v>525</v>
      </c>
      <c r="R78" s="322" t="str">
        <f>HYPERLINK(VLOOKUP(N78,$T$44:$X$116,5,FALSE),"WATCH VIDEO")</f>
        <v>WATCH VIDEO</v>
      </c>
      <c r="S78" s="33"/>
      <c r="T78" s="305" t="s">
        <v>634</v>
      </c>
      <c r="U78" s="304" t="s">
        <v>632</v>
      </c>
      <c r="V78" s="304" t="s">
        <v>633</v>
      </c>
      <c r="W78" s="304" t="s">
        <v>635</v>
      </c>
      <c r="X78" s="314" t="s">
        <v>636</v>
      </c>
      <c r="Y78" s="33"/>
      <c r="Z78" s="33"/>
      <c r="AA78" s="33"/>
      <c r="AB78" s="33"/>
      <c r="AC78" s="33"/>
      <c r="AD78" s="33"/>
      <c r="AE78" s="33"/>
      <c r="AF78" s="33"/>
      <c r="AG78" s="33"/>
      <c r="AH78" s="33"/>
    </row>
    <row r="79" ht="24.0" customHeight="1">
      <c r="A79" s="33"/>
      <c r="B79" s="33"/>
      <c r="C79" s="33"/>
      <c r="D79" s="33"/>
      <c r="E79" s="33"/>
      <c r="F79" s="337" t="s">
        <v>637</v>
      </c>
      <c r="H79" s="338">
        <v>0.0</v>
      </c>
      <c r="I79" s="107"/>
      <c r="J79" s="107"/>
      <c r="K79" s="107"/>
      <c r="L79" s="107"/>
      <c r="M79" s="33"/>
      <c r="N79" s="296" t="str">
        <f>VLOOKUP(N78,$T$44:$X300,4,FALSE)</f>
        <v>Use a theraband, voodoo floss, etc and wrap around a post with low to moderate tension, one end in each hand. Perform with as many reps as desired. band Pullapart, band pullover, band front raise, single arm cross body (rear delt), band flye, band overhead triceps extension, band stretches.</v>
      </c>
      <c r="S79" s="33"/>
      <c r="T79" s="305" t="s">
        <v>638</v>
      </c>
      <c r="U79" s="304" t="s">
        <v>632</v>
      </c>
      <c r="V79" s="304" t="s">
        <v>639</v>
      </c>
      <c r="W79" s="304" t="s">
        <v>640</v>
      </c>
      <c r="X79" s="314" t="s">
        <v>641</v>
      </c>
      <c r="Y79" s="33"/>
      <c r="Z79" s="33"/>
      <c r="AA79" s="33"/>
      <c r="AB79" s="33"/>
      <c r="AC79" s="33"/>
      <c r="AD79" s="33"/>
      <c r="AE79" s="33"/>
      <c r="AF79" s="33"/>
      <c r="AG79" s="33"/>
      <c r="AH79" s="33"/>
    </row>
    <row r="80" ht="24.0" customHeight="1">
      <c r="A80" s="33"/>
      <c r="B80" s="33"/>
      <c r="C80" s="33"/>
      <c r="D80" s="33"/>
      <c r="E80" s="339"/>
      <c r="F80" s="340" t="s">
        <v>642</v>
      </c>
      <c r="G80" s="341"/>
      <c r="H80" s="338">
        <v>0.0</v>
      </c>
      <c r="I80" s="107"/>
      <c r="J80" s="107"/>
      <c r="K80" s="107"/>
      <c r="L80" s="107"/>
      <c r="M80" s="33"/>
      <c r="S80" s="33"/>
      <c r="T80" s="305" t="s">
        <v>643</v>
      </c>
      <c r="U80" s="304" t="s">
        <v>632</v>
      </c>
      <c r="V80" s="304" t="s">
        <v>639</v>
      </c>
      <c r="W80" s="304" t="s">
        <v>644</v>
      </c>
      <c r="X80" s="314" t="s">
        <v>621</v>
      </c>
      <c r="Y80" s="33"/>
      <c r="Z80" s="33"/>
      <c r="AA80" s="33"/>
      <c r="AB80" s="33"/>
      <c r="AC80" s="33"/>
      <c r="AD80" s="33"/>
      <c r="AE80" s="33"/>
      <c r="AF80" s="33"/>
      <c r="AG80" s="33"/>
      <c r="AH80" s="33"/>
    </row>
    <row r="81">
      <c r="A81" s="33"/>
      <c r="B81" s="33"/>
      <c r="C81" s="33"/>
      <c r="D81" s="33"/>
      <c r="E81" s="339"/>
      <c r="F81" s="340" t="s">
        <v>645</v>
      </c>
      <c r="G81" s="341"/>
      <c r="H81" s="338">
        <v>0.0</v>
      </c>
      <c r="I81" s="107"/>
      <c r="J81" s="107"/>
      <c r="K81" s="107"/>
      <c r="L81" s="107"/>
      <c r="M81" s="33"/>
      <c r="N81" s="263"/>
      <c r="O81" s="263"/>
      <c r="P81" s="263"/>
      <c r="Q81" s="263"/>
      <c r="R81" s="263"/>
      <c r="S81" s="33"/>
      <c r="T81" s="305" t="s">
        <v>646</v>
      </c>
      <c r="U81" s="304" t="s">
        <v>632</v>
      </c>
      <c r="V81" s="304" t="s">
        <v>647</v>
      </c>
      <c r="W81" s="304" t="s">
        <v>648</v>
      </c>
      <c r="X81" s="314" t="s">
        <v>649</v>
      </c>
      <c r="Y81" s="33"/>
      <c r="Z81" s="33"/>
      <c r="AA81" s="33"/>
      <c r="AB81" s="33"/>
      <c r="AC81" s="33"/>
      <c r="AD81" s="33"/>
      <c r="AE81" s="33"/>
      <c r="AF81" s="33"/>
      <c r="AG81" s="33"/>
      <c r="AH81" s="33"/>
    </row>
    <row r="82">
      <c r="A82" s="33"/>
      <c r="B82" s="33"/>
      <c r="C82" s="33"/>
      <c r="D82" s="33"/>
      <c r="E82" s="339"/>
      <c r="F82" s="340" t="s">
        <v>650</v>
      </c>
      <c r="G82" s="341"/>
      <c r="H82" s="338">
        <v>0.0</v>
      </c>
      <c r="I82" s="107"/>
      <c r="J82" s="107"/>
      <c r="K82" s="107"/>
      <c r="L82" s="107"/>
      <c r="M82" s="33"/>
      <c r="N82" s="321" t="s">
        <v>547</v>
      </c>
      <c r="R82" s="322" t="str">
        <f>HYPERLINK(VLOOKUP(N82,$T$44:$X$116,5,FALSE),"WATCH VIDEO")</f>
        <v>WATCH VIDEO</v>
      </c>
      <c r="S82" s="33"/>
      <c r="T82" s="305"/>
      <c r="U82" s="304" t="s">
        <v>632</v>
      </c>
      <c r="V82" s="304"/>
      <c r="W82" s="342"/>
      <c r="X82" s="342"/>
      <c r="Y82" s="33"/>
      <c r="Z82" s="39"/>
      <c r="AA82" s="33"/>
      <c r="AB82" s="33"/>
      <c r="AC82" s="33"/>
      <c r="AD82" s="33"/>
      <c r="AE82" s="33"/>
      <c r="AF82" s="33"/>
      <c r="AG82" s="33"/>
      <c r="AH82" s="33"/>
    </row>
    <row r="83" ht="34.5" customHeight="1">
      <c r="A83" s="33"/>
      <c r="B83" s="33"/>
      <c r="C83" s="33"/>
      <c r="D83" s="33"/>
      <c r="E83" s="343"/>
      <c r="F83" s="344" t="s">
        <v>651</v>
      </c>
      <c r="G83" s="341"/>
      <c r="H83" s="338">
        <v>0.0</v>
      </c>
      <c r="I83" s="122"/>
      <c r="J83" s="122"/>
      <c r="K83" s="122"/>
      <c r="L83" s="122"/>
      <c r="M83" s="33"/>
      <c r="N83" s="296" t="str">
        <f>VLOOKUP(N82,$T$44:$X300,4,FALSE)</f>
        <v>Raise one arm upward in front of you. Make sure that as you flex at the shoulder that you’re shoulder blade moves with your arm. Turn your arm over and find the biggest possible range “behind” you. Reverse the rep—start by extending the arm backward, max out extension, then turn your arm and find as much overhead range as possible before maxing anterior range and returning your arm to your side.</v>
      </c>
      <c r="S83" s="33"/>
      <c r="T83" s="305" t="s">
        <v>652</v>
      </c>
      <c r="U83" s="304" t="s">
        <v>632</v>
      </c>
      <c r="V83" s="304" t="s">
        <v>653</v>
      </c>
      <c r="W83" s="304" t="s">
        <v>654</v>
      </c>
      <c r="X83" s="314" t="s">
        <v>655</v>
      </c>
      <c r="Y83" s="33"/>
      <c r="Z83" s="39"/>
      <c r="AA83" s="33"/>
      <c r="AB83" s="33"/>
      <c r="AC83" s="33"/>
      <c r="AD83" s="33"/>
      <c r="AE83" s="33"/>
      <c r="AF83" s="33"/>
      <c r="AG83" s="33"/>
      <c r="AH83" s="33"/>
    </row>
    <row r="84" ht="34.5" customHeight="1">
      <c r="A84" s="33"/>
      <c r="B84" s="33"/>
      <c r="C84" s="33"/>
      <c r="D84" s="33"/>
      <c r="E84" s="343"/>
      <c r="F84" s="344" t="s">
        <v>656</v>
      </c>
      <c r="G84" s="341"/>
      <c r="H84" s="338">
        <v>0.0</v>
      </c>
      <c r="I84" s="122"/>
      <c r="J84" s="122"/>
      <c r="K84" s="122"/>
      <c r="L84" s="122"/>
      <c r="M84" s="33"/>
      <c r="S84" s="33"/>
      <c r="T84" s="305" t="s">
        <v>657</v>
      </c>
      <c r="U84" s="304" t="s">
        <v>632</v>
      </c>
      <c r="V84" s="304" t="s">
        <v>658</v>
      </c>
      <c r="W84" s="304" t="s">
        <v>659</v>
      </c>
      <c r="X84" s="314" t="s">
        <v>660</v>
      </c>
      <c r="Y84" s="33"/>
      <c r="Z84" s="33"/>
      <c r="AA84" s="33"/>
      <c r="AB84" s="33"/>
      <c r="AC84" s="33"/>
      <c r="AD84" s="33"/>
      <c r="AE84" s="33"/>
      <c r="AF84" s="33"/>
      <c r="AG84" s="33"/>
      <c r="AH84" s="33"/>
    </row>
    <row r="85">
      <c r="A85" s="33"/>
      <c r="B85" s="33"/>
      <c r="C85" s="33"/>
      <c r="D85" s="33"/>
      <c r="E85" s="343"/>
      <c r="F85" s="344" t="s">
        <v>661</v>
      </c>
      <c r="G85" s="341"/>
      <c r="H85" s="338">
        <v>0.0</v>
      </c>
      <c r="I85" s="122"/>
      <c r="J85" s="122"/>
      <c r="K85" s="122"/>
      <c r="L85" s="122"/>
      <c r="M85" s="33"/>
      <c r="N85" s="263"/>
      <c r="O85" s="263"/>
      <c r="P85" s="263"/>
      <c r="Q85" s="263"/>
      <c r="R85" s="263"/>
      <c r="S85" s="33"/>
      <c r="T85" s="305" t="s">
        <v>662</v>
      </c>
      <c r="U85" s="304" t="s">
        <v>632</v>
      </c>
      <c r="V85" s="304" t="s">
        <v>633</v>
      </c>
      <c r="W85" s="304" t="s">
        <v>663</v>
      </c>
      <c r="X85" s="314" t="s">
        <v>664</v>
      </c>
      <c r="Y85" s="33"/>
      <c r="Z85" s="33"/>
      <c r="AA85" s="33"/>
      <c r="AB85" s="33"/>
      <c r="AC85" s="33"/>
      <c r="AD85" s="33"/>
      <c r="AE85" s="33"/>
      <c r="AF85" s="33"/>
      <c r="AG85" s="33"/>
      <c r="AH85" s="33"/>
    </row>
    <row r="86">
      <c r="A86" s="33"/>
      <c r="B86" s="33"/>
      <c r="C86" s="33"/>
      <c r="D86" s="33"/>
      <c r="E86" s="343"/>
      <c r="F86" s="344" t="s">
        <v>665</v>
      </c>
      <c r="G86" s="341"/>
      <c r="H86" s="338">
        <v>0.0</v>
      </c>
      <c r="I86" s="122"/>
      <c r="J86" s="122"/>
      <c r="K86" s="122"/>
      <c r="L86" s="122"/>
      <c r="M86" s="33"/>
      <c r="N86" s="321" t="s">
        <v>541</v>
      </c>
      <c r="R86" s="322" t="str">
        <f>HYPERLINK(VLOOKUP(N86,$T$44:$X$116,5,FALSE),"WATCH VIDEO")</f>
        <v>WATCH VIDEO</v>
      </c>
      <c r="S86" s="33"/>
      <c r="T86" s="305" t="s">
        <v>516</v>
      </c>
      <c r="U86" s="304" t="s">
        <v>619</v>
      </c>
      <c r="V86" s="304" t="s">
        <v>666</v>
      </c>
      <c r="W86" s="304" t="s">
        <v>502</v>
      </c>
      <c r="X86" s="304" t="s">
        <v>503</v>
      </c>
      <c r="Y86" s="33"/>
      <c r="Z86" s="33"/>
      <c r="AA86" s="33"/>
      <c r="AB86" s="33"/>
      <c r="AC86" s="33"/>
      <c r="AD86" s="33"/>
      <c r="AE86" s="33"/>
      <c r="AF86" s="33"/>
      <c r="AG86" s="33"/>
      <c r="AH86" s="33"/>
    </row>
    <row r="87">
      <c r="A87" s="33"/>
      <c r="B87" s="33"/>
      <c r="C87" s="33"/>
      <c r="D87" s="33"/>
      <c r="E87" s="343"/>
      <c r="F87" s="344" t="s">
        <v>667</v>
      </c>
      <c r="G87" s="341"/>
      <c r="H87" s="338">
        <v>0.0</v>
      </c>
      <c r="I87" s="122"/>
      <c r="J87" s="122"/>
      <c r="K87" s="122"/>
      <c r="L87" s="122"/>
      <c r="M87" s="33"/>
      <c r="N87" s="296" t="str">
        <f>VLOOKUP(N86,$T$44:$X300,4,FALSE)</f>
        <v>Use a low to moderate load and do 5-12 reps on a lat pulldown in a dynamic fashion. Focus on a forceful pull.</v>
      </c>
      <c r="S87" s="33"/>
      <c r="T87" s="305" t="s">
        <v>668</v>
      </c>
      <c r="U87" s="304" t="s">
        <v>619</v>
      </c>
      <c r="V87" s="304" t="s">
        <v>666</v>
      </c>
      <c r="W87" s="304" t="s">
        <v>669</v>
      </c>
      <c r="X87" s="314" t="s">
        <v>670</v>
      </c>
      <c r="Y87" s="33"/>
      <c r="Z87" s="33"/>
      <c r="AA87" s="33"/>
      <c r="AB87" s="33"/>
      <c r="AC87" s="33"/>
      <c r="AD87" s="33"/>
      <c r="AE87" s="33"/>
      <c r="AF87" s="33"/>
      <c r="AG87" s="33"/>
      <c r="AH87" s="33"/>
    </row>
    <row r="88">
      <c r="A88" s="33"/>
      <c r="B88" s="33"/>
      <c r="C88" s="33"/>
      <c r="D88" s="33"/>
      <c r="E88" s="343"/>
      <c r="F88" s="344" t="s">
        <v>671</v>
      </c>
      <c r="G88" s="341"/>
      <c r="H88" s="338">
        <v>0.0</v>
      </c>
      <c r="I88" s="122"/>
      <c r="J88" s="122"/>
      <c r="K88" s="122"/>
      <c r="L88" s="122"/>
      <c r="M88" s="33"/>
      <c r="S88" s="33"/>
      <c r="T88" s="305" t="s">
        <v>525</v>
      </c>
      <c r="U88" s="304" t="s">
        <v>619</v>
      </c>
      <c r="V88" s="304" t="s">
        <v>666</v>
      </c>
      <c r="W88" s="304" t="s">
        <v>672</v>
      </c>
      <c r="X88" s="314" t="s">
        <v>673</v>
      </c>
      <c r="Y88" s="33"/>
      <c r="Z88" s="33"/>
      <c r="AA88" s="33"/>
      <c r="AB88" s="33"/>
      <c r="AC88" s="33"/>
      <c r="AD88" s="33"/>
      <c r="AE88" s="33"/>
      <c r="AF88" s="33"/>
      <c r="AG88" s="33"/>
      <c r="AH88" s="33"/>
    </row>
    <row r="89">
      <c r="A89" s="33"/>
      <c r="B89" s="33"/>
      <c r="C89" s="33"/>
      <c r="D89" s="33"/>
      <c r="E89" s="343"/>
      <c r="F89" s="344" t="s">
        <v>674</v>
      </c>
      <c r="G89" s="341"/>
      <c r="H89" s="338">
        <v>0.0</v>
      </c>
      <c r="I89" s="122"/>
      <c r="J89" s="122"/>
      <c r="K89" s="122"/>
      <c r="L89" s="122"/>
      <c r="M89" s="33"/>
      <c r="N89" s="263"/>
      <c r="O89" s="263"/>
      <c r="P89" s="263"/>
      <c r="Q89" s="263"/>
      <c r="R89" s="263"/>
      <c r="S89" s="33"/>
      <c r="T89" s="305" t="s">
        <v>534</v>
      </c>
      <c r="U89" s="304" t="s">
        <v>619</v>
      </c>
      <c r="V89" s="304" t="s">
        <v>675</v>
      </c>
      <c r="W89" s="304" t="s">
        <v>676</v>
      </c>
      <c r="X89" s="314" t="s">
        <v>677</v>
      </c>
      <c r="Y89" s="33"/>
      <c r="Z89" s="33"/>
      <c r="AA89" s="33"/>
      <c r="AB89" s="33"/>
      <c r="AC89" s="33"/>
      <c r="AD89" s="33"/>
      <c r="AE89" s="33"/>
      <c r="AF89" s="33"/>
      <c r="AG89" s="33"/>
      <c r="AH89" s="33"/>
    </row>
    <row r="90">
      <c r="A90" s="33"/>
      <c r="B90" s="33"/>
      <c r="C90" s="33"/>
      <c r="D90" s="33"/>
      <c r="E90" s="343"/>
      <c r="F90" s="344" t="s">
        <v>678</v>
      </c>
      <c r="G90" s="341"/>
      <c r="H90" s="338">
        <v>0.0</v>
      </c>
      <c r="I90" s="122"/>
      <c r="J90" s="122"/>
      <c r="K90" s="122"/>
      <c r="L90" s="122"/>
      <c r="M90" s="33"/>
      <c r="N90" s="321" t="s">
        <v>534</v>
      </c>
      <c r="R90" s="322" t="str">
        <f>HYPERLINK(VLOOKUP(N90,$T$44:$X$116,5,FALSE),"WATCH VIDEO")</f>
        <v>WATCH VIDEO</v>
      </c>
      <c r="S90" s="33"/>
      <c r="T90" s="305" t="s">
        <v>541</v>
      </c>
      <c r="U90" s="304" t="s">
        <v>619</v>
      </c>
      <c r="V90" s="304" t="s">
        <v>675</v>
      </c>
      <c r="W90" s="304" t="s">
        <v>679</v>
      </c>
      <c r="X90" s="314" t="s">
        <v>680</v>
      </c>
      <c r="Y90" s="33"/>
      <c r="Z90" s="33"/>
      <c r="AA90" s="33"/>
      <c r="AB90" s="33"/>
      <c r="AC90" s="33"/>
      <c r="AD90" s="33"/>
      <c r="AE90" s="33"/>
      <c r="AF90" s="33"/>
      <c r="AG90" s="33"/>
      <c r="AH90" s="33"/>
    </row>
    <row r="91">
      <c r="A91" s="33"/>
      <c r="B91" s="33"/>
      <c r="C91" s="33"/>
      <c r="D91" s="33"/>
      <c r="E91" s="33"/>
      <c r="F91" s="122"/>
      <c r="G91" s="122"/>
      <c r="H91" s="122"/>
      <c r="I91" s="122"/>
      <c r="J91" s="122"/>
      <c r="K91" s="122"/>
      <c r="L91" s="122"/>
      <c r="M91" s="33"/>
      <c r="N91" s="296" t="str">
        <f>VLOOKUP(N90,$T$44:$X300,4,FALSE)</f>
        <v>Using a barbell in a rack/smith machine or a pair of hanging rings, set your feet on on object at such a height you can be parallel to the floor at completion of the movement. Grab the bar/rings and pull yourself up, holding a brief contraction at the top. Repeat for 5-10 reps.</v>
      </c>
      <c r="S91" s="33"/>
      <c r="T91" s="305" t="s">
        <v>547</v>
      </c>
      <c r="U91" s="304" t="s">
        <v>619</v>
      </c>
      <c r="V91" s="304" t="s">
        <v>666</v>
      </c>
      <c r="W91" s="304" t="s">
        <v>681</v>
      </c>
      <c r="X91" s="314" t="s">
        <v>682</v>
      </c>
      <c r="Y91" s="33"/>
      <c r="Z91" s="33"/>
      <c r="AA91" s="33"/>
      <c r="AB91" s="33"/>
      <c r="AC91" s="33"/>
      <c r="AD91" s="33"/>
      <c r="AE91" s="33"/>
      <c r="AF91" s="33"/>
      <c r="AG91" s="33"/>
      <c r="AH91" s="33"/>
    </row>
    <row r="92" ht="36.75" customHeight="1">
      <c r="A92" s="33"/>
      <c r="B92" s="33"/>
      <c r="C92" s="33"/>
      <c r="D92" s="33"/>
      <c r="E92" s="33"/>
      <c r="F92" s="336" t="s">
        <v>683</v>
      </c>
      <c r="M92" s="33"/>
      <c r="S92" s="33"/>
      <c r="T92" s="305" t="s">
        <v>551</v>
      </c>
      <c r="U92" s="304" t="s">
        <v>619</v>
      </c>
      <c r="V92" s="304" t="s">
        <v>615</v>
      </c>
      <c r="W92" s="304" t="s">
        <v>684</v>
      </c>
      <c r="X92" s="314" t="s">
        <v>685</v>
      </c>
      <c r="Y92" s="33"/>
      <c r="Z92" s="33"/>
      <c r="AA92" s="33"/>
      <c r="AB92" s="33"/>
      <c r="AC92" s="33"/>
      <c r="AD92" s="33"/>
      <c r="AE92" s="33"/>
      <c r="AF92" s="33"/>
      <c r="AG92" s="33"/>
      <c r="AH92" s="33"/>
    </row>
    <row r="93">
      <c r="A93" s="33"/>
      <c r="B93" s="33"/>
      <c r="C93" s="33"/>
      <c r="D93" s="33"/>
      <c r="E93" s="33"/>
      <c r="F93" s="336"/>
      <c r="G93" s="336"/>
      <c r="H93" s="336"/>
      <c r="I93" s="336"/>
      <c r="J93" s="336"/>
      <c r="K93" s="336"/>
      <c r="L93" s="336"/>
      <c r="M93" s="33"/>
      <c r="N93" s="263"/>
      <c r="O93" s="263"/>
      <c r="P93" s="263"/>
      <c r="Q93" s="263"/>
      <c r="R93" s="263"/>
      <c r="S93" s="33"/>
      <c r="T93" s="305" t="s">
        <v>555</v>
      </c>
      <c r="U93" s="304" t="s">
        <v>619</v>
      </c>
      <c r="V93" s="304" t="s">
        <v>615</v>
      </c>
      <c r="W93" s="304" t="s">
        <v>686</v>
      </c>
      <c r="X93" s="314" t="s">
        <v>687</v>
      </c>
      <c r="Y93" s="33"/>
      <c r="Z93" s="39"/>
      <c r="AA93" s="33"/>
      <c r="AB93" s="33"/>
      <c r="AC93" s="33"/>
      <c r="AD93" s="33"/>
      <c r="AE93" s="33"/>
      <c r="AF93" s="33"/>
      <c r="AG93" s="33"/>
      <c r="AH93" s="33"/>
    </row>
    <row r="94">
      <c r="A94" s="33"/>
      <c r="B94" s="33"/>
      <c r="C94" s="33"/>
      <c r="D94" s="33"/>
      <c r="E94" s="33"/>
      <c r="F94" s="345"/>
      <c r="G94" s="345"/>
      <c r="H94" s="345"/>
      <c r="I94" s="345"/>
      <c r="J94" s="345"/>
      <c r="K94" s="345"/>
      <c r="L94" s="345"/>
      <c r="M94" s="306">
        <v>5.0</v>
      </c>
      <c r="N94" s="308" t="s">
        <v>553</v>
      </c>
      <c r="O94" s="263"/>
      <c r="P94" s="263"/>
      <c r="Q94" s="263"/>
      <c r="R94" s="263"/>
      <c r="S94" s="33"/>
      <c r="T94" s="305" t="s">
        <v>562</v>
      </c>
      <c r="U94" s="304" t="s">
        <v>619</v>
      </c>
      <c r="V94" s="304"/>
      <c r="W94" s="304"/>
      <c r="X94" s="304"/>
      <c r="Y94" s="33"/>
      <c r="Z94" s="39"/>
      <c r="AA94" s="33"/>
      <c r="AB94" s="33"/>
      <c r="AC94" s="33"/>
      <c r="AD94" s="33"/>
      <c r="AE94" s="33"/>
      <c r="AF94" s="33"/>
      <c r="AG94" s="33"/>
      <c r="AH94" s="33"/>
    </row>
    <row r="95">
      <c r="A95" s="33"/>
      <c r="B95" s="33"/>
      <c r="C95" s="33"/>
      <c r="D95" s="33"/>
      <c r="E95" s="33"/>
      <c r="F95" s="34"/>
      <c r="G95" s="33"/>
      <c r="H95" s="33"/>
      <c r="I95" s="33"/>
      <c r="J95" s="33"/>
      <c r="K95" s="33"/>
      <c r="L95" s="33"/>
      <c r="M95" s="306"/>
      <c r="N95" s="310" t="s">
        <v>688</v>
      </c>
      <c r="O95" s="263"/>
      <c r="P95" s="263"/>
      <c r="Q95" s="263"/>
      <c r="R95" s="263"/>
      <c r="S95" s="33"/>
      <c r="T95" s="305" t="s">
        <v>516</v>
      </c>
      <c r="U95" s="304" t="s">
        <v>559</v>
      </c>
      <c r="V95" s="304" t="s">
        <v>689</v>
      </c>
      <c r="W95" s="304" t="s">
        <v>502</v>
      </c>
      <c r="X95" s="304" t="s">
        <v>503</v>
      </c>
      <c r="Y95" s="33"/>
      <c r="Z95" s="33"/>
      <c r="AA95" s="33"/>
      <c r="AB95" s="33"/>
      <c r="AC95" s="33"/>
      <c r="AD95" s="33"/>
      <c r="AE95" s="33"/>
      <c r="AF95" s="33"/>
      <c r="AG95" s="33"/>
      <c r="AH95" s="33"/>
    </row>
    <row r="96">
      <c r="A96" s="33"/>
      <c r="B96" s="33"/>
      <c r="C96" s="33"/>
      <c r="D96" s="33"/>
      <c r="E96" s="33"/>
      <c r="F96" s="315" t="s">
        <v>690</v>
      </c>
      <c r="G96" s="122"/>
      <c r="H96" s="122"/>
      <c r="I96" s="122"/>
      <c r="J96" s="122"/>
      <c r="K96" s="122"/>
      <c r="L96" s="122"/>
      <c r="M96" s="33"/>
      <c r="N96" s="321" t="s">
        <v>516</v>
      </c>
      <c r="R96" s="322" t="str">
        <f>HYPERLINK(VLOOKUP(N96,$T$44:$X$116,5,FALSE),"WATCH VIDEO")</f>
        <v>WATCH VIDEO</v>
      </c>
      <c r="S96" s="33"/>
      <c r="T96" s="305" t="s">
        <v>568</v>
      </c>
      <c r="U96" s="304" t="s">
        <v>559</v>
      </c>
      <c r="V96" s="304" t="s">
        <v>691</v>
      </c>
      <c r="W96" s="304" t="s">
        <v>692</v>
      </c>
      <c r="X96" s="314" t="s">
        <v>693</v>
      </c>
      <c r="Y96" s="33"/>
      <c r="Z96" s="33"/>
      <c r="AA96" s="33"/>
      <c r="AB96" s="33"/>
      <c r="AC96" s="33"/>
      <c r="AD96" s="33"/>
      <c r="AE96" s="33"/>
      <c r="AF96" s="33"/>
      <c r="AG96" s="33"/>
      <c r="AH96" s="33"/>
    </row>
    <row r="97">
      <c r="A97" s="33"/>
      <c r="B97" s="33"/>
      <c r="C97" s="33"/>
      <c r="D97" s="33"/>
      <c r="E97" s="33"/>
      <c r="F97" s="346" t="s">
        <v>694</v>
      </c>
      <c r="M97" s="33"/>
      <c r="N97" s="296" t="str">
        <f>VLOOKUP(N96,$T$44:$X300,4,FALSE)</f>
        <v>description</v>
      </c>
      <c r="S97" s="33"/>
      <c r="T97" s="305" t="s">
        <v>523</v>
      </c>
      <c r="U97" s="304" t="s">
        <v>559</v>
      </c>
      <c r="V97" s="304" t="s">
        <v>691</v>
      </c>
      <c r="W97" s="304" t="s">
        <v>695</v>
      </c>
      <c r="X97" s="304"/>
      <c r="Y97" s="33"/>
      <c r="Z97" s="33"/>
      <c r="AA97" s="33"/>
      <c r="AB97" s="33"/>
      <c r="AC97" s="33"/>
      <c r="AD97" s="33"/>
      <c r="AE97" s="33"/>
      <c r="AF97" s="33"/>
      <c r="AG97" s="33"/>
      <c r="AH97" s="33"/>
    </row>
    <row r="98">
      <c r="A98" s="33"/>
      <c r="B98" s="33"/>
      <c r="C98" s="33"/>
      <c r="D98" s="33"/>
      <c r="E98" s="33"/>
      <c r="M98" s="33"/>
      <c r="S98" s="33"/>
      <c r="T98" s="305" t="s">
        <v>532</v>
      </c>
      <c r="U98" s="304" t="s">
        <v>559</v>
      </c>
      <c r="V98" s="304" t="s">
        <v>689</v>
      </c>
      <c r="W98" s="304" t="s">
        <v>696</v>
      </c>
      <c r="X98" s="304"/>
      <c r="Y98" s="33"/>
      <c r="Z98" s="33"/>
      <c r="AA98" s="33"/>
      <c r="AB98" s="33"/>
      <c r="AC98" s="33"/>
      <c r="AD98" s="33"/>
      <c r="AE98" s="33"/>
      <c r="AF98" s="33"/>
      <c r="AG98" s="33"/>
      <c r="AH98" s="33"/>
    </row>
    <row r="99">
      <c r="A99" s="33"/>
      <c r="B99" s="33"/>
      <c r="C99" s="33"/>
      <c r="D99" s="33"/>
      <c r="E99" s="33"/>
      <c r="M99" s="33"/>
      <c r="N99" s="313"/>
      <c r="O99" s="263"/>
      <c r="P99" s="263"/>
      <c r="Q99" s="263"/>
      <c r="R99" s="263"/>
      <c r="S99" s="33"/>
      <c r="T99" s="305" t="s">
        <v>539</v>
      </c>
      <c r="U99" s="304" t="s">
        <v>559</v>
      </c>
      <c r="V99" s="304" t="s">
        <v>689</v>
      </c>
      <c r="W99" s="304" t="s">
        <v>697</v>
      </c>
      <c r="X99" s="304"/>
      <c r="Y99" s="33"/>
      <c r="Z99" s="33"/>
      <c r="AA99" s="33"/>
      <c r="AB99" s="33"/>
      <c r="AC99" s="33"/>
      <c r="AD99" s="33"/>
      <c r="AE99" s="33"/>
      <c r="AF99" s="33"/>
      <c r="AG99" s="33"/>
      <c r="AH99" s="33"/>
    </row>
    <row r="100">
      <c r="A100" s="33"/>
      <c r="B100" s="33"/>
      <c r="C100" s="33"/>
      <c r="D100" s="33"/>
      <c r="E100" s="33"/>
      <c r="M100" s="306">
        <v>6.0</v>
      </c>
      <c r="N100" s="308" t="s">
        <v>581</v>
      </c>
      <c r="O100" s="263"/>
      <c r="P100" s="263"/>
      <c r="Q100" s="263"/>
      <c r="R100" s="263"/>
      <c r="S100" s="33"/>
      <c r="T100" s="305" t="s">
        <v>545</v>
      </c>
      <c r="U100" s="304" t="s">
        <v>559</v>
      </c>
      <c r="V100" s="304" t="s">
        <v>689</v>
      </c>
      <c r="W100" s="304" t="s">
        <v>698</v>
      </c>
      <c r="X100" s="304"/>
      <c r="Y100" s="33"/>
      <c r="Z100" s="33"/>
      <c r="AA100" s="33"/>
      <c r="AB100" s="33"/>
      <c r="AC100" s="33"/>
      <c r="AD100" s="33"/>
      <c r="AE100" s="33"/>
      <c r="AF100" s="33"/>
      <c r="AG100" s="33"/>
      <c r="AH100" s="33"/>
    </row>
    <row r="101">
      <c r="A101" s="33"/>
      <c r="B101" s="33"/>
      <c r="C101" s="33"/>
      <c r="D101" s="33"/>
      <c r="E101" s="33"/>
      <c r="M101" s="306"/>
      <c r="N101" s="310" t="s">
        <v>699</v>
      </c>
      <c r="O101" s="263"/>
      <c r="P101" s="263"/>
      <c r="Q101" s="263"/>
      <c r="R101" s="263"/>
      <c r="S101" s="33"/>
      <c r="T101" s="33"/>
      <c r="U101" s="33"/>
      <c r="V101" s="33"/>
      <c r="W101" s="33"/>
      <c r="X101" s="33"/>
      <c r="Y101" s="33"/>
      <c r="Z101" s="33"/>
      <c r="AA101" s="33"/>
      <c r="AB101" s="33"/>
      <c r="AC101" s="33"/>
      <c r="AD101" s="33"/>
      <c r="AE101" s="33"/>
      <c r="AF101" s="33"/>
      <c r="AG101" s="33"/>
      <c r="AH101" s="33"/>
    </row>
    <row r="102">
      <c r="A102" s="33"/>
      <c r="B102" s="33"/>
      <c r="C102" s="33"/>
      <c r="D102" s="33"/>
      <c r="E102" s="33"/>
      <c r="F102" s="347" t="s">
        <v>700</v>
      </c>
      <c r="G102" s="346"/>
      <c r="H102" s="346"/>
      <c r="I102" s="346"/>
      <c r="J102" s="346"/>
      <c r="K102" s="346"/>
      <c r="L102" s="346"/>
      <c r="M102" s="33"/>
      <c r="N102" s="321" t="s">
        <v>536</v>
      </c>
      <c r="R102" s="322" t="str">
        <f>HYPERLINK(VLOOKUP(N102,$T$44:$X$116,5,FALSE),"WATCH VIDEO")</f>
        <v>WATCH VIDEO</v>
      </c>
      <c r="S102" s="33"/>
      <c r="T102" s="33"/>
      <c r="U102" s="33"/>
      <c r="V102" s="33"/>
      <c r="W102" s="33"/>
      <c r="X102" s="33"/>
      <c r="Y102" s="33"/>
      <c r="Z102" s="33"/>
      <c r="AA102" s="33"/>
      <c r="AB102" s="33"/>
      <c r="AC102" s="33"/>
      <c r="AD102" s="33"/>
      <c r="AE102" s="33"/>
      <c r="AF102" s="33"/>
      <c r="AG102" s="33"/>
      <c r="AH102" s="33"/>
    </row>
    <row r="103">
      <c r="A103" s="33"/>
      <c r="B103" s="33"/>
      <c r="C103" s="33"/>
      <c r="D103" s="33"/>
      <c r="E103" s="33"/>
      <c r="F103" s="347"/>
      <c r="G103" s="122"/>
      <c r="H103" s="122"/>
      <c r="I103" s="122"/>
      <c r="J103" s="122"/>
      <c r="K103" s="122"/>
      <c r="L103" s="122"/>
      <c r="M103" s="33"/>
      <c r="N103" s="296" t="str">
        <f>VLOOKUP(N102,$T$44:$X300,4,FALSE)</f>
        <v>From a quadruped position, sweep the opposite arm and leg out away from you in front and behind, maintaining finger and toe connection with the floor. Raise both the arm and leg in unison and hold the extended position for a moment. Reverse and return to base position and repeat with the opposite side.</v>
      </c>
      <c r="S103" s="33"/>
      <c r="T103" s="33"/>
      <c r="U103" s="33"/>
      <c r="V103" s="33"/>
      <c r="W103" s="33"/>
      <c r="X103" s="33"/>
      <c r="Y103" s="33"/>
      <c r="Z103" s="33"/>
      <c r="AA103" s="33"/>
      <c r="AB103" s="33"/>
      <c r="AC103" s="33"/>
      <c r="AD103" s="33"/>
      <c r="AE103" s="33"/>
      <c r="AF103" s="33"/>
      <c r="AG103" s="33"/>
      <c r="AH103" s="33"/>
    </row>
    <row r="104" ht="35.25" customHeight="1">
      <c r="A104" s="33"/>
      <c r="B104" s="33"/>
      <c r="C104" s="33"/>
      <c r="D104" s="33"/>
      <c r="E104" s="33"/>
      <c r="F104" s="33"/>
      <c r="G104" s="33"/>
      <c r="H104" s="33"/>
      <c r="I104" s="33"/>
      <c r="J104" s="33"/>
      <c r="K104" s="33"/>
      <c r="L104" s="33"/>
      <c r="M104" s="33"/>
      <c r="S104" s="33"/>
      <c r="T104" s="33"/>
      <c r="U104" s="33"/>
      <c r="V104" s="33"/>
      <c r="W104" s="33"/>
      <c r="X104" s="33"/>
      <c r="Y104" s="33"/>
      <c r="Z104" s="39"/>
      <c r="AA104" s="33"/>
      <c r="AB104" s="33"/>
      <c r="AC104" s="33"/>
      <c r="AD104" s="33"/>
      <c r="AE104" s="33"/>
      <c r="AF104" s="33"/>
      <c r="AG104" s="33"/>
      <c r="AH104" s="33"/>
    </row>
    <row r="105">
      <c r="A105" s="33"/>
      <c r="B105" s="33"/>
      <c r="C105" s="33"/>
      <c r="D105" s="33"/>
      <c r="E105" s="33"/>
      <c r="F105" s="167" t="s">
        <v>701</v>
      </c>
      <c r="G105" s="122"/>
      <c r="H105" s="122"/>
      <c r="I105" s="122"/>
      <c r="J105" s="122"/>
      <c r="K105" s="122"/>
      <c r="L105" s="122"/>
      <c r="M105" s="33"/>
      <c r="N105" s="263"/>
      <c r="O105" s="263"/>
      <c r="P105" s="263"/>
      <c r="Q105" s="263"/>
      <c r="R105" s="263"/>
      <c r="S105" s="33"/>
      <c r="T105" s="33"/>
      <c r="U105" s="33"/>
      <c r="V105" s="33"/>
      <c r="W105" s="33"/>
      <c r="X105" s="33"/>
      <c r="Y105" s="33"/>
      <c r="Z105" s="39"/>
      <c r="AA105" s="33"/>
      <c r="AB105" s="33"/>
      <c r="AC105" s="33"/>
      <c r="AD105" s="33"/>
      <c r="AE105" s="33"/>
      <c r="AF105" s="33"/>
      <c r="AG105" s="33"/>
      <c r="AH105" s="33"/>
    </row>
    <row r="106">
      <c r="A106" s="33"/>
      <c r="B106" s="33"/>
      <c r="C106" s="33"/>
      <c r="D106" s="33"/>
      <c r="E106" s="33"/>
      <c r="F106" s="348" t="s">
        <v>702</v>
      </c>
      <c r="M106" s="33"/>
      <c r="N106" s="321" t="s">
        <v>542</v>
      </c>
      <c r="R106" s="322" t="str">
        <f>HYPERLINK(VLOOKUP(N106,$T$44:$X$116,5,FALSE),"WATCH VIDEO")</f>
        <v>WATCH VIDEO</v>
      </c>
      <c r="S106" s="33"/>
      <c r="T106" s="33"/>
      <c r="U106" s="33"/>
      <c r="V106" s="33"/>
      <c r="W106" s="33"/>
      <c r="X106" s="33"/>
      <c r="Y106" s="33"/>
      <c r="Z106" s="33"/>
      <c r="AA106" s="33"/>
      <c r="AB106" s="33"/>
      <c r="AC106" s="33"/>
      <c r="AD106" s="33"/>
      <c r="AE106" s="33"/>
      <c r="AF106" s="33"/>
      <c r="AG106" s="33"/>
      <c r="AH106" s="33"/>
    </row>
    <row r="107">
      <c r="A107" s="33"/>
      <c r="B107" s="33"/>
      <c r="C107" s="33"/>
      <c r="D107" s="33"/>
      <c r="E107" s="33"/>
      <c r="M107" s="33"/>
      <c r="N107" s="296" t="str">
        <f>VLOOKUP(N106,$T$44:$X300,4,FALSE)</f>
        <v>From a supine position, elevate one knee so that your foot is flat on the floor. Tuck the chin and as you do, blow air out and squeeze the abs down into yourself. Repeat for 3-7 reps, before switching to the opposite leg and repeating.</v>
      </c>
      <c r="S107" s="33"/>
      <c r="T107" s="33"/>
      <c r="U107" s="33"/>
      <c r="V107" s="33"/>
      <c r="W107" s="33"/>
      <c r="X107" s="33"/>
      <c r="Y107" s="33"/>
      <c r="Z107" s="33"/>
      <c r="AA107" s="33"/>
      <c r="AB107" s="33"/>
      <c r="AC107" s="33"/>
      <c r="AD107" s="33"/>
      <c r="AE107" s="33"/>
      <c r="AF107" s="33"/>
      <c r="AG107" s="33"/>
      <c r="AH107" s="33"/>
    </row>
    <row r="108" ht="21.75" customHeight="1">
      <c r="A108" s="33"/>
      <c r="B108" s="33"/>
      <c r="C108" s="33"/>
      <c r="D108" s="33"/>
      <c r="E108" s="33"/>
      <c r="M108" s="33"/>
      <c r="S108" s="33"/>
      <c r="T108" s="33"/>
      <c r="U108" s="33"/>
      <c r="V108" s="33"/>
      <c r="W108" s="33"/>
      <c r="X108" s="33"/>
      <c r="Y108" s="33"/>
      <c r="Z108" s="33"/>
      <c r="AA108" s="33"/>
      <c r="AB108" s="33"/>
      <c r="AC108" s="33"/>
      <c r="AD108" s="33"/>
      <c r="AE108" s="33"/>
      <c r="AF108" s="33"/>
      <c r="AG108" s="33"/>
      <c r="AH108" s="33"/>
    </row>
    <row r="109">
      <c r="A109" s="33"/>
      <c r="B109" s="33"/>
      <c r="C109" s="33"/>
      <c r="D109" s="33"/>
      <c r="E109" s="33"/>
      <c r="F109" s="167" t="s">
        <v>703</v>
      </c>
      <c r="G109" s="122"/>
      <c r="H109" s="122"/>
      <c r="I109" s="122"/>
      <c r="J109" s="122"/>
      <c r="K109" s="122"/>
      <c r="L109" s="122"/>
      <c r="M109" s="33"/>
      <c r="O109" s="263"/>
      <c r="P109" s="263"/>
      <c r="Q109" s="263"/>
      <c r="R109" s="263"/>
      <c r="S109" s="33"/>
      <c r="T109" s="33"/>
      <c r="U109" s="33"/>
      <c r="V109" s="33"/>
      <c r="W109" s="33"/>
      <c r="X109" s="33"/>
      <c r="Y109" s="33"/>
      <c r="Z109" s="33"/>
      <c r="AA109" s="33"/>
      <c r="AB109" s="33"/>
      <c r="AC109" s="33"/>
      <c r="AD109" s="33"/>
      <c r="AE109" s="33"/>
      <c r="AF109" s="33"/>
      <c r="AG109" s="33"/>
      <c r="AH109" s="33"/>
    </row>
    <row r="110">
      <c r="A110" s="33"/>
      <c r="B110" s="33"/>
      <c r="C110" s="33"/>
      <c r="D110" s="33"/>
      <c r="E110" s="33"/>
      <c r="F110" s="347" t="s">
        <v>704</v>
      </c>
      <c r="G110" s="262"/>
      <c r="H110" s="262"/>
      <c r="I110" s="347"/>
      <c r="J110" s="347" t="s">
        <v>705</v>
      </c>
      <c r="K110" s="122"/>
      <c r="L110" s="122"/>
      <c r="M110" s="33"/>
      <c r="N110" s="321" t="s">
        <v>566</v>
      </c>
      <c r="R110" s="322" t="str">
        <f>HYPERLINK(VLOOKUP(N110,$T$44:$X$116,5,FALSE),"WATCH VIDEO")</f>
        <v>WATCH VIDEO</v>
      </c>
      <c r="S110" s="33"/>
      <c r="T110" s="33"/>
      <c r="U110" s="33"/>
      <c r="V110" s="33"/>
      <c r="W110" s="33"/>
      <c r="X110" s="33"/>
      <c r="Y110" s="33"/>
      <c r="Z110" s="33"/>
      <c r="AA110" s="33"/>
      <c r="AB110" s="33"/>
      <c r="AC110" s="33"/>
      <c r="AD110" s="33"/>
      <c r="AE110" s="33"/>
      <c r="AF110" s="33"/>
      <c r="AG110" s="33"/>
      <c r="AH110" s="33"/>
    </row>
    <row r="111" ht="18.0" customHeight="1">
      <c r="A111" s="33"/>
      <c r="B111" s="33"/>
      <c r="C111" s="33"/>
      <c r="D111" s="33"/>
      <c r="E111" s="33"/>
      <c r="F111" s="347" t="s">
        <v>706</v>
      </c>
      <c r="G111" s="262"/>
      <c r="H111" s="262"/>
      <c r="I111" s="347"/>
      <c r="J111" s="347" t="s">
        <v>707</v>
      </c>
      <c r="K111" s="122"/>
      <c r="L111" s="122"/>
      <c r="M111" s="33"/>
      <c r="N111" s="296" t="str">
        <f>VLOOKUP(N110,$T$44:$X300,4,FALSE)</f>
        <v>From a plank position with shoulder-width feet, rotate so that your feet are edge-contact with the floor and you're on only one forearm, bracing firmly. Rotate back to neutral and repeat with the other side for 3-5 repetitions.</v>
      </c>
      <c r="S111" s="33"/>
      <c r="T111" s="33"/>
      <c r="U111" s="33"/>
      <c r="V111" s="33"/>
      <c r="W111" s="33"/>
      <c r="X111" s="33"/>
      <c r="Y111" s="33"/>
      <c r="Z111" s="33"/>
      <c r="AA111" s="33"/>
      <c r="AB111" s="33"/>
      <c r="AC111" s="33"/>
      <c r="AD111" s="33"/>
      <c r="AE111" s="33"/>
      <c r="AF111" s="33"/>
      <c r="AG111" s="33"/>
      <c r="AH111" s="33"/>
    </row>
    <row r="112" ht="18.0" customHeight="1">
      <c r="A112" s="33"/>
      <c r="B112" s="33"/>
      <c r="C112" s="33"/>
      <c r="D112" s="33"/>
      <c r="E112" s="33"/>
      <c r="F112" s="347" t="s">
        <v>708</v>
      </c>
      <c r="G112" s="262"/>
      <c r="H112" s="262"/>
      <c r="I112" s="347"/>
      <c r="J112" s="347" t="s">
        <v>709</v>
      </c>
      <c r="K112" s="122"/>
      <c r="L112" s="122"/>
      <c r="M112" s="33"/>
      <c r="S112" s="33"/>
      <c r="T112" s="33"/>
      <c r="U112" s="33"/>
      <c r="V112" s="33"/>
      <c r="W112" s="33"/>
      <c r="X112" s="33"/>
      <c r="Y112" s="33"/>
      <c r="Z112" s="33"/>
      <c r="AA112" s="33"/>
      <c r="AB112" s="33"/>
      <c r="AC112" s="33"/>
      <c r="AD112" s="33"/>
      <c r="AE112" s="33"/>
      <c r="AF112" s="33"/>
      <c r="AG112" s="33"/>
      <c r="AH112" s="33"/>
    </row>
    <row r="113">
      <c r="A113" s="33"/>
      <c r="B113" s="33"/>
      <c r="C113" s="33"/>
      <c r="D113" s="33"/>
      <c r="E113" s="33"/>
      <c r="F113" s="347" t="s">
        <v>710</v>
      </c>
      <c r="G113" s="262"/>
      <c r="H113" s="262"/>
      <c r="I113" s="347"/>
      <c r="J113" s="347" t="s">
        <v>711</v>
      </c>
      <c r="K113" s="122"/>
      <c r="L113" s="122"/>
      <c r="M113" s="33"/>
      <c r="N113" s="263"/>
      <c r="O113" s="263"/>
      <c r="P113" s="263"/>
      <c r="Q113" s="263"/>
      <c r="R113" s="263"/>
      <c r="S113" s="33"/>
      <c r="T113" s="33"/>
      <c r="U113" s="33"/>
      <c r="V113" s="33"/>
      <c r="W113" s="33"/>
      <c r="X113" s="33"/>
      <c r="Y113" s="33"/>
      <c r="Z113" s="33"/>
      <c r="AA113" s="33"/>
      <c r="AB113" s="33"/>
      <c r="AC113" s="33"/>
      <c r="AD113" s="33"/>
      <c r="AE113" s="33"/>
      <c r="AF113" s="33"/>
      <c r="AG113" s="33"/>
      <c r="AH113" s="33"/>
    </row>
    <row r="114">
      <c r="A114" s="33"/>
      <c r="B114" s="33"/>
      <c r="C114" s="33"/>
      <c r="D114" s="33"/>
      <c r="E114" s="33"/>
      <c r="F114" s="347" t="s">
        <v>712</v>
      </c>
      <c r="G114" s="262"/>
      <c r="H114" s="262"/>
      <c r="I114" s="347"/>
      <c r="J114" s="347" t="s">
        <v>713</v>
      </c>
      <c r="K114" s="122"/>
      <c r="L114" s="122"/>
      <c r="M114" s="33"/>
      <c r="N114" s="321" t="s">
        <v>571</v>
      </c>
      <c r="R114" s="322" t="str">
        <f>HYPERLINK(VLOOKUP(N114,$T$44:$X$116,5,FALSE),"WATCH VIDEO")</f>
        <v>WATCH VIDEO</v>
      </c>
      <c r="S114" s="33"/>
      <c r="T114" s="33"/>
      <c r="U114" s="33"/>
      <c r="V114" s="33"/>
      <c r="W114" s="33"/>
      <c r="X114" s="33"/>
      <c r="Y114" s="33"/>
      <c r="Z114" s="33"/>
      <c r="AA114" s="33"/>
      <c r="AB114" s="33"/>
      <c r="AC114" s="33"/>
      <c r="AD114" s="33"/>
      <c r="AE114" s="33"/>
      <c r="AF114" s="33"/>
      <c r="AG114" s="33"/>
      <c r="AH114" s="33"/>
    </row>
    <row r="115">
      <c r="A115" s="33"/>
      <c r="B115" s="33"/>
      <c r="C115" s="33"/>
      <c r="D115" s="33"/>
      <c r="E115" s="33"/>
      <c r="F115" s="122"/>
      <c r="G115" s="122"/>
      <c r="H115" s="122"/>
      <c r="I115" s="122"/>
      <c r="J115" s="122"/>
      <c r="K115" s="122"/>
      <c r="L115" s="122"/>
      <c r="M115" s="33"/>
      <c r="N115" s="296" t="str">
        <f>VLOOKUP(N114,$T$44:$X300,4,FALSE)</f>
        <v>With your shoulders on a bench, begin with your hips on the floor and your feet flat on the ground and close to your hips. Press just one heel through the ground while driving the hips up toward the ceiling. Repeat for 5-10 reps each side.</v>
      </c>
      <c r="S115" s="33"/>
      <c r="T115" s="33"/>
      <c r="U115" s="33"/>
      <c r="V115" s="33"/>
      <c r="W115" s="33"/>
      <c r="X115" s="33"/>
      <c r="Y115" s="33"/>
      <c r="Z115" s="33"/>
      <c r="AA115" s="33"/>
      <c r="AB115" s="33"/>
      <c r="AC115" s="33"/>
      <c r="AD115" s="33"/>
      <c r="AE115" s="33"/>
      <c r="AF115" s="33"/>
      <c r="AG115" s="33"/>
      <c r="AH115" s="33"/>
    </row>
    <row r="116" ht="24.75" customHeight="1">
      <c r="A116" s="33"/>
      <c r="B116" s="33"/>
      <c r="C116" s="33"/>
      <c r="D116" s="33"/>
      <c r="E116" s="33"/>
      <c r="F116" s="167" t="s">
        <v>714</v>
      </c>
      <c r="G116" s="122"/>
      <c r="H116" s="122"/>
      <c r="I116" s="122"/>
      <c r="J116" s="167" t="s">
        <v>715</v>
      </c>
      <c r="K116" s="122"/>
      <c r="L116" s="122"/>
      <c r="M116" s="33"/>
      <c r="S116" s="33"/>
      <c r="T116" s="33"/>
      <c r="U116" s="33"/>
      <c r="V116" s="33"/>
      <c r="W116" s="33"/>
      <c r="X116" s="33"/>
      <c r="Y116" s="33"/>
      <c r="Z116" s="33"/>
      <c r="AA116" s="33"/>
      <c r="AB116" s="33"/>
      <c r="AC116" s="33"/>
      <c r="AD116" s="33"/>
      <c r="AE116" s="33"/>
      <c r="AF116" s="33"/>
      <c r="AG116" s="33"/>
      <c r="AH116" s="33"/>
    </row>
    <row r="117">
      <c r="A117" s="33"/>
      <c r="B117" s="33"/>
      <c r="C117" s="33"/>
      <c r="D117" s="33"/>
      <c r="E117" s="33"/>
      <c r="F117" s="120" t="s">
        <v>716</v>
      </c>
      <c r="G117" s="122"/>
      <c r="H117" s="122"/>
      <c r="I117" s="122"/>
      <c r="J117" s="120" t="s">
        <v>716</v>
      </c>
      <c r="K117" s="122"/>
      <c r="L117" s="122"/>
      <c r="M117" s="33"/>
      <c r="N117" s="263"/>
      <c r="O117" s="263"/>
      <c r="P117" s="263"/>
      <c r="Q117" s="263"/>
      <c r="R117" s="263"/>
      <c r="S117" s="33"/>
      <c r="T117" s="33"/>
      <c r="U117" s="33"/>
      <c r="V117" s="33"/>
      <c r="W117" s="33"/>
      <c r="X117" s="33"/>
      <c r="Y117" s="33"/>
      <c r="Z117" s="33"/>
      <c r="AA117" s="33"/>
      <c r="AB117" s="33"/>
      <c r="AC117" s="33"/>
      <c r="AD117" s="33"/>
      <c r="AE117" s="33"/>
      <c r="AF117" s="33"/>
      <c r="AG117" s="33"/>
      <c r="AH117" s="33"/>
    </row>
    <row r="118">
      <c r="A118" s="33"/>
      <c r="B118" s="33"/>
      <c r="C118" s="33"/>
      <c r="D118" s="33"/>
      <c r="E118" s="33"/>
      <c r="F118" s="349"/>
      <c r="G118" s="350"/>
      <c r="H118" s="351"/>
      <c r="I118" s="122"/>
      <c r="J118" s="352"/>
      <c r="K118" s="350"/>
      <c r="L118" s="351"/>
      <c r="M118" s="33"/>
      <c r="N118" s="321" t="s">
        <v>527</v>
      </c>
      <c r="R118" s="322" t="str">
        <f>HYPERLINK(VLOOKUP(N118,$T$44:$X$116,5,FALSE),"WATCH VIDEO")</f>
        <v>WATCH VIDEO</v>
      </c>
      <c r="S118" s="33"/>
      <c r="T118" s="33"/>
      <c r="U118" s="33"/>
      <c r="V118" s="33"/>
      <c r="W118" s="33"/>
      <c r="X118" s="33"/>
      <c r="Y118" s="33"/>
      <c r="Z118" s="33"/>
      <c r="AA118" s="33"/>
      <c r="AB118" s="33"/>
      <c r="AC118" s="33"/>
      <c r="AD118" s="33"/>
      <c r="AE118" s="33"/>
      <c r="AF118" s="33"/>
      <c r="AG118" s="33"/>
      <c r="AH118" s="33"/>
    </row>
    <row r="119" ht="24.0" customHeight="1">
      <c r="A119" s="33"/>
      <c r="B119" s="33"/>
      <c r="C119" s="33"/>
      <c r="D119" s="33"/>
      <c r="E119" s="33"/>
      <c r="F119" s="353"/>
      <c r="G119" s="354"/>
      <c r="H119" s="355"/>
      <c r="I119" s="122"/>
      <c r="J119" s="353"/>
      <c r="K119" s="354"/>
      <c r="L119" s="355"/>
      <c r="M119" s="33"/>
      <c r="N119" s="296" t="str">
        <f>VLOOKUP(N118,$T$44:$X300,4,FALSE)</f>
        <v>Use a 1 foot long flat band, place the band around the middle of the foot. Maintain a shoulder width or wider stance and take lateral steps, leading with the edge of the foot. Make sure to step in both directions, left-leading and right-leading. 10-15 meters each direction.</v>
      </c>
      <c r="S119" s="33"/>
      <c r="T119" s="33"/>
      <c r="U119" s="33"/>
      <c r="V119" s="33"/>
      <c r="W119" s="33"/>
      <c r="X119" s="33"/>
      <c r="Y119" s="33"/>
      <c r="Z119" s="33"/>
      <c r="AA119" s="33"/>
      <c r="AB119" s="33"/>
      <c r="AC119" s="33"/>
      <c r="AD119" s="33"/>
      <c r="AE119" s="33"/>
      <c r="AF119" s="33"/>
      <c r="AG119" s="33"/>
      <c r="AH119" s="33"/>
    </row>
    <row r="120" ht="27.0" customHeight="1">
      <c r="A120" s="33"/>
      <c r="B120" s="33"/>
      <c r="C120" s="33"/>
      <c r="D120" s="33"/>
      <c r="E120" s="33"/>
      <c r="F120" s="120" t="s">
        <v>717</v>
      </c>
      <c r="G120" s="122"/>
      <c r="H120" s="122"/>
      <c r="I120" s="122"/>
      <c r="J120" s="120" t="s">
        <v>717</v>
      </c>
      <c r="K120" s="122"/>
      <c r="L120" s="122"/>
      <c r="M120" s="33"/>
      <c r="S120" s="33"/>
      <c r="T120" s="33"/>
      <c r="U120" s="33"/>
      <c r="V120" s="33"/>
      <c r="W120" s="33"/>
      <c r="X120" s="33"/>
      <c r="Y120" s="33"/>
      <c r="Z120" s="33"/>
      <c r="AA120" s="33"/>
      <c r="AB120" s="33"/>
      <c r="AC120" s="33"/>
      <c r="AD120" s="33"/>
      <c r="AE120" s="33"/>
      <c r="AF120" s="33"/>
      <c r="AG120" s="33"/>
      <c r="AH120" s="33"/>
    </row>
    <row r="121">
      <c r="A121" s="33"/>
      <c r="B121" s="33"/>
      <c r="C121" s="33"/>
      <c r="D121" s="33"/>
      <c r="E121" s="33"/>
      <c r="F121" s="352"/>
      <c r="G121" s="350"/>
      <c r="H121" s="351"/>
      <c r="I121" s="122"/>
      <c r="J121" s="352"/>
      <c r="K121" s="350"/>
      <c r="L121" s="351"/>
      <c r="M121" s="33"/>
      <c r="N121" s="263"/>
      <c r="O121" s="263"/>
      <c r="P121" s="263"/>
      <c r="Q121" s="263"/>
      <c r="R121" s="263"/>
      <c r="S121" s="33"/>
      <c r="T121" s="33"/>
      <c r="U121" s="33"/>
      <c r="V121" s="33"/>
      <c r="W121" s="33"/>
      <c r="X121" s="33"/>
      <c r="Y121" s="33"/>
      <c r="Z121" s="33"/>
      <c r="AA121" s="33"/>
      <c r="AB121" s="33"/>
      <c r="AC121" s="33"/>
      <c r="AD121" s="33"/>
      <c r="AE121" s="33"/>
      <c r="AF121" s="33"/>
      <c r="AG121" s="33"/>
      <c r="AH121" s="33"/>
    </row>
    <row r="122">
      <c r="A122" s="33"/>
      <c r="B122" s="33"/>
      <c r="C122" s="33"/>
      <c r="D122" s="33"/>
      <c r="E122" s="33"/>
      <c r="F122" s="353"/>
      <c r="G122" s="354"/>
      <c r="H122" s="355"/>
      <c r="I122" s="122"/>
      <c r="J122" s="353"/>
      <c r="K122" s="354"/>
      <c r="L122" s="355"/>
      <c r="M122" s="33"/>
      <c r="N122" s="321" t="s">
        <v>557</v>
      </c>
      <c r="R122" s="322" t="str">
        <f>HYPERLINK(VLOOKUP(N122,$T$44:$X$116,5,FALSE),"WATCH VIDEO")</f>
        <v>WATCH VIDEO</v>
      </c>
      <c r="S122" s="33"/>
      <c r="T122" s="33"/>
      <c r="U122" s="33"/>
      <c r="V122" s="33"/>
      <c r="W122" s="33"/>
      <c r="X122" s="33"/>
      <c r="Y122" s="33"/>
      <c r="Z122" s="33"/>
      <c r="AA122" s="33"/>
      <c r="AB122" s="33"/>
      <c r="AC122" s="33"/>
      <c r="AD122" s="33"/>
      <c r="AE122" s="33"/>
      <c r="AF122" s="33"/>
      <c r="AG122" s="33"/>
      <c r="AH122" s="33"/>
    </row>
    <row r="123">
      <c r="A123" s="33"/>
      <c r="B123" s="33"/>
      <c r="C123" s="33"/>
      <c r="D123" s="33"/>
      <c r="E123" s="33"/>
      <c r="F123" s="120" t="s">
        <v>718</v>
      </c>
      <c r="G123" s="122"/>
      <c r="H123" s="122"/>
      <c r="I123" s="122"/>
      <c r="J123" s="120" t="s">
        <v>718</v>
      </c>
      <c r="K123" s="122"/>
      <c r="L123" s="122"/>
      <c r="M123" s="33"/>
      <c r="N123" s="296" t="str">
        <f>VLOOKUP(N122,$T$44:$X300,4,FALSE)</f>
        <v>Wrap a theraband or voodoo floss around a post, and get on the floor in a standing kneel. Set the band at belly button height.</v>
      </c>
      <c r="S123" s="33"/>
      <c r="T123" s="33"/>
      <c r="U123" s="33"/>
      <c r="V123" s="33"/>
      <c r="W123" s="33"/>
      <c r="X123" s="33"/>
      <c r="Y123" s="33"/>
      <c r="Z123" s="33"/>
      <c r="AA123" s="33"/>
      <c r="AB123" s="33"/>
      <c r="AC123" s="33"/>
      <c r="AD123" s="33"/>
      <c r="AE123" s="33"/>
      <c r="AF123" s="33"/>
      <c r="AG123" s="33"/>
      <c r="AH123" s="33"/>
    </row>
    <row r="124">
      <c r="A124" s="33"/>
      <c r="B124" s="33"/>
      <c r="C124" s="33"/>
      <c r="D124" s="33"/>
      <c r="E124" s="33"/>
      <c r="F124" s="352"/>
      <c r="G124" s="350"/>
      <c r="H124" s="351"/>
      <c r="I124" s="122"/>
      <c r="J124" s="352"/>
      <c r="K124" s="350"/>
      <c r="L124" s="351"/>
      <c r="M124" s="33"/>
      <c r="S124" s="33"/>
      <c r="T124" s="33"/>
      <c r="U124" s="33"/>
      <c r="V124" s="33"/>
      <c r="W124" s="33"/>
      <c r="X124" s="33"/>
      <c r="Y124" s="33"/>
      <c r="Z124" s="33"/>
      <c r="AA124" s="33"/>
      <c r="AB124" s="33"/>
      <c r="AC124" s="33"/>
      <c r="AD124" s="33"/>
      <c r="AE124" s="33"/>
      <c r="AF124" s="33"/>
      <c r="AG124" s="33"/>
      <c r="AH124" s="33"/>
    </row>
    <row r="125">
      <c r="A125" s="33"/>
      <c r="B125" s="33"/>
      <c r="C125" s="33"/>
      <c r="D125" s="33"/>
      <c r="E125" s="33"/>
      <c r="F125" s="356"/>
      <c r="H125" s="357"/>
      <c r="I125" s="122"/>
      <c r="J125" s="356"/>
      <c r="L125" s="357"/>
      <c r="M125" s="33"/>
      <c r="N125" s="263"/>
      <c r="O125" s="263"/>
      <c r="P125" s="263"/>
      <c r="Q125" s="263"/>
      <c r="R125" s="263"/>
      <c r="S125" s="33"/>
      <c r="T125" s="33"/>
      <c r="U125" s="33"/>
      <c r="V125" s="33"/>
      <c r="W125" s="33"/>
      <c r="X125" s="33"/>
      <c r="Y125" s="33"/>
      <c r="Z125" s="33"/>
      <c r="AA125" s="33"/>
      <c r="AB125" s="33"/>
      <c r="AC125" s="33"/>
      <c r="AD125" s="33"/>
      <c r="AE125" s="33"/>
      <c r="AF125" s="33"/>
      <c r="AG125" s="33"/>
      <c r="AH125" s="33"/>
    </row>
    <row r="126">
      <c r="A126" s="33"/>
      <c r="B126" s="33"/>
      <c r="C126" s="33"/>
      <c r="D126" s="33"/>
      <c r="E126" s="33"/>
      <c r="F126" s="353"/>
      <c r="G126" s="354"/>
      <c r="H126" s="355"/>
      <c r="I126" s="122"/>
      <c r="J126" s="353"/>
      <c r="K126" s="354"/>
      <c r="L126" s="355"/>
      <c r="M126" s="306">
        <v>7.0</v>
      </c>
      <c r="N126" s="308" t="s">
        <v>507</v>
      </c>
      <c r="O126" s="263"/>
      <c r="P126" s="263"/>
      <c r="Q126" s="263"/>
      <c r="R126" s="263"/>
      <c r="S126" s="33"/>
      <c r="T126" s="33"/>
      <c r="U126" s="33"/>
      <c r="V126" s="33"/>
      <c r="W126" s="33"/>
      <c r="X126" s="33"/>
      <c r="Y126" s="33"/>
      <c r="Z126" s="33"/>
      <c r="AA126" s="33"/>
      <c r="AB126" s="33"/>
      <c r="AC126" s="33"/>
      <c r="AD126" s="33"/>
      <c r="AE126" s="33"/>
      <c r="AF126" s="33"/>
      <c r="AG126" s="33"/>
      <c r="AH126" s="33"/>
    </row>
    <row r="127" ht="18.75" customHeight="1">
      <c r="A127" s="33"/>
      <c r="B127" s="33"/>
      <c r="C127" s="33"/>
      <c r="D127" s="33"/>
      <c r="E127" s="33"/>
      <c r="F127" s="120"/>
      <c r="G127" s="122"/>
      <c r="H127" s="122"/>
      <c r="I127" s="122"/>
      <c r="J127" s="122"/>
      <c r="K127" s="122"/>
      <c r="L127" s="358" t="s">
        <v>719</v>
      </c>
      <c r="M127" s="306"/>
      <c r="N127" s="310" t="s">
        <v>720</v>
      </c>
      <c r="O127" s="263"/>
      <c r="P127" s="263"/>
      <c r="Q127" s="263"/>
      <c r="R127" s="263"/>
      <c r="S127" s="33"/>
      <c r="T127" s="33"/>
      <c r="U127" s="33"/>
      <c r="V127" s="33"/>
      <c r="W127" s="33"/>
      <c r="X127" s="33"/>
      <c r="Y127" s="33"/>
      <c r="Z127" s="33"/>
      <c r="AA127" s="33"/>
      <c r="AB127" s="33"/>
      <c r="AC127" s="33"/>
      <c r="AD127" s="33"/>
      <c r="AE127" s="33"/>
      <c r="AF127" s="33"/>
      <c r="AG127" s="33"/>
      <c r="AH127" s="33"/>
    </row>
    <row r="128" ht="19.5" customHeight="1">
      <c r="A128" s="33"/>
      <c r="B128" s="33"/>
      <c r="C128" s="33"/>
      <c r="D128" s="33"/>
      <c r="E128" s="33"/>
      <c r="F128" s="122"/>
      <c r="G128" s="122"/>
      <c r="H128" s="122"/>
      <c r="I128" s="122"/>
      <c r="J128" s="122"/>
      <c r="K128" s="122"/>
      <c r="L128" s="122"/>
      <c r="M128" s="33"/>
      <c r="N128" s="321" t="s">
        <v>506</v>
      </c>
      <c r="R128" s="322" t="str">
        <f>HYPERLINK(VLOOKUP(N128,$T$44:$X$116,5,FALSE),"WATCH VIDEO")</f>
        <v>WATCH VIDEO</v>
      </c>
      <c r="S128" s="33"/>
      <c r="T128" s="33"/>
      <c r="U128" s="33"/>
      <c r="V128" s="33"/>
      <c r="W128" s="33"/>
      <c r="X128" s="33"/>
      <c r="Y128" s="33"/>
      <c r="Z128" s="33"/>
      <c r="AA128" s="33"/>
      <c r="AB128" s="33"/>
      <c r="AC128" s="33"/>
      <c r="AD128" s="33"/>
      <c r="AE128" s="33"/>
      <c r="AF128" s="33"/>
      <c r="AG128" s="33"/>
      <c r="AH128" s="33"/>
    </row>
    <row r="129">
      <c r="A129" s="33"/>
      <c r="B129" s="33"/>
      <c r="C129" s="33"/>
      <c r="D129" s="33"/>
      <c r="E129" s="33"/>
      <c r="F129" s="359"/>
      <c r="G129" s="122"/>
      <c r="H129" s="122"/>
      <c r="I129" s="360" t="s">
        <v>721</v>
      </c>
      <c r="J129" s="122"/>
      <c r="K129" s="122"/>
      <c r="L129" s="122"/>
      <c r="M129" s="33"/>
      <c r="N129" s="296" t="str">
        <f>VLOOKUP(N128,$T$44:$X300,4,FALSE)</f>
        <v>Take a look at the main lift rep count and load. If reps are 8-10, start with warmup sets at 6-8, then 3-5, then 2-4 until you are ready to begin. If reps are 3-5, start with warmup sets of 6-8, then 2-4, then 1-3, repeating 1-3 until you are within range. For 1-3, start with 3-5, then 1-3, repeating sets until you are within range. Combine with autoregulation to determine the appropriate load and sensible jump sizes.</v>
      </c>
      <c r="S129" s="33"/>
      <c r="T129" s="33"/>
      <c r="U129" s="33"/>
      <c r="V129" s="33"/>
      <c r="W129" s="33"/>
      <c r="X129" s="33"/>
      <c r="Y129" s="33"/>
      <c r="Z129" s="33"/>
      <c r="AA129" s="33"/>
      <c r="AB129" s="33"/>
      <c r="AC129" s="33"/>
      <c r="AD129" s="33"/>
      <c r="AE129" s="33"/>
      <c r="AF129" s="33"/>
      <c r="AG129" s="33"/>
      <c r="AH129" s="33"/>
    </row>
    <row r="130">
      <c r="A130" s="33"/>
      <c r="B130" s="33"/>
      <c r="C130" s="33"/>
      <c r="D130" s="33"/>
      <c r="E130" s="33"/>
      <c r="F130" s="359"/>
      <c r="G130" s="122"/>
      <c r="H130" s="122"/>
      <c r="I130" s="360" t="s">
        <v>722</v>
      </c>
      <c r="J130" s="122"/>
      <c r="K130" s="122"/>
      <c r="L130" s="122"/>
      <c r="M130" s="33"/>
      <c r="S130" s="33"/>
      <c r="T130" s="33"/>
      <c r="U130" s="33"/>
      <c r="V130" s="33"/>
      <c r="W130" s="33"/>
      <c r="X130" s="33"/>
      <c r="Y130" s="33"/>
      <c r="Z130" s="33"/>
      <c r="AA130" s="33"/>
      <c r="AB130" s="33"/>
      <c r="AC130" s="33"/>
      <c r="AD130" s="33"/>
      <c r="AE130" s="33"/>
      <c r="AF130" s="33"/>
      <c r="AG130" s="33"/>
      <c r="AH130" s="33"/>
    </row>
    <row r="131">
      <c r="A131" s="33"/>
      <c r="B131" s="33"/>
      <c r="C131" s="33"/>
      <c r="D131" s="33"/>
      <c r="E131" s="33"/>
      <c r="F131" s="359"/>
      <c r="G131" s="122"/>
      <c r="H131" s="122"/>
      <c r="I131" s="361"/>
      <c r="J131" s="122"/>
      <c r="K131" s="122"/>
      <c r="L131" s="122"/>
      <c r="M131" s="33"/>
      <c r="S131" s="33"/>
      <c r="T131" s="33"/>
      <c r="U131" s="33"/>
      <c r="V131" s="33"/>
      <c r="W131" s="33"/>
      <c r="X131" s="33"/>
      <c r="Y131" s="33"/>
      <c r="Z131" s="33"/>
      <c r="AA131" s="33"/>
      <c r="AB131" s="33"/>
      <c r="AC131" s="33"/>
      <c r="AD131" s="33"/>
      <c r="AE131" s="33"/>
      <c r="AF131" s="33"/>
      <c r="AG131" s="33"/>
      <c r="AH131" s="33"/>
    </row>
    <row r="132">
      <c r="A132" s="33"/>
      <c r="B132" s="33"/>
      <c r="C132" s="33"/>
      <c r="D132" s="33"/>
      <c r="E132" s="33"/>
      <c r="F132" s="122"/>
      <c r="G132" s="122"/>
      <c r="H132" s="122"/>
      <c r="I132" s="122"/>
      <c r="J132" s="122"/>
      <c r="K132" s="122"/>
      <c r="L132" s="122"/>
      <c r="M132" s="33"/>
      <c r="S132" s="33"/>
      <c r="T132" s="33"/>
      <c r="U132" s="33"/>
      <c r="V132" s="33"/>
      <c r="W132" s="33"/>
      <c r="X132" s="33"/>
      <c r="Y132" s="33"/>
      <c r="Z132" s="33"/>
      <c r="AA132" s="33"/>
      <c r="AB132" s="33"/>
      <c r="AC132" s="33"/>
      <c r="AD132" s="33"/>
      <c r="AE132" s="33"/>
      <c r="AF132" s="33"/>
      <c r="AG132" s="33"/>
      <c r="AH132" s="33"/>
    </row>
    <row r="133">
      <c r="A133" s="33"/>
      <c r="B133" s="33"/>
      <c r="C133" s="33"/>
      <c r="D133" s="33"/>
      <c r="E133" s="33"/>
      <c r="F133" s="33"/>
      <c r="G133" s="33"/>
      <c r="H133" s="33"/>
      <c r="I133" s="33"/>
      <c r="J133" s="33"/>
      <c r="K133" s="33"/>
      <c r="L133" s="33"/>
      <c r="M133" s="33"/>
      <c r="S133" s="33"/>
      <c r="T133" s="33"/>
      <c r="U133" s="33"/>
      <c r="V133" s="33"/>
      <c r="W133" s="33"/>
      <c r="X133" s="33"/>
      <c r="Y133" s="33"/>
      <c r="Z133" s="33"/>
      <c r="AA133" s="33"/>
      <c r="AB133" s="33"/>
      <c r="AC133" s="33"/>
      <c r="AD133" s="33"/>
      <c r="AE133" s="33"/>
      <c r="AF133" s="33"/>
      <c r="AG133" s="33"/>
      <c r="AH133" s="33"/>
    </row>
    <row r="134" ht="18.0" customHeight="1">
      <c r="A134" s="33"/>
      <c r="B134" s="33"/>
      <c r="C134" s="33"/>
      <c r="D134" s="33"/>
      <c r="E134" s="33"/>
      <c r="F134" s="362"/>
      <c r="G134" s="362"/>
      <c r="H134" s="362"/>
      <c r="I134" s="362"/>
      <c r="J134" s="362"/>
      <c r="K134" s="362"/>
      <c r="L134" s="362"/>
      <c r="M134" s="362"/>
      <c r="N134" s="362"/>
      <c r="O134" s="362"/>
      <c r="P134" s="362"/>
      <c r="Q134" s="363"/>
      <c r="R134" s="363"/>
      <c r="S134" s="33"/>
      <c r="T134" s="33"/>
      <c r="U134" s="33"/>
      <c r="V134" s="33"/>
      <c r="W134" s="33"/>
      <c r="X134" s="33"/>
      <c r="Y134" s="33"/>
      <c r="Z134" s="33"/>
      <c r="AA134" s="33"/>
      <c r="AB134" s="33"/>
      <c r="AC134" s="33"/>
      <c r="AD134" s="33"/>
      <c r="AE134" s="33"/>
      <c r="AF134" s="33"/>
      <c r="AG134" s="33"/>
      <c r="AH134" s="33"/>
    </row>
    <row r="135" ht="18.0" customHeight="1">
      <c r="A135" s="33"/>
      <c r="B135" s="33"/>
      <c r="C135" s="33"/>
      <c r="D135" s="33"/>
      <c r="E135" s="33"/>
      <c r="F135" s="362"/>
      <c r="G135" s="362"/>
      <c r="H135" s="362"/>
      <c r="I135" s="362"/>
      <c r="J135" s="362"/>
      <c r="K135" s="362"/>
      <c r="L135" s="362"/>
      <c r="M135" s="362"/>
      <c r="N135" s="362"/>
      <c r="O135" s="362"/>
      <c r="P135" s="362"/>
      <c r="Q135" s="363"/>
      <c r="R135" s="363"/>
      <c r="S135" s="33"/>
      <c r="T135" s="33"/>
      <c r="U135" s="33"/>
      <c r="V135" s="33"/>
      <c r="W135" s="33"/>
      <c r="X135" s="33"/>
      <c r="Y135" s="33"/>
      <c r="Z135" s="33"/>
      <c r="AA135" s="33"/>
      <c r="AB135" s="33"/>
      <c r="AC135" s="33"/>
      <c r="AD135" s="33"/>
      <c r="AE135" s="33"/>
      <c r="AF135" s="33"/>
      <c r="AG135" s="33"/>
      <c r="AH135" s="33"/>
    </row>
    <row r="136">
      <c r="A136" s="33"/>
      <c r="B136" s="33"/>
      <c r="C136" s="33"/>
      <c r="D136" s="33"/>
      <c r="E136" s="33"/>
      <c r="F136" s="362"/>
      <c r="G136" s="362"/>
      <c r="H136" s="362"/>
      <c r="I136" s="362"/>
      <c r="J136" s="362"/>
      <c r="K136" s="362"/>
      <c r="L136" s="362"/>
      <c r="M136" s="362"/>
      <c r="N136" s="362"/>
      <c r="O136" s="362"/>
      <c r="P136" s="362"/>
      <c r="Q136" s="363"/>
      <c r="R136" s="363"/>
      <c r="S136" s="33"/>
      <c r="T136" s="33"/>
      <c r="U136" s="33"/>
      <c r="V136" s="33"/>
      <c r="W136" s="33"/>
      <c r="X136" s="33"/>
      <c r="Y136" s="33"/>
      <c r="Z136" s="33"/>
      <c r="AA136" s="33"/>
      <c r="AB136" s="33"/>
      <c r="AC136" s="33"/>
      <c r="AD136" s="33"/>
      <c r="AE136" s="33"/>
      <c r="AF136" s="33"/>
      <c r="AG136" s="33"/>
      <c r="AH136" s="33"/>
    </row>
    <row r="137">
      <c r="A137" s="33"/>
      <c r="B137" s="33"/>
      <c r="C137" s="33"/>
      <c r="D137" s="33"/>
      <c r="E137" s="33"/>
      <c r="F137" s="362"/>
      <c r="G137" s="362"/>
      <c r="H137" s="362"/>
      <c r="I137" s="362"/>
      <c r="J137" s="362"/>
      <c r="K137" s="362"/>
      <c r="L137" s="362"/>
      <c r="M137" s="362"/>
      <c r="N137" s="362"/>
      <c r="O137" s="362"/>
      <c r="P137" s="362"/>
      <c r="Q137" s="363"/>
      <c r="R137" s="363"/>
      <c r="S137" s="33"/>
      <c r="T137" s="33"/>
      <c r="U137" s="33"/>
      <c r="V137" s="33"/>
      <c r="W137" s="33"/>
      <c r="X137" s="33"/>
      <c r="Y137" s="33"/>
      <c r="Z137" s="33"/>
      <c r="AA137" s="33"/>
      <c r="AB137" s="33"/>
      <c r="AC137" s="33"/>
      <c r="AD137" s="33"/>
      <c r="AE137" s="33"/>
      <c r="AF137" s="33"/>
      <c r="AG137" s="33"/>
      <c r="AH137" s="33"/>
    </row>
    <row r="138">
      <c r="A138" s="33"/>
      <c r="B138" s="33"/>
      <c r="C138" s="33"/>
      <c r="D138" s="33"/>
      <c r="E138" s="33"/>
      <c r="F138" s="362"/>
      <c r="G138" s="362"/>
      <c r="H138" s="362"/>
      <c r="I138" s="362"/>
      <c r="J138" s="362"/>
      <c r="K138" s="362"/>
      <c r="L138" s="362"/>
      <c r="M138" s="362"/>
      <c r="N138" s="362"/>
      <c r="O138" s="362"/>
      <c r="P138" s="362"/>
      <c r="Q138" s="363"/>
      <c r="R138" s="363"/>
      <c r="S138" s="33"/>
      <c r="T138" s="33"/>
      <c r="U138" s="33"/>
      <c r="V138" s="33"/>
      <c r="W138" s="33"/>
      <c r="X138" s="33"/>
      <c r="Y138" s="33"/>
      <c r="Z138" s="33"/>
      <c r="AA138" s="33"/>
      <c r="AB138" s="33"/>
      <c r="AC138" s="33"/>
      <c r="AD138" s="33"/>
      <c r="AE138" s="33"/>
      <c r="AF138" s="33"/>
      <c r="AG138" s="33"/>
      <c r="AH138" s="33"/>
    </row>
    <row r="139">
      <c r="A139" s="33"/>
      <c r="B139" s="33"/>
      <c r="C139" s="33"/>
      <c r="D139" s="33"/>
      <c r="E139" s="33"/>
      <c r="F139" s="362"/>
      <c r="G139" s="362"/>
      <c r="H139" s="362"/>
      <c r="I139" s="362"/>
      <c r="J139" s="362"/>
      <c r="K139" s="362"/>
      <c r="L139" s="362"/>
      <c r="M139" s="362"/>
      <c r="N139" s="362"/>
      <c r="O139" s="362"/>
      <c r="P139" s="362"/>
      <c r="Q139" s="363"/>
      <c r="R139" s="363"/>
      <c r="S139" s="33"/>
      <c r="T139" s="33"/>
      <c r="U139" s="33"/>
      <c r="V139" s="33"/>
      <c r="W139" s="33"/>
      <c r="X139" s="33"/>
      <c r="Y139" s="33"/>
      <c r="Z139" s="33"/>
      <c r="AA139" s="33"/>
      <c r="AB139" s="33"/>
      <c r="AC139" s="33"/>
      <c r="AD139" s="33"/>
      <c r="AE139" s="33"/>
      <c r="AF139" s="33"/>
      <c r="AG139" s="33"/>
      <c r="AH139" s="33"/>
    </row>
    <row r="140">
      <c r="A140" s="33"/>
      <c r="B140" s="33"/>
      <c r="C140" s="33"/>
      <c r="D140" s="33"/>
      <c r="E140" s="33"/>
      <c r="F140" s="362"/>
      <c r="G140" s="362"/>
      <c r="H140" s="362"/>
      <c r="I140" s="362"/>
      <c r="J140" s="362"/>
      <c r="K140" s="362"/>
      <c r="L140" s="362"/>
      <c r="M140" s="362"/>
      <c r="N140" s="362"/>
      <c r="O140" s="362"/>
      <c r="P140" s="362"/>
      <c r="Q140" s="363"/>
      <c r="R140" s="363"/>
      <c r="S140" s="33"/>
      <c r="T140" s="33"/>
      <c r="U140" s="33"/>
      <c r="V140" s="33"/>
      <c r="W140" s="33"/>
      <c r="X140" s="33"/>
      <c r="Y140" s="33"/>
      <c r="Z140" s="33"/>
      <c r="AA140" s="33"/>
      <c r="AB140" s="33"/>
      <c r="AC140" s="33"/>
      <c r="AD140" s="33"/>
      <c r="AE140" s="33"/>
      <c r="AF140" s="33"/>
      <c r="AG140" s="33"/>
      <c r="AH140" s="33"/>
    </row>
    <row r="141">
      <c r="A141" s="33"/>
      <c r="B141" s="33"/>
      <c r="C141" s="33"/>
      <c r="D141" s="33"/>
      <c r="E141" s="33"/>
      <c r="F141" s="362"/>
      <c r="G141" s="362"/>
      <c r="H141" s="362"/>
      <c r="I141" s="362"/>
      <c r="J141" s="362"/>
      <c r="K141" s="362"/>
      <c r="L141" s="362"/>
      <c r="M141" s="362"/>
      <c r="N141" s="362"/>
      <c r="O141" s="362"/>
      <c r="P141" s="362"/>
      <c r="Q141" s="363"/>
      <c r="R141" s="363"/>
      <c r="S141" s="33"/>
      <c r="T141" s="33"/>
      <c r="U141" s="33"/>
      <c r="V141" s="33"/>
      <c r="W141" s="33"/>
      <c r="X141" s="33"/>
      <c r="Y141" s="33"/>
      <c r="Z141" s="33"/>
      <c r="AA141" s="33"/>
      <c r="AB141" s="33"/>
      <c r="AC141" s="33"/>
      <c r="AD141" s="33"/>
      <c r="AE141" s="33"/>
      <c r="AF141" s="33"/>
      <c r="AG141" s="33"/>
      <c r="AH141" s="33"/>
    </row>
    <row r="142">
      <c r="A142" s="33"/>
      <c r="B142" s="33"/>
      <c r="C142" s="33"/>
      <c r="D142" s="33"/>
      <c r="E142" s="33"/>
      <c r="F142" s="33"/>
      <c r="G142" s="33"/>
      <c r="H142" s="33"/>
      <c r="I142" s="33"/>
      <c r="J142" s="33"/>
      <c r="K142" s="33"/>
      <c r="L142" s="33"/>
      <c r="M142" s="33"/>
      <c r="N142" s="33"/>
      <c r="O142" s="33"/>
      <c r="P142" s="33"/>
      <c r="Q142" s="184"/>
      <c r="R142" s="184"/>
      <c r="S142" s="33"/>
      <c r="T142" s="33"/>
      <c r="U142" s="33"/>
      <c r="V142" s="33"/>
      <c r="W142" s="33"/>
      <c r="X142" s="33"/>
      <c r="Y142" s="33"/>
      <c r="Z142" s="33"/>
      <c r="AA142" s="33"/>
      <c r="AB142" s="33"/>
      <c r="AC142" s="33"/>
      <c r="AD142" s="33"/>
      <c r="AE142" s="33"/>
      <c r="AF142" s="33"/>
      <c r="AG142" s="33"/>
      <c r="AH142" s="33"/>
    </row>
    <row r="143">
      <c r="A143" s="33"/>
      <c r="B143" s="33"/>
      <c r="C143" s="33"/>
      <c r="D143" s="33"/>
      <c r="E143" s="33"/>
      <c r="F143" s="33"/>
      <c r="G143" s="33"/>
      <c r="H143" s="33"/>
      <c r="I143" s="33"/>
      <c r="J143" s="33"/>
      <c r="K143" s="33"/>
      <c r="L143" s="33"/>
      <c r="M143" s="33"/>
      <c r="N143" s="33"/>
      <c r="O143" s="33"/>
      <c r="P143" s="33"/>
      <c r="Q143" s="184"/>
      <c r="R143" s="184"/>
      <c r="S143" s="33"/>
      <c r="T143" s="33"/>
      <c r="U143" s="33"/>
      <c r="V143" s="33"/>
      <c r="W143" s="33"/>
      <c r="X143" s="33"/>
      <c r="Y143" s="33"/>
      <c r="Z143" s="33"/>
      <c r="AA143" s="33"/>
      <c r="AB143" s="33"/>
      <c r="AC143" s="33"/>
      <c r="AD143" s="33"/>
      <c r="AE143" s="33"/>
      <c r="AF143" s="33"/>
      <c r="AG143" s="33"/>
      <c r="AH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row>
    <row r="203">
      <c r="A203" s="33"/>
      <c r="B203" s="33"/>
      <c r="C203" s="33"/>
      <c r="D203" s="33"/>
      <c r="E203" s="33"/>
      <c r="F203" s="33"/>
      <c r="G203" s="6" t="s">
        <v>723</v>
      </c>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row>
    <row r="205">
      <c r="A205" s="33"/>
      <c r="B205" s="33"/>
      <c r="C205" s="33"/>
      <c r="D205" s="33"/>
      <c r="E205" s="33"/>
      <c r="F205" s="33"/>
      <c r="G205" s="347" t="s">
        <v>724</v>
      </c>
      <c r="H205" s="122"/>
      <c r="I205" s="122"/>
      <c r="J205" s="364" t="s">
        <v>725</v>
      </c>
      <c r="M205" s="33"/>
      <c r="N205" s="33"/>
      <c r="O205" s="33"/>
      <c r="P205" s="33"/>
      <c r="Q205" s="33"/>
      <c r="R205" s="33"/>
      <c r="S205" s="33"/>
      <c r="T205" s="33"/>
      <c r="U205" s="33"/>
      <c r="V205" s="33"/>
      <c r="W205" s="33"/>
      <c r="X205" s="33"/>
      <c r="Y205" s="33"/>
      <c r="Z205" s="33"/>
      <c r="AA205" s="33"/>
      <c r="AB205" s="33"/>
      <c r="AC205" s="33"/>
      <c r="AD205" s="33"/>
      <c r="AE205" s="33"/>
      <c r="AF205" s="33"/>
      <c r="AG205" s="33"/>
      <c r="AH205" s="33"/>
    </row>
    <row r="206" ht="43.5" customHeight="1">
      <c r="A206" s="33"/>
      <c r="B206" s="33"/>
      <c r="C206" s="33"/>
      <c r="D206" s="33"/>
      <c r="E206" s="33"/>
      <c r="F206" s="33"/>
      <c r="G206" s="365"/>
      <c r="H206" s="366"/>
      <c r="I206" s="366"/>
      <c r="J206" s="366"/>
      <c r="K206" s="366"/>
      <c r="L206" s="367"/>
      <c r="M206" s="33"/>
      <c r="N206" s="33"/>
      <c r="O206" s="33"/>
      <c r="P206" s="33"/>
      <c r="Q206" s="33"/>
      <c r="R206" s="33"/>
      <c r="S206" s="33"/>
      <c r="T206" s="33"/>
      <c r="U206" s="33"/>
      <c r="V206" s="33"/>
      <c r="W206" s="33"/>
      <c r="X206" s="33"/>
      <c r="Y206" s="33"/>
      <c r="Z206" s="33"/>
      <c r="AA206" s="33"/>
      <c r="AB206" s="33"/>
      <c r="AC206" s="33"/>
      <c r="AD206" s="33"/>
      <c r="AE206" s="33"/>
      <c r="AF206" s="33"/>
      <c r="AG206" s="33"/>
      <c r="AH206" s="33"/>
    </row>
    <row r="207">
      <c r="A207" s="33"/>
      <c r="B207" s="33"/>
      <c r="C207" s="33"/>
      <c r="D207" s="33"/>
      <c r="E207" s="33"/>
      <c r="F207" s="33"/>
      <c r="G207" s="347" t="s">
        <v>726</v>
      </c>
      <c r="H207" s="122"/>
      <c r="I207" s="122"/>
      <c r="J207" s="122"/>
      <c r="K207" s="122"/>
      <c r="L207" s="122"/>
      <c r="M207" s="33"/>
      <c r="N207" s="33"/>
      <c r="O207" s="33"/>
      <c r="P207" s="33"/>
      <c r="Q207" s="33"/>
      <c r="R207" s="33"/>
      <c r="S207" s="33"/>
      <c r="T207" s="33"/>
      <c r="U207" s="33"/>
      <c r="V207" s="33"/>
      <c r="W207" s="33"/>
      <c r="X207" s="33"/>
      <c r="Y207" s="33"/>
      <c r="Z207" s="33"/>
      <c r="AA207" s="33"/>
      <c r="AB207" s="33"/>
      <c r="AC207" s="33"/>
      <c r="AD207" s="33"/>
      <c r="AE207" s="33"/>
      <c r="AF207" s="33"/>
      <c r="AG207" s="33"/>
      <c r="AH207" s="33"/>
    </row>
    <row r="208" ht="45.0" customHeight="1">
      <c r="A208" s="33"/>
      <c r="B208" s="33"/>
      <c r="C208" s="33"/>
      <c r="D208" s="33"/>
      <c r="E208" s="33"/>
      <c r="F208" s="33"/>
      <c r="G208" s="365"/>
      <c r="H208" s="366"/>
      <c r="I208" s="366"/>
      <c r="J208" s="366"/>
      <c r="K208" s="366"/>
      <c r="L208" s="367"/>
      <c r="M208" s="33"/>
      <c r="N208" s="33"/>
      <c r="O208" s="33"/>
      <c r="P208" s="33"/>
      <c r="Q208" s="33"/>
      <c r="R208" s="33"/>
      <c r="S208" s="33"/>
      <c r="T208" s="33"/>
      <c r="U208" s="33"/>
      <c r="V208" s="33"/>
      <c r="W208" s="33"/>
      <c r="X208" s="33"/>
      <c r="Y208" s="33"/>
      <c r="Z208" s="33"/>
      <c r="AA208" s="33"/>
      <c r="AB208" s="33"/>
      <c r="AC208" s="33"/>
      <c r="AD208" s="33"/>
      <c r="AE208" s="33"/>
      <c r="AF208" s="33"/>
      <c r="AG208" s="33"/>
      <c r="AH208" s="33"/>
    </row>
    <row r="209">
      <c r="A209" s="33"/>
      <c r="B209" s="33"/>
      <c r="C209" s="33"/>
      <c r="D209" s="33"/>
      <c r="E209" s="33"/>
      <c r="F209" s="33"/>
      <c r="G209" s="347" t="s">
        <v>727</v>
      </c>
      <c r="H209" s="122"/>
      <c r="I209" s="122"/>
      <c r="J209" s="122"/>
      <c r="K209" s="122"/>
      <c r="L209" s="122"/>
      <c r="M209" s="33"/>
      <c r="N209" s="33"/>
      <c r="O209" s="33"/>
      <c r="P209" s="33"/>
      <c r="Q209" s="33"/>
      <c r="R209" s="33"/>
      <c r="S209" s="33"/>
      <c r="T209" s="33"/>
      <c r="U209" s="33"/>
      <c r="V209" s="33"/>
      <c r="W209" s="33"/>
      <c r="X209" s="33"/>
      <c r="Y209" s="33"/>
      <c r="Z209" s="33"/>
      <c r="AA209" s="33"/>
      <c r="AB209" s="33"/>
      <c r="AC209" s="33"/>
      <c r="AD209" s="33"/>
      <c r="AE209" s="33"/>
      <c r="AF209" s="33"/>
      <c r="AG209" s="33"/>
      <c r="AH209" s="33"/>
    </row>
    <row r="210" ht="43.5" customHeight="1">
      <c r="A210" s="33"/>
      <c r="B210" s="33"/>
      <c r="C210" s="33"/>
      <c r="D210" s="33"/>
      <c r="E210" s="33"/>
      <c r="F210" s="33"/>
      <c r="G210" s="365"/>
      <c r="H210" s="366"/>
      <c r="I210" s="366"/>
      <c r="J210" s="366"/>
      <c r="K210" s="366"/>
      <c r="L210" s="367"/>
      <c r="M210" s="33"/>
      <c r="N210" s="33"/>
      <c r="O210" s="33"/>
      <c r="P210" s="33"/>
      <c r="Q210" s="33"/>
      <c r="R210" s="33"/>
      <c r="S210" s="33"/>
      <c r="T210" s="33"/>
      <c r="U210" s="33"/>
      <c r="V210" s="33"/>
      <c r="W210" s="33"/>
      <c r="X210" s="33"/>
      <c r="Y210" s="33"/>
      <c r="Z210" s="33"/>
      <c r="AA210" s="33"/>
      <c r="AB210" s="33"/>
      <c r="AC210" s="33"/>
      <c r="AD210" s="33"/>
      <c r="AE210" s="33"/>
      <c r="AF210" s="33"/>
      <c r="AG210" s="33"/>
      <c r="AH210" s="33"/>
    </row>
    <row r="211">
      <c r="A211" s="33"/>
      <c r="B211" s="33"/>
      <c r="C211" s="33"/>
      <c r="D211" s="33"/>
      <c r="E211" s="33"/>
      <c r="F211" s="33"/>
      <c r="G211" s="347" t="s">
        <v>728</v>
      </c>
      <c r="H211" s="122"/>
      <c r="I211" s="122"/>
      <c r="J211" s="122"/>
      <c r="K211" s="122"/>
      <c r="L211" s="122"/>
      <c r="M211" s="33"/>
      <c r="N211" s="33"/>
      <c r="O211" s="33"/>
      <c r="P211" s="33"/>
      <c r="Q211" s="33"/>
      <c r="R211" s="33"/>
      <c r="S211" s="33"/>
      <c r="T211" s="33"/>
      <c r="U211" s="33"/>
      <c r="V211" s="33"/>
      <c r="W211" s="33"/>
      <c r="X211" s="33"/>
      <c r="Y211" s="33"/>
      <c r="Z211" s="33"/>
      <c r="AA211" s="33"/>
      <c r="AB211" s="33"/>
      <c r="AC211" s="33"/>
      <c r="AD211" s="33"/>
      <c r="AE211" s="33"/>
      <c r="AF211" s="33"/>
      <c r="AG211" s="33"/>
      <c r="AH211" s="33"/>
    </row>
    <row r="212" ht="33.0" customHeight="1">
      <c r="A212" s="33"/>
      <c r="B212" s="33"/>
      <c r="C212" s="33"/>
      <c r="D212" s="33"/>
      <c r="E212" s="33"/>
      <c r="F212" s="33"/>
      <c r="G212" s="365"/>
      <c r="H212" s="366"/>
      <c r="I212" s="366"/>
      <c r="J212" s="366"/>
      <c r="K212" s="366"/>
      <c r="L212" s="367"/>
      <c r="M212" s="33"/>
      <c r="N212" s="33"/>
      <c r="O212" s="33"/>
      <c r="P212" s="33"/>
      <c r="Q212" s="33"/>
      <c r="R212" s="33"/>
      <c r="S212" s="33"/>
      <c r="T212" s="33"/>
      <c r="U212" s="33"/>
      <c r="V212" s="33"/>
      <c r="W212" s="33"/>
      <c r="X212" s="33"/>
      <c r="Y212" s="33"/>
      <c r="Z212" s="33"/>
      <c r="AA212" s="33"/>
      <c r="AB212" s="33"/>
      <c r="AC212" s="33"/>
      <c r="AD212" s="33"/>
      <c r="AE212" s="33"/>
      <c r="AF212" s="33"/>
      <c r="AG212" s="33"/>
      <c r="AH212" s="33"/>
    </row>
    <row r="213">
      <c r="A213" s="33"/>
      <c r="B213" s="33"/>
      <c r="C213" s="33"/>
      <c r="D213" s="33"/>
      <c r="E213" s="33"/>
      <c r="F213" s="33"/>
      <c r="G213" s="347" t="s">
        <v>729</v>
      </c>
      <c r="H213" s="122"/>
      <c r="I213" s="122"/>
      <c r="J213" s="122"/>
      <c r="K213" s="122"/>
      <c r="L213" s="122"/>
      <c r="M213" s="33"/>
      <c r="N213" s="33"/>
      <c r="O213" s="33"/>
      <c r="P213" s="33"/>
      <c r="Q213" s="33"/>
      <c r="R213" s="33"/>
      <c r="S213" s="33"/>
      <c r="T213" s="33"/>
      <c r="U213" s="33"/>
      <c r="V213" s="33"/>
      <c r="W213" s="33"/>
      <c r="X213" s="33"/>
      <c r="Y213" s="33"/>
      <c r="Z213" s="33"/>
      <c r="AA213" s="33"/>
      <c r="AB213" s="33"/>
      <c r="AC213" s="33"/>
      <c r="AD213" s="33"/>
      <c r="AE213" s="33"/>
      <c r="AF213" s="33"/>
      <c r="AG213" s="33"/>
      <c r="AH213" s="33"/>
    </row>
    <row r="214" ht="42.0" customHeight="1">
      <c r="A214" s="33"/>
      <c r="B214" s="33"/>
      <c r="C214" s="33"/>
      <c r="D214" s="33"/>
      <c r="E214" s="33"/>
      <c r="F214" s="33"/>
      <c r="G214" s="365"/>
      <c r="H214" s="366"/>
      <c r="I214" s="366"/>
      <c r="J214" s="366"/>
      <c r="K214" s="366"/>
      <c r="L214" s="367"/>
      <c r="M214" s="33"/>
      <c r="N214" s="33"/>
      <c r="O214" s="33"/>
      <c r="P214" s="33"/>
      <c r="Q214" s="33"/>
      <c r="R214" s="33"/>
      <c r="S214" s="33"/>
      <c r="T214" s="33"/>
      <c r="U214" s="33"/>
      <c r="V214" s="33"/>
      <c r="W214" s="33"/>
      <c r="X214" s="33"/>
      <c r="Y214" s="33"/>
      <c r="Z214" s="33"/>
      <c r="AA214" s="33"/>
      <c r="AB214" s="33"/>
      <c r="AC214" s="33"/>
      <c r="AD214" s="33"/>
      <c r="AE214" s="33"/>
      <c r="AF214" s="33"/>
      <c r="AG214" s="33"/>
      <c r="AH214" s="33"/>
    </row>
    <row r="215">
      <c r="A215" s="33"/>
      <c r="B215" s="33"/>
      <c r="C215" s="33"/>
      <c r="D215" s="33"/>
      <c r="E215" s="33"/>
      <c r="F215" s="33"/>
      <c r="G215" s="347" t="s">
        <v>730</v>
      </c>
      <c r="H215" s="122"/>
      <c r="I215" s="122"/>
      <c r="J215" s="122"/>
      <c r="K215" s="122"/>
      <c r="L215" s="122"/>
      <c r="M215" s="33"/>
      <c r="N215" s="33"/>
      <c r="O215" s="33"/>
      <c r="P215" s="33"/>
      <c r="Q215" s="33"/>
      <c r="R215" s="33"/>
      <c r="S215" s="33"/>
      <c r="T215" s="33"/>
      <c r="U215" s="33"/>
      <c r="V215" s="33"/>
      <c r="W215" s="33"/>
      <c r="X215" s="33"/>
      <c r="Y215" s="33"/>
      <c r="Z215" s="33"/>
      <c r="AA215" s="33"/>
      <c r="AB215" s="33"/>
      <c r="AC215" s="33"/>
      <c r="AD215" s="33"/>
      <c r="AE215" s="33"/>
      <c r="AF215" s="33"/>
      <c r="AG215" s="33"/>
      <c r="AH215" s="33"/>
    </row>
    <row r="216" ht="50.25" customHeight="1">
      <c r="A216" s="33"/>
      <c r="B216" s="33"/>
      <c r="C216" s="33"/>
      <c r="D216" s="33"/>
      <c r="E216" s="33"/>
      <c r="F216" s="33"/>
      <c r="G216" s="365"/>
      <c r="H216" s="366"/>
      <c r="I216" s="366"/>
      <c r="J216" s="366"/>
      <c r="K216" s="366"/>
      <c r="L216" s="367"/>
      <c r="M216" s="33"/>
      <c r="N216" s="33"/>
      <c r="O216" s="33"/>
      <c r="P216" s="33"/>
      <c r="Q216" s="33"/>
      <c r="R216" s="33"/>
      <c r="S216" s="33"/>
      <c r="T216" s="33"/>
      <c r="U216" s="33"/>
      <c r="V216" s="33"/>
      <c r="W216" s="33"/>
      <c r="X216" s="33"/>
      <c r="Y216" s="33"/>
      <c r="Z216" s="33"/>
      <c r="AA216" s="33"/>
      <c r="AB216" s="33"/>
      <c r="AC216" s="33"/>
      <c r="AD216" s="33"/>
      <c r="AE216" s="33"/>
      <c r="AF216" s="33"/>
      <c r="AG216" s="33"/>
      <c r="AH216" s="33"/>
    </row>
    <row r="217">
      <c r="A217" s="33"/>
      <c r="B217" s="33"/>
      <c r="C217" s="33"/>
      <c r="D217" s="33"/>
      <c r="E217" s="33"/>
      <c r="F217" s="33"/>
      <c r="G217" s="122"/>
      <c r="H217" s="122"/>
      <c r="I217" s="122"/>
      <c r="J217" s="122"/>
      <c r="K217" s="122"/>
      <c r="L217" s="122"/>
      <c r="M217" s="33"/>
      <c r="N217" s="33"/>
      <c r="O217" s="33"/>
      <c r="P217" s="33"/>
      <c r="Q217" s="33"/>
      <c r="R217" s="33"/>
      <c r="S217" s="33"/>
      <c r="T217" s="33"/>
      <c r="U217" s="33"/>
      <c r="V217" s="33"/>
      <c r="W217" s="33"/>
      <c r="X217" s="33"/>
      <c r="Y217" s="33"/>
      <c r="Z217" s="33"/>
      <c r="AA217" s="33"/>
      <c r="AB217" s="33"/>
      <c r="AC217" s="33"/>
      <c r="AD217" s="33"/>
      <c r="AE217" s="33"/>
      <c r="AF217" s="33"/>
      <c r="AG217" s="33"/>
      <c r="AH217" s="33"/>
    </row>
    <row r="218">
      <c r="A218" s="33"/>
      <c r="B218" s="33"/>
      <c r="C218" s="33"/>
      <c r="D218" s="33"/>
      <c r="E218" s="33"/>
      <c r="F218" s="33"/>
      <c r="G218" s="167" t="s">
        <v>731</v>
      </c>
      <c r="H218" s="122"/>
      <c r="I218" s="122"/>
      <c r="J218" s="122"/>
      <c r="K218" s="122"/>
      <c r="L218" s="122"/>
      <c r="M218" s="33"/>
      <c r="N218" s="33"/>
      <c r="O218" s="33"/>
      <c r="P218" s="33"/>
      <c r="Q218" s="33"/>
      <c r="R218" s="33"/>
      <c r="S218" s="33"/>
      <c r="T218" s="33"/>
      <c r="U218" s="33"/>
      <c r="V218" s="33"/>
      <c r="W218" s="33"/>
      <c r="X218" s="33"/>
      <c r="Y218" s="33"/>
      <c r="Z218" s="33"/>
      <c r="AA218" s="33"/>
      <c r="AB218" s="33"/>
      <c r="AC218" s="33"/>
      <c r="AD218" s="33"/>
      <c r="AE218" s="33"/>
      <c r="AF218" s="33"/>
      <c r="AG218" s="33"/>
      <c r="AH218" s="33"/>
    </row>
    <row r="219">
      <c r="A219" s="33"/>
      <c r="B219" s="33"/>
      <c r="C219" s="33"/>
      <c r="D219" s="33"/>
      <c r="E219" s="33"/>
      <c r="F219" s="33"/>
      <c r="G219" s="368" t="s">
        <v>732</v>
      </c>
      <c r="M219" s="33"/>
      <c r="N219" s="33"/>
      <c r="O219" s="33"/>
      <c r="P219" s="33"/>
      <c r="Q219" s="33"/>
      <c r="R219" s="33"/>
      <c r="S219" s="33"/>
      <c r="T219" s="33"/>
      <c r="U219" s="33"/>
      <c r="V219" s="33"/>
      <c r="W219" s="33"/>
      <c r="X219" s="33"/>
      <c r="Y219" s="33"/>
      <c r="Z219" s="33"/>
      <c r="AA219" s="33"/>
      <c r="AB219" s="33"/>
      <c r="AC219" s="33"/>
      <c r="AD219" s="33"/>
      <c r="AE219" s="33"/>
      <c r="AF219" s="33"/>
      <c r="AG219" s="33"/>
      <c r="AH219" s="33"/>
    </row>
    <row r="220">
      <c r="A220" s="33"/>
      <c r="B220" s="33"/>
      <c r="C220" s="33"/>
      <c r="D220" s="33"/>
      <c r="E220" s="33"/>
      <c r="F220" s="33"/>
      <c r="G220" s="167"/>
      <c r="H220" s="122"/>
      <c r="I220" s="122"/>
      <c r="J220" s="122"/>
      <c r="K220" s="122"/>
      <c r="L220" s="122"/>
      <c r="M220" s="33"/>
      <c r="N220" s="33"/>
      <c r="O220" s="33"/>
      <c r="P220" s="33"/>
      <c r="Q220" s="33"/>
      <c r="R220" s="33"/>
      <c r="S220" s="33"/>
      <c r="T220" s="33"/>
      <c r="U220" s="33"/>
      <c r="V220" s="33"/>
      <c r="W220" s="33"/>
      <c r="X220" s="33"/>
      <c r="Y220" s="33"/>
      <c r="Z220" s="33"/>
      <c r="AA220" s="33"/>
      <c r="AB220" s="33"/>
      <c r="AC220" s="33"/>
      <c r="AD220" s="33"/>
      <c r="AE220" s="33"/>
      <c r="AF220" s="33"/>
      <c r="AG220" s="33"/>
      <c r="AH220" s="33"/>
    </row>
    <row r="221">
      <c r="A221" s="33"/>
      <c r="B221" s="33"/>
      <c r="C221" s="33"/>
      <c r="D221" s="33"/>
      <c r="E221" s="33"/>
      <c r="F221" s="33"/>
      <c r="G221" s="167" t="s">
        <v>733</v>
      </c>
      <c r="H221" s="122"/>
      <c r="I221" s="122"/>
      <c r="J221" s="122"/>
      <c r="K221" s="122"/>
      <c r="L221" s="122"/>
      <c r="M221" s="33"/>
      <c r="N221" s="33"/>
      <c r="O221" s="33"/>
      <c r="P221" s="33"/>
      <c r="Q221" s="33"/>
      <c r="R221" s="33"/>
      <c r="S221" s="33"/>
      <c r="T221" s="33"/>
      <c r="U221" s="33"/>
      <c r="V221" s="33"/>
      <c r="W221" s="33"/>
      <c r="X221" s="33"/>
      <c r="Y221" s="33"/>
      <c r="Z221" s="33"/>
      <c r="AA221" s="33"/>
      <c r="AB221" s="33"/>
      <c r="AC221" s="33"/>
      <c r="AD221" s="33"/>
      <c r="AE221" s="33"/>
      <c r="AF221" s="33"/>
      <c r="AG221" s="33"/>
      <c r="AH221" s="33"/>
    </row>
    <row r="222" ht="70.5" customHeight="1">
      <c r="A222" s="33"/>
      <c r="B222" s="33"/>
      <c r="C222" s="33"/>
      <c r="D222" s="33"/>
      <c r="E222" s="33"/>
      <c r="F222" s="33"/>
      <c r="G222" s="368" t="s">
        <v>734</v>
      </c>
      <c r="M222" s="33"/>
      <c r="N222" s="33"/>
      <c r="O222" s="33"/>
      <c r="P222" s="33"/>
      <c r="Q222" s="33"/>
      <c r="R222" s="33"/>
      <c r="S222" s="33"/>
      <c r="T222" s="33"/>
      <c r="U222" s="33"/>
      <c r="V222" s="33"/>
      <c r="W222" s="33"/>
      <c r="X222" s="33"/>
      <c r="Y222" s="33"/>
      <c r="Z222" s="33"/>
      <c r="AA222" s="33"/>
      <c r="AB222" s="33"/>
      <c r="AC222" s="33"/>
      <c r="AD222" s="33"/>
      <c r="AE222" s="33"/>
      <c r="AF222" s="33"/>
      <c r="AG222" s="33"/>
      <c r="AH222" s="33"/>
    </row>
    <row r="223" ht="10.5" customHeight="1">
      <c r="A223" s="33"/>
      <c r="B223" s="33"/>
      <c r="C223" s="33"/>
      <c r="D223" s="33"/>
      <c r="E223" s="33"/>
      <c r="F223" s="33"/>
      <c r="G223" s="368"/>
      <c r="H223" s="368"/>
      <c r="I223" s="368"/>
      <c r="J223" s="368"/>
      <c r="K223" s="368"/>
      <c r="L223" s="368"/>
      <c r="M223" s="33"/>
      <c r="N223" s="33"/>
      <c r="O223" s="33"/>
      <c r="P223" s="33"/>
      <c r="Q223" s="33"/>
      <c r="R223" s="33"/>
      <c r="S223" s="33"/>
      <c r="T223" s="33"/>
      <c r="U223" s="33"/>
      <c r="V223" s="33"/>
      <c r="W223" s="33"/>
      <c r="X223" s="33"/>
      <c r="Y223" s="33"/>
      <c r="Z223" s="33"/>
      <c r="AA223" s="33"/>
      <c r="AB223" s="33"/>
      <c r="AC223" s="33"/>
      <c r="AD223" s="33"/>
      <c r="AE223" s="33"/>
      <c r="AF223" s="33"/>
      <c r="AG223" s="33"/>
      <c r="AH223" s="33"/>
    </row>
    <row r="224">
      <c r="A224" s="33"/>
      <c r="B224" s="33"/>
      <c r="C224" s="33"/>
      <c r="D224" s="33"/>
      <c r="E224" s="33"/>
      <c r="F224" s="33"/>
      <c r="G224" s="368" t="s">
        <v>735</v>
      </c>
      <c r="M224" s="33"/>
      <c r="N224" s="33"/>
      <c r="O224" s="33"/>
      <c r="P224" s="33"/>
      <c r="Q224" s="33"/>
      <c r="R224" s="33"/>
      <c r="S224" s="33"/>
      <c r="T224" s="33"/>
      <c r="U224" s="33"/>
      <c r="V224" s="33"/>
      <c r="W224" s="33"/>
      <c r="X224" s="33"/>
      <c r="Y224" s="33"/>
      <c r="Z224" s="33"/>
      <c r="AA224" s="33"/>
      <c r="AB224" s="33"/>
      <c r="AC224" s="33"/>
      <c r="AD224" s="33"/>
      <c r="AE224" s="33"/>
      <c r="AF224" s="33"/>
      <c r="AG224" s="33"/>
      <c r="AH224" s="33"/>
    </row>
    <row r="225">
      <c r="A225" s="33"/>
      <c r="B225" s="33"/>
      <c r="C225" s="33"/>
      <c r="D225" s="33"/>
      <c r="E225" s="33"/>
      <c r="F225" s="33"/>
      <c r="G225" s="167"/>
      <c r="H225" s="122"/>
      <c r="I225" s="122"/>
      <c r="J225" s="122"/>
      <c r="K225" s="122"/>
      <c r="L225" s="122"/>
      <c r="M225" s="33"/>
      <c r="N225" s="33"/>
      <c r="O225" s="33"/>
      <c r="P225" s="33"/>
      <c r="Q225" s="33"/>
      <c r="R225" s="33"/>
      <c r="S225" s="33"/>
      <c r="T225" s="33"/>
      <c r="U225" s="33"/>
      <c r="V225" s="33"/>
      <c r="W225" s="33"/>
      <c r="X225" s="33"/>
      <c r="Y225" s="33"/>
      <c r="Z225" s="33"/>
      <c r="AA225" s="33"/>
      <c r="AB225" s="33"/>
      <c r="AC225" s="33"/>
      <c r="AD225" s="33"/>
      <c r="AE225" s="33"/>
      <c r="AF225" s="33"/>
      <c r="AG225" s="33"/>
      <c r="AH225" s="33"/>
    </row>
    <row r="226">
      <c r="A226" s="33"/>
      <c r="B226" s="33"/>
      <c r="C226" s="33"/>
      <c r="D226" s="33"/>
      <c r="E226" s="33"/>
      <c r="F226" s="33"/>
      <c r="G226" s="167" t="s">
        <v>736</v>
      </c>
      <c r="H226" s="122"/>
      <c r="I226" s="122"/>
      <c r="J226" s="122"/>
      <c r="K226" s="122"/>
      <c r="L226" s="122"/>
      <c r="M226" s="33"/>
      <c r="N226" s="33"/>
      <c r="O226" s="33"/>
      <c r="P226" s="33"/>
      <c r="Q226" s="33"/>
      <c r="R226" s="33"/>
      <c r="S226" s="33"/>
      <c r="T226" s="33"/>
      <c r="U226" s="33"/>
      <c r="V226" s="33"/>
      <c r="W226" s="33"/>
      <c r="X226" s="33"/>
      <c r="Y226" s="33"/>
      <c r="Z226" s="33"/>
      <c r="AA226" s="33"/>
      <c r="AB226" s="33"/>
      <c r="AC226" s="33"/>
      <c r="AD226" s="33"/>
      <c r="AE226" s="33"/>
      <c r="AF226" s="33"/>
      <c r="AG226" s="33"/>
      <c r="AH226" s="33"/>
    </row>
    <row r="227" ht="10.5" customHeight="1">
      <c r="A227" s="33"/>
      <c r="B227" s="33"/>
      <c r="C227" s="33"/>
      <c r="D227" s="33"/>
      <c r="E227" s="33"/>
      <c r="F227" s="33"/>
      <c r="G227" s="368"/>
      <c r="H227" s="368"/>
      <c r="I227" s="368"/>
      <c r="J227" s="368"/>
      <c r="K227" s="368"/>
      <c r="L227" s="368"/>
      <c r="M227" s="33"/>
      <c r="N227" s="33"/>
      <c r="O227" s="33"/>
      <c r="P227" s="33"/>
      <c r="Q227" s="33"/>
      <c r="R227" s="33"/>
      <c r="S227" s="33"/>
      <c r="T227" s="33"/>
      <c r="U227" s="33"/>
      <c r="V227" s="33"/>
      <c r="W227" s="33"/>
      <c r="X227" s="33"/>
      <c r="Y227" s="33"/>
      <c r="Z227" s="33"/>
      <c r="AA227" s="33"/>
      <c r="AB227" s="33"/>
      <c r="AC227" s="33"/>
      <c r="AD227" s="33"/>
      <c r="AE227" s="33"/>
      <c r="AF227" s="33"/>
      <c r="AG227" s="33"/>
      <c r="AH227" s="33"/>
    </row>
    <row r="228">
      <c r="A228" s="33"/>
      <c r="B228" s="33"/>
      <c r="C228" s="33"/>
      <c r="D228" s="33"/>
      <c r="E228" s="33"/>
      <c r="F228" s="33"/>
      <c r="G228" s="368" t="s">
        <v>737</v>
      </c>
      <c r="M228" s="33"/>
      <c r="N228" s="33"/>
      <c r="O228" s="33"/>
      <c r="P228" s="33"/>
      <c r="Q228" s="33"/>
      <c r="R228" s="33"/>
      <c r="S228" s="33"/>
      <c r="T228" s="33"/>
      <c r="U228" s="33"/>
      <c r="V228" s="33"/>
      <c r="W228" s="33"/>
      <c r="X228" s="33"/>
      <c r="Y228" s="33"/>
      <c r="Z228" s="33"/>
      <c r="AA228" s="33"/>
      <c r="AB228" s="33"/>
      <c r="AC228" s="33"/>
      <c r="AD228" s="33"/>
      <c r="AE228" s="33"/>
      <c r="AF228" s="33"/>
      <c r="AG228" s="33"/>
      <c r="AH228" s="33"/>
    </row>
    <row r="229" ht="11.25" customHeight="1">
      <c r="A229" s="33"/>
      <c r="B229" s="33"/>
      <c r="C229" s="33"/>
      <c r="D229" s="33"/>
      <c r="E229" s="33"/>
      <c r="F229" s="33"/>
      <c r="G229" s="368"/>
      <c r="H229" s="368"/>
      <c r="I229" s="368"/>
      <c r="J229" s="368"/>
      <c r="K229" s="368"/>
      <c r="L229" s="368"/>
      <c r="M229" s="33"/>
      <c r="N229" s="33"/>
      <c r="O229" s="33"/>
      <c r="P229" s="33"/>
      <c r="Q229" s="33"/>
      <c r="R229" s="33"/>
      <c r="S229" s="33"/>
      <c r="T229" s="33"/>
      <c r="U229" s="33"/>
      <c r="V229" s="33"/>
      <c r="W229" s="33"/>
      <c r="X229" s="33"/>
      <c r="Y229" s="33"/>
      <c r="Z229" s="33"/>
      <c r="AA229" s="33"/>
      <c r="AB229" s="33"/>
      <c r="AC229" s="33"/>
      <c r="AD229" s="33"/>
      <c r="AE229" s="33"/>
      <c r="AF229" s="33"/>
      <c r="AG229" s="33"/>
      <c r="AH229" s="33"/>
    </row>
    <row r="230">
      <c r="A230" s="33"/>
      <c r="B230" s="33"/>
      <c r="C230" s="33"/>
      <c r="D230" s="33"/>
      <c r="E230" s="33"/>
      <c r="F230" s="33"/>
      <c r="G230" s="368" t="s">
        <v>738</v>
      </c>
      <c r="M230" s="33"/>
      <c r="N230" s="33"/>
      <c r="O230" s="33"/>
      <c r="P230" s="33"/>
      <c r="Q230" s="33"/>
      <c r="R230" s="33"/>
      <c r="S230" s="33"/>
      <c r="T230" s="33"/>
      <c r="U230" s="33"/>
      <c r="V230" s="33"/>
      <c r="W230" s="33"/>
      <c r="X230" s="33"/>
      <c r="Y230" s="33"/>
      <c r="Z230" s="33"/>
      <c r="AA230" s="33"/>
      <c r="AB230" s="33"/>
      <c r="AC230" s="33"/>
      <c r="AD230" s="33"/>
      <c r="AE230" s="33"/>
      <c r="AF230" s="33"/>
      <c r="AG230" s="33"/>
      <c r="AH230" s="33"/>
    </row>
    <row r="231" ht="10.5" customHeight="1">
      <c r="A231" s="33"/>
      <c r="B231" s="33"/>
      <c r="C231" s="33"/>
      <c r="D231" s="33"/>
      <c r="E231" s="33"/>
      <c r="F231" s="33"/>
      <c r="G231" s="368"/>
      <c r="H231" s="368"/>
      <c r="I231" s="368"/>
      <c r="J231" s="368"/>
      <c r="K231" s="368"/>
      <c r="L231" s="368"/>
      <c r="M231" s="33"/>
      <c r="N231" s="33"/>
      <c r="O231" s="33"/>
      <c r="P231" s="33"/>
      <c r="Q231" s="33"/>
      <c r="R231" s="33"/>
      <c r="S231" s="33"/>
      <c r="T231" s="33"/>
      <c r="U231" s="33"/>
      <c r="V231" s="33"/>
      <c r="W231" s="33"/>
      <c r="X231" s="33"/>
      <c r="Y231" s="33"/>
      <c r="Z231" s="33"/>
      <c r="AA231" s="33"/>
      <c r="AB231" s="33"/>
      <c r="AC231" s="33"/>
      <c r="AD231" s="33"/>
      <c r="AE231" s="33"/>
      <c r="AF231" s="33"/>
      <c r="AG231" s="33"/>
      <c r="AH231" s="33"/>
    </row>
    <row r="232">
      <c r="A232" s="33"/>
      <c r="B232" s="33"/>
      <c r="C232" s="33"/>
      <c r="D232" s="33"/>
      <c r="E232" s="33"/>
      <c r="F232" s="33"/>
      <c r="G232" s="368" t="s">
        <v>739</v>
      </c>
      <c r="M232" s="33"/>
      <c r="N232" s="33"/>
      <c r="O232" s="33"/>
      <c r="P232" s="33"/>
      <c r="Q232" s="33"/>
      <c r="R232" s="33"/>
      <c r="S232" s="33"/>
      <c r="T232" s="33"/>
      <c r="U232" s="33"/>
      <c r="V232" s="33"/>
      <c r="W232" s="33"/>
      <c r="X232" s="33"/>
      <c r="Y232" s="33"/>
      <c r="Z232" s="33"/>
      <c r="AA232" s="33"/>
      <c r="AB232" s="33"/>
      <c r="AC232" s="33"/>
      <c r="AD232" s="33"/>
      <c r="AE232" s="33"/>
      <c r="AF232" s="33"/>
      <c r="AG232" s="33"/>
      <c r="AH232" s="33"/>
    </row>
    <row r="233">
      <c r="A233" s="33"/>
      <c r="B233" s="33"/>
      <c r="C233" s="33"/>
      <c r="D233" s="33"/>
      <c r="E233" s="33"/>
      <c r="F233" s="33"/>
      <c r="G233" s="122"/>
      <c r="H233" s="122"/>
      <c r="I233" s="122"/>
      <c r="J233" s="122"/>
      <c r="K233" s="122"/>
      <c r="L233" s="122"/>
      <c r="M233" s="33"/>
      <c r="N233" s="33"/>
      <c r="O233" s="33"/>
      <c r="P233" s="33"/>
      <c r="Q233" s="33"/>
      <c r="R233" s="33"/>
      <c r="S233" s="33"/>
      <c r="T233" s="33"/>
      <c r="U233" s="33"/>
      <c r="V233" s="33"/>
      <c r="W233" s="33"/>
      <c r="X233" s="33"/>
      <c r="Y233" s="33"/>
      <c r="Z233" s="33"/>
      <c r="AA233" s="33"/>
      <c r="AB233" s="33"/>
      <c r="AC233" s="33"/>
      <c r="AD233" s="33"/>
      <c r="AE233" s="33"/>
      <c r="AF233" s="33"/>
      <c r="AG233" s="33"/>
      <c r="AH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row>
    <row r="237">
      <c r="A237" s="33"/>
      <c r="B237" s="33"/>
      <c r="C237" s="33"/>
      <c r="D237" s="33"/>
      <c r="E237" s="33"/>
      <c r="F237" s="33"/>
      <c r="G237" s="6" t="s">
        <v>740</v>
      </c>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row>
    <row r="239" ht="47.25" customHeight="1">
      <c r="A239" s="33"/>
      <c r="B239" s="33"/>
      <c r="C239" s="33"/>
      <c r="D239" s="33"/>
      <c r="E239" s="33"/>
      <c r="F239" s="33"/>
      <c r="G239" s="369" t="s">
        <v>741</v>
      </c>
      <c r="M239" s="33"/>
      <c r="N239" s="33"/>
      <c r="O239" s="33"/>
      <c r="P239" s="33"/>
      <c r="Q239" s="33"/>
      <c r="R239" s="33"/>
      <c r="S239" s="33"/>
      <c r="T239" s="33"/>
      <c r="U239" s="33"/>
      <c r="V239" s="33"/>
      <c r="W239" s="33"/>
      <c r="X239" s="33"/>
      <c r="Y239" s="33"/>
      <c r="Z239" s="33"/>
      <c r="AA239" s="33"/>
      <c r="AB239" s="33"/>
      <c r="AC239" s="33"/>
      <c r="AD239" s="33"/>
      <c r="AE239" s="33"/>
      <c r="AF239" s="33"/>
      <c r="AG239" s="33"/>
      <c r="AH239" s="33"/>
    </row>
    <row r="240">
      <c r="A240" s="33"/>
      <c r="B240" s="33"/>
      <c r="C240" s="33"/>
      <c r="D240" s="33"/>
      <c r="E240" s="33"/>
      <c r="F240" s="33"/>
      <c r="G240" s="347" t="s">
        <v>742</v>
      </c>
      <c r="H240" s="262"/>
      <c r="I240" s="262"/>
      <c r="J240" s="262"/>
      <c r="K240" s="262"/>
      <c r="L240" s="262"/>
      <c r="M240" s="33"/>
      <c r="N240" s="33"/>
      <c r="O240" s="33"/>
      <c r="P240" s="33"/>
      <c r="Q240" s="33"/>
      <c r="R240" s="33"/>
      <c r="S240" s="33"/>
      <c r="T240" s="33"/>
      <c r="U240" s="33"/>
      <c r="V240" s="33"/>
      <c r="W240" s="33"/>
      <c r="X240" s="33"/>
      <c r="Y240" s="33"/>
      <c r="Z240" s="33"/>
      <c r="AA240" s="33"/>
      <c r="AB240" s="33"/>
      <c r="AC240" s="33"/>
      <c r="AD240" s="33"/>
      <c r="AE240" s="33"/>
      <c r="AF240" s="33"/>
      <c r="AG240" s="33"/>
      <c r="AH240" s="33"/>
    </row>
    <row r="241" ht="36.75" customHeight="1">
      <c r="A241" s="33"/>
      <c r="B241" s="33"/>
      <c r="C241" s="33"/>
      <c r="D241" s="33"/>
      <c r="E241" s="33"/>
      <c r="F241" s="33"/>
      <c r="G241" s="370"/>
      <c r="H241" s="366"/>
      <c r="I241" s="366"/>
      <c r="J241" s="366"/>
      <c r="K241" s="366"/>
      <c r="L241" s="367"/>
      <c r="M241" s="33"/>
      <c r="N241" s="33"/>
      <c r="O241" s="33"/>
      <c r="P241" s="33"/>
      <c r="Q241" s="33"/>
      <c r="R241" s="33"/>
      <c r="S241" s="33"/>
      <c r="T241" s="33"/>
      <c r="U241" s="33"/>
      <c r="V241" s="33"/>
      <c r="W241" s="33"/>
      <c r="X241" s="33"/>
      <c r="Y241" s="33"/>
      <c r="Z241" s="33"/>
      <c r="AA241" s="33"/>
      <c r="AB241" s="33"/>
      <c r="AC241" s="33"/>
      <c r="AD241" s="33"/>
      <c r="AE241" s="33"/>
      <c r="AF241" s="33"/>
      <c r="AG241" s="33"/>
      <c r="AH241" s="33"/>
    </row>
    <row r="242">
      <c r="A242" s="33"/>
      <c r="B242" s="33"/>
      <c r="C242" s="33"/>
      <c r="D242" s="33"/>
      <c r="E242" s="33"/>
      <c r="F242" s="33"/>
      <c r="G242" s="347" t="s">
        <v>743</v>
      </c>
      <c r="H242" s="262"/>
      <c r="I242" s="262"/>
      <c r="J242" s="262"/>
      <c r="K242" s="347" t="s">
        <v>187</v>
      </c>
      <c r="M242" s="33"/>
      <c r="N242" s="33"/>
      <c r="O242" s="33"/>
      <c r="P242" s="33"/>
      <c r="Q242" s="33"/>
      <c r="R242" s="33"/>
      <c r="S242" s="33"/>
      <c r="T242" s="33"/>
      <c r="U242" s="33"/>
      <c r="V242" s="33"/>
      <c r="W242" s="33"/>
      <c r="X242" s="33"/>
      <c r="Y242" s="33"/>
      <c r="Z242" s="33"/>
      <c r="AA242" s="33"/>
      <c r="AB242" s="33"/>
      <c r="AC242" s="33"/>
      <c r="AD242" s="33"/>
      <c r="AE242" s="33"/>
      <c r="AF242" s="33"/>
      <c r="AG242" s="33"/>
      <c r="AH242" s="33"/>
    </row>
    <row r="243">
      <c r="A243" s="33"/>
      <c r="B243" s="33"/>
      <c r="C243" s="33"/>
      <c r="D243" s="33"/>
      <c r="E243" s="33"/>
      <c r="F243" s="33"/>
      <c r="G243" s="347" t="s">
        <v>744</v>
      </c>
      <c r="H243" s="262"/>
      <c r="I243" s="262"/>
      <c r="J243" s="262"/>
      <c r="K243" s="262"/>
      <c r="L243" s="262"/>
      <c r="M243" s="33"/>
      <c r="N243" s="33"/>
      <c r="O243" s="33"/>
      <c r="P243" s="33"/>
      <c r="Q243" s="33"/>
      <c r="R243" s="33"/>
      <c r="S243" s="33"/>
      <c r="T243" s="33"/>
      <c r="U243" s="33"/>
      <c r="V243" s="33"/>
      <c r="W243" s="33"/>
      <c r="X243" s="33"/>
      <c r="Y243" s="33"/>
      <c r="Z243" s="33"/>
      <c r="AA243" s="33"/>
      <c r="AB243" s="33"/>
      <c r="AC243" s="33"/>
      <c r="AD243" s="33"/>
      <c r="AE243" s="33"/>
      <c r="AF243" s="33"/>
      <c r="AG243" s="33"/>
      <c r="AH243" s="33"/>
    </row>
    <row r="244" ht="36.75" customHeight="1">
      <c r="A244" s="33"/>
      <c r="B244" s="33"/>
      <c r="C244" s="33"/>
      <c r="D244" s="33"/>
      <c r="E244" s="33"/>
      <c r="F244" s="33"/>
      <c r="G244" s="370"/>
      <c r="H244" s="366"/>
      <c r="I244" s="366"/>
      <c r="J244" s="366"/>
      <c r="K244" s="366"/>
      <c r="L244" s="367"/>
      <c r="M244" s="33"/>
      <c r="N244" s="33"/>
      <c r="O244" s="33"/>
      <c r="P244" s="33"/>
      <c r="Q244" s="33"/>
      <c r="R244" s="33"/>
      <c r="S244" s="33"/>
      <c r="T244" s="33"/>
      <c r="U244" s="33"/>
      <c r="V244" s="33"/>
      <c r="W244" s="33"/>
      <c r="X244" s="33"/>
      <c r="Y244" s="33"/>
      <c r="Z244" s="33"/>
      <c r="AA244" s="33"/>
      <c r="AB244" s="33"/>
      <c r="AC244" s="33"/>
      <c r="AD244" s="33"/>
      <c r="AE244" s="33"/>
      <c r="AF244" s="33"/>
      <c r="AG244" s="33"/>
      <c r="AH244" s="33"/>
    </row>
    <row r="245">
      <c r="A245" s="33"/>
      <c r="B245" s="33"/>
      <c r="C245" s="33"/>
      <c r="D245" s="33"/>
      <c r="E245" s="33"/>
      <c r="F245" s="33"/>
      <c r="G245" s="347" t="s">
        <v>745</v>
      </c>
      <c r="H245" s="262"/>
      <c r="I245" s="262"/>
      <c r="J245" s="262"/>
      <c r="K245" s="262"/>
      <c r="L245" s="262"/>
      <c r="M245" s="33"/>
      <c r="N245" s="33"/>
      <c r="O245" s="33"/>
      <c r="P245" s="33"/>
      <c r="Q245" s="33"/>
      <c r="R245" s="33"/>
      <c r="S245" s="33"/>
      <c r="T245" s="33"/>
      <c r="U245" s="33"/>
      <c r="V245" s="33"/>
      <c r="W245" s="33"/>
      <c r="X245" s="33"/>
      <c r="Y245" s="33"/>
      <c r="Z245" s="33"/>
      <c r="AA245" s="33"/>
      <c r="AB245" s="33"/>
      <c r="AC245" s="33"/>
      <c r="AD245" s="33"/>
      <c r="AE245" s="33"/>
      <c r="AF245" s="33"/>
      <c r="AG245" s="33"/>
      <c r="AH245" s="33"/>
    </row>
    <row r="246" ht="36.75" customHeight="1">
      <c r="A246" s="33"/>
      <c r="B246" s="33"/>
      <c r="C246" s="33"/>
      <c r="D246" s="33"/>
      <c r="E246" s="33"/>
      <c r="F246" s="33"/>
      <c r="G246" s="370"/>
      <c r="H246" s="366"/>
      <c r="I246" s="366"/>
      <c r="J246" s="366"/>
      <c r="K246" s="366"/>
      <c r="L246" s="367"/>
      <c r="M246" s="33"/>
      <c r="N246" s="33"/>
      <c r="O246" s="33"/>
      <c r="P246" s="33"/>
      <c r="Q246" s="33"/>
      <c r="R246" s="33"/>
      <c r="S246" s="33"/>
      <c r="T246" s="33"/>
      <c r="U246" s="33"/>
      <c r="V246" s="33"/>
      <c r="W246" s="33"/>
      <c r="X246" s="33"/>
      <c r="Y246" s="33"/>
      <c r="Z246" s="33"/>
      <c r="AA246" s="33"/>
      <c r="AB246" s="33"/>
      <c r="AC246" s="33"/>
      <c r="AD246" s="33"/>
      <c r="AE246" s="33"/>
      <c r="AF246" s="33"/>
      <c r="AG246" s="33"/>
      <c r="AH246" s="33"/>
    </row>
    <row r="247">
      <c r="A247" s="33"/>
      <c r="B247" s="33"/>
      <c r="C247" s="33"/>
      <c r="D247" s="33"/>
      <c r="E247" s="33"/>
      <c r="F247" s="33"/>
      <c r="G247" s="347" t="s">
        <v>746</v>
      </c>
      <c r="H247" s="262"/>
      <c r="I247" s="262"/>
      <c r="J247" s="262"/>
      <c r="K247" s="262"/>
      <c r="L247" s="262"/>
      <c r="M247" s="33"/>
      <c r="N247" s="33"/>
      <c r="O247" s="33"/>
      <c r="P247" s="33"/>
      <c r="Q247" s="33"/>
      <c r="R247" s="33"/>
      <c r="S247" s="33"/>
      <c r="T247" s="33"/>
      <c r="U247" s="33"/>
      <c r="V247" s="33"/>
      <c r="W247" s="33"/>
      <c r="X247" s="33"/>
      <c r="Y247" s="33"/>
      <c r="Z247" s="33"/>
      <c r="AA247" s="33"/>
      <c r="AB247" s="33"/>
      <c r="AC247" s="33"/>
      <c r="AD247" s="33"/>
      <c r="AE247" s="33"/>
      <c r="AF247" s="33"/>
      <c r="AG247" s="33"/>
      <c r="AH247" s="33"/>
    </row>
    <row r="248" ht="36.75" customHeight="1">
      <c r="A248" s="33"/>
      <c r="B248" s="33"/>
      <c r="C248" s="33"/>
      <c r="D248" s="33"/>
      <c r="E248" s="33"/>
      <c r="F248" s="33"/>
      <c r="G248" s="370"/>
      <c r="H248" s="366"/>
      <c r="I248" s="366"/>
      <c r="J248" s="366"/>
      <c r="K248" s="366"/>
      <c r="L248" s="367"/>
      <c r="M248" s="33"/>
      <c r="N248" s="33"/>
      <c r="O248" s="33"/>
      <c r="P248" s="33"/>
      <c r="Q248" s="33"/>
      <c r="R248" s="33"/>
      <c r="S248" s="33"/>
      <c r="T248" s="33"/>
      <c r="U248" s="33"/>
      <c r="V248" s="33"/>
      <c r="W248" s="33"/>
      <c r="X248" s="33"/>
      <c r="Y248" s="33"/>
      <c r="Z248" s="33"/>
      <c r="AA248" s="33"/>
      <c r="AB248" s="33"/>
      <c r="AC248" s="33"/>
      <c r="AD248" s="33"/>
      <c r="AE248" s="33"/>
      <c r="AF248" s="33"/>
      <c r="AG248" s="33"/>
      <c r="AH248" s="33"/>
    </row>
    <row r="249">
      <c r="A249" s="33"/>
      <c r="B249" s="33"/>
      <c r="C249" s="33"/>
      <c r="D249" s="33"/>
      <c r="E249" s="33"/>
      <c r="F249" s="33"/>
      <c r="G249" s="347" t="s">
        <v>747</v>
      </c>
      <c r="H249" s="262"/>
      <c r="I249" s="262"/>
      <c r="J249" s="262"/>
      <c r="K249" s="262"/>
      <c r="L249" s="262"/>
      <c r="M249" s="33"/>
      <c r="N249" s="33"/>
      <c r="O249" s="33"/>
      <c r="P249" s="33"/>
      <c r="Q249" s="33"/>
      <c r="R249" s="33"/>
      <c r="S249" s="33"/>
      <c r="T249" s="33"/>
      <c r="U249" s="33"/>
      <c r="V249" s="33"/>
      <c r="W249" s="33"/>
      <c r="X249" s="33"/>
      <c r="Y249" s="33"/>
      <c r="Z249" s="33"/>
      <c r="AA249" s="33"/>
      <c r="AB249" s="33"/>
      <c r="AC249" s="33"/>
      <c r="AD249" s="33"/>
      <c r="AE249" s="33"/>
      <c r="AF249" s="33"/>
      <c r="AG249" s="33"/>
      <c r="AH249" s="33"/>
    </row>
    <row r="250" ht="36.75" customHeight="1">
      <c r="A250" s="33"/>
      <c r="B250" s="33"/>
      <c r="C250" s="33"/>
      <c r="D250" s="33"/>
      <c r="E250" s="33"/>
      <c r="F250" s="33"/>
      <c r="G250" s="370"/>
      <c r="H250" s="366"/>
      <c r="I250" s="366"/>
      <c r="J250" s="366"/>
      <c r="K250" s="366"/>
      <c r="L250" s="367"/>
      <c r="M250" s="33"/>
      <c r="N250" s="33"/>
      <c r="O250" s="33"/>
      <c r="P250" s="33"/>
      <c r="Q250" s="33"/>
      <c r="R250" s="33"/>
      <c r="S250" s="33"/>
      <c r="T250" s="33"/>
      <c r="U250" s="33"/>
      <c r="V250" s="33"/>
      <c r="W250" s="33"/>
      <c r="X250" s="33"/>
      <c r="Y250" s="33"/>
      <c r="Z250" s="33"/>
      <c r="AA250" s="33"/>
      <c r="AB250" s="33"/>
      <c r="AC250" s="33"/>
      <c r="AD250" s="33"/>
      <c r="AE250" s="33"/>
      <c r="AF250" s="33"/>
      <c r="AG250" s="33"/>
      <c r="AH250" s="33"/>
    </row>
    <row r="251">
      <c r="A251" s="33"/>
      <c r="B251" s="33"/>
      <c r="C251" s="33"/>
      <c r="D251" s="33"/>
      <c r="E251" s="33"/>
      <c r="F251" s="33"/>
      <c r="G251" s="347" t="s">
        <v>748</v>
      </c>
      <c r="H251" s="262"/>
      <c r="I251" s="262"/>
      <c r="J251" s="262"/>
      <c r="K251" s="262"/>
      <c r="L251" s="262"/>
      <c r="M251" s="33"/>
      <c r="N251" s="33"/>
      <c r="O251" s="33"/>
      <c r="P251" s="33"/>
      <c r="Q251" s="33"/>
      <c r="R251" s="33"/>
      <c r="S251" s="33"/>
      <c r="T251" s="33"/>
      <c r="U251" s="33"/>
      <c r="V251" s="33"/>
      <c r="W251" s="33"/>
      <c r="X251" s="33"/>
      <c r="Y251" s="33"/>
      <c r="Z251" s="33"/>
      <c r="AA251" s="33"/>
      <c r="AB251" s="33"/>
      <c r="AC251" s="33"/>
      <c r="AD251" s="33"/>
      <c r="AE251" s="33"/>
      <c r="AF251" s="33"/>
      <c r="AG251" s="33"/>
      <c r="AH251" s="33"/>
    </row>
    <row r="252" ht="36.75" customHeight="1">
      <c r="A252" s="33"/>
      <c r="B252" s="33"/>
      <c r="C252" s="33"/>
      <c r="D252" s="33"/>
      <c r="E252" s="33"/>
      <c r="F252" s="33"/>
      <c r="G252" s="370"/>
      <c r="H252" s="366"/>
      <c r="I252" s="366"/>
      <c r="J252" s="366"/>
      <c r="K252" s="366"/>
      <c r="L252" s="367"/>
      <c r="M252" s="33"/>
      <c r="N252" s="33"/>
      <c r="O252" s="33"/>
      <c r="P252" s="33"/>
      <c r="Q252" s="33"/>
      <c r="R252" s="33"/>
      <c r="S252" s="33"/>
      <c r="T252" s="33"/>
      <c r="U252" s="33"/>
      <c r="V252" s="33"/>
      <c r="W252" s="33"/>
      <c r="X252" s="33"/>
      <c r="Y252" s="33"/>
      <c r="Z252" s="33"/>
      <c r="AA252" s="33"/>
      <c r="AB252" s="33"/>
      <c r="AC252" s="33"/>
      <c r="AD252" s="33"/>
      <c r="AE252" s="33"/>
      <c r="AF252" s="33"/>
      <c r="AG252" s="33"/>
      <c r="AH252" s="33"/>
    </row>
    <row r="253">
      <c r="A253" s="33"/>
      <c r="B253" s="33"/>
      <c r="C253" s="33"/>
      <c r="D253" s="33"/>
      <c r="E253" s="33"/>
      <c r="F253" s="33"/>
      <c r="G253" s="347" t="s">
        <v>749</v>
      </c>
      <c r="H253" s="262"/>
      <c r="I253" s="262"/>
      <c r="J253" s="262"/>
      <c r="K253" s="262"/>
      <c r="L253" s="262"/>
      <c r="M253" s="33"/>
      <c r="N253" s="33"/>
      <c r="O253" s="33"/>
      <c r="P253" s="33"/>
      <c r="Q253" s="33"/>
      <c r="R253" s="33"/>
      <c r="S253" s="33"/>
      <c r="T253" s="33"/>
      <c r="U253" s="33"/>
      <c r="V253" s="33"/>
      <c r="W253" s="33"/>
      <c r="X253" s="33"/>
      <c r="Y253" s="33"/>
      <c r="Z253" s="33"/>
      <c r="AA253" s="33"/>
      <c r="AB253" s="33"/>
      <c r="AC253" s="33"/>
      <c r="AD253" s="33"/>
      <c r="AE253" s="33"/>
      <c r="AF253" s="33"/>
      <c r="AG253" s="33"/>
      <c r="AH253" s="33"/>
    </row>
    <row r="254" ht="36.75" customHeight="1">
      <c r="A254" s="33"/>
      <c r="B254" s="33"/>
      <c r="C254" s="33"/>
      <c r="D254" s="33"/>
      <c r="E254" s="33"/>
      <c r="F254" s="33"/>
      <c r="G254" s="370"/>
      <c r="H254" s="366"/>
      <c r="I254" s="366"/>
      <c r="J254" s="366"/>
      <c r="K254" s="366"/>
      <c r="L254" s="367"/>
      <c r="M254" s="33"/>
      <c r="N254" s="33"/>
      <c r="O254" s="33"/>
      <c r="P254" s="33"/>
      <c r="Q254" s="33"/>
      <c r="R254" s="33"/>
      <c r="S254" s="33"/>
      <c r="T254" s="33"/>
      <c r="U254" s="33"/>
      <c r="V254" s="33"/>
      <c r="W254" s="33"/>
      <c r="X254" s="33"/>
      <c r="Y254" s="33"/>
      <c r="Z254" s="33"/>
      <c r="AA254" s="33"/>
      <c r="AB254" s="33"/>
      <c r="AC254" s="33"/>
      <c r="AD254" s="33"/>
      <c r="AE254" s="33"/>
      <c r="AF254" s="33"/>
      <c r="AG254" s="33"/>
      <c r="AH254" s="33"/>
    </row>
    <row r="255">
      <c r="A255" s="33"/>
      <c r="B255" s="33"/>
      <c r="C255" s="33"/>
      <c r="D255" s="33"/>
      <c r="E255" s="33"/>
      <c r="F255" s="33"/>
      <c r="G255" s="347" t="s">
        <v>750</v>
      </c>
      <c r="H255" s="262"/>
      <c r="I255" s="262"/>
      <c r="J255" s="262"/>
      <c r="K255" s="262"/>
      <c r="L255" s="262"/>
      <c r="M255" s="33"/>
      <c r="N255" s="33"/>
      <c r="O255" s="33"/>
      <c r="P255" s="33"/>
      <c r="Q255" s="33"/>
      <c r="R255" s="33"/>
      <c r="S255" s="33"/>
      <c r="T255" s="33"/>
      <c r="U255" s="33"/>
      <c r="V255" s="33"/>
      <c r="W255" s="33"/>
      <c r="X255" s="33"/>
      <c r="Y255" s="33"/>
      <c r="Z255" s="33"/>
      <c r="AA255" s="33"/>
      <c r="AB255" s="33"/>
      <c r="AC255" s="33"/>
      <c r="AD255" s="33"/>
      <c r="AE255" s="33"/>
      <c r="AF255" s="33"/>
      <c r="AG255" s="33"/>
      <c r="AH255" s="33"/>
    </row>
    <row r="256" ht="36.75" customHeight="1">
      <c r="A256" s="33"/>
      <c r="B256" s="33"/>
      <c r="C256" s="33"/>
      <c r="D256" s="33"/>
      <c r="E256" s="33"/>
      <c r="F256" s="33"/>
      <c r="G256" s="370"/>
      <c r="H256" s="366"/>
      <c r="I256" s="366"/>
      <c r="J256" s="366"/>
      <c r="K256" s="366"/>
      <c r="L256" s="367"/>
      <c r="M256" s="33"/>
      <c r="N256" s="33"/>
      <c r="O256" s="33"/>
      <c r="P256" s="33"/>
      <c r="Q256" s="33"/>
      <c r="R256" s="33"/>
      <c r="S256" s="33"/>
      <c r="T256" s="33"/>
      <c r="U256" s="33"/>
      <c r="V256" s="33"/>
      <c r="W256" s="33"/>
      <c r="X256" s="33"/>
      <c r="Y256" s="33"/>
      <c r="Z256" s="33"/>
      <c r="AA256" s="33"/>
      <c r="AB256" s="33"/>
      <c r="AC256" s="33"/>
      <c r="AD256" s="33"/>
      <c r="AE256" s="33"/>
      <c r="AF256" s="33"/>
      <c r="AG256" s="33"/>
      <c r="AH256" s="33"/>
    </row>
    <row r="257">
      <c r="A257" s="33"/>
      <c r="B257" s="33"/>
      <c r="C257" s="33"/>
      <c r="D257" s="33"/>
      <c r="E257" s="33"/>
      <c r="F257" s="33"/>
      <c r="G257" s="347" t="s">
        <v>751</v>
      </c>
      <c r="H257" s="262"/>
      <c r="I257" s="262"/>
      <c r="J257" s="262"/>
      <c r="K257" s="262"/>
      <c r="L257" s="262"/>
      <c r="M257" s="33"/>
      <c r="N257" s="33"/>
      <c r="O257" s="33"/>
      <c r="P257" s="33"/>
      <c r="Q257" s="33"/>
      <c r="R257" s="33"/>
      <c r="S257" s="33"/>
      <c r="T257" s="33"/>
      <c r="U257" s="33"/>
      <c r="V257" s="33"/>
      <c r="W257" s="33"/>
      <c r="X257" s="33"/>
      <c r="Y257" s="33"/>
      <c r="Z257" s="33"/>
      <c r="AA257" s="33"/>
      <c r="AB257" s="33"/>
      <c r="AC257" s="33"/>
      <c r="AD257" s="33"/>
      <c r="AE257" s="33"/>
      <c r="AF257" s="33"/>
      <c r="AG257" s="33"/>
      <c r="AH257" s="33"/>
    </row>
    <row r="258" ht="36.75" customHeight="1">
      <c r="A258" s="33"/>
      <c r="B258" s="33"/>
      <c r="C258" s="33"/>
      <c r="D258" s="33"/>
      <c r="E258" s="33"/>
      <c r="F258" s="33"/>
      <c r="G258" s="370"/>
      <c r="H258" s="366"/>
      <c r="I258" s="366"/>
      <c r="J258" s="366"/>
      <c r="K258" s="366"/>
      <c r="L258" s="367"/>
      <c r="M258" s="33"/>
      <c r="N258" s="33"/>
      <c r="O258" s="33"/>
      <c r="P258" s="33"/>
      <c r="Q258" s="33"/>
      <c r="R258" s="33"/>
      <c r="S258" s="33"/>
      <c r="T258" s="33"/>
      <c r="U258" s="33"/>
      <c r="V258" s="33"/>
      <c r="W258" s="33"/>
      <c r="X258" s="33"/>
      <c r="Y258" s="33"/>
      <c r="Z258" s="33"/>
      <c r="AA258" s="33"/>
      <c r="AB258" s="33"/>
      <c r="AC258" s="33"/>
      <c r="AD258" s="33"/>
      <c r="AE258" s="33"/>
      <c r="AF258" s="33"/>
      <c r="AG258" s="33"/>
      <c r="AH258" s="33"/>
    </row>
    <row r="259">
      <c r="A259" s="33"/>
      <c r="B259" s="33"/>
      <c r="C259" s="33"/>
      <c r="D259" s="33"/>
      <c r="E259" s="33"/>
      <c r="F259" s="33"/>
      <c r="G259" s="122"/>
      <c r="H259" s="122"/>
      <c r="I259" s="122"/>
      <c r="J259" s="122"/>
      <c r="K259" s="122"/>
      <c r="L259" s="122"/>
      <c r="M259" s="33"/>
      <c r="N259" s="33"/>
      <c r="O259" s="33"/>
      <c r="P259" s="33"/>
      <c r="Q259" s="33"/>
      <c r="R259" s="33"/>
      <c r="S259" s="33"/>
      <c r="T259" s="33"/>
      <c r="U259" s="33"/>
      <c r="V259" s="33"/>
      <c r="W259" s="33"/>
      <c r="X259" s="33"/>
      <c r="Y259" s="33"/>
      <c r="Z259" s="33"/>
      <c r="AA259" s="33"/>
      <c r="AB259" s="33"/>
      <c r="AC259" s="33"/>
      <c r="AD259" s="33"/>
      <c r="AE259" s="33"/>
      <c r="AF259" s="33"/>
      <c r="AG259" s="33"/>
      <c r="AH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row>
  </sheetData>
  <mergeCells count="111">
    <mergeCell ref="F81:G81"/>
    <mergeCell ref="F82:G82"/>
    <mergeCell ref="F83:G83"/>
    <mergeCell ref="F84:G84"/>
    <mergeCell ref="F85:G85"/>
    <mergeCell ref="F86:G86"/>
    <mergeCell ref="F87:G87"/>
    <mergeCell ref="F88:G88"/>
    <mergeCell ref="F89:G89"/>
    <mergeCell ref="F90:G90"/>
    <mergeCell ref="J205:L205"/>
    <mergeCell ref="G206:L206"/>
    <mergeCell ref="G208:L208"/>
    <mergeCell ref="G210:L210"/>
    <mergeCell ref="G212:L212"/>
    <mergeCell ref="G214:L214"/>
    <mergeCell ref="G216:L216"/>
    <mergeCell ref="G219:L219"/>
    <mergeCell ref="G222:L222"/>
    <mergeCell ref="G224:L224"/>
    <mergeCell ref="G228:L228"/>
    <mergeCell ref="G248:L248"/>
    <mergeCell ref="G250:L250"/>
    <mergeCell ref="G252:L252"/>
    <mergeCell ref="G254:L254"/>
    <mergeCell ref="G256:L256"/>
    <mergeCell ref="G258:L258"/>
    <mergeCell ref="G230:L230"/>
    <mergeCell ref="G232:L232"/>
    <mergeCell ref="G239:L239"/>
    <mergeCell ref="G241:L241"/>
    <mergeCell ref="K242:L242"/>
    <mergeCell ref="G244:L244"/>
    <mergeCell ref="G246:L246"/>
    <mergeCell ref="F106:L108"/>
    <mergeCell ref="F118:H119"/>
    <mergeCell ref="J118:L119"/>
    <mergeCell ref="F121:H122"/>
    <mergeCell ref="J121:L122"/>
    <mergeCell ref="F124:H126"/>
    <mergeCell ref="J124:L126"/>
    <mergeCell ref="N90:Q90"/>
    <mergeCell ref="N91:R92"/>
    <mergeCell ref="F92:L92"/>
    <mergeCell ref="F97:L101"/>
    <mergeCell ref="N97:R98"/>
    <mergeCell ref="N102:Q102"/>
    <mergeCell ref="N107:R108"/>
    <mergeCell ref="N119:R120"/>
    <mergeCell ref="N122:Q122"/>
    <mergeCell ref="N123:R124"/>
    <mergeCell ref="N128:Q128"/>
    <mergeCell ref="N129:R133"/>
    <mergeCell ref="N103:R104"/>
    <mergeCell ref="N106:Q106"/>
    <mergeCell ref="N110:Q110"/>
    <mergeCell ref="N111:R112"/>
    <mergeCell ref="N114:Q114"/>
    <mergeCell ref="N115:R116"/>
    <mergeCell ref="N118:Q118"/>
    <mergeCell ref="J34:L34"/>
    <mergeCell ref="J35:L35"/>
    <mergeCell ref="J36:L36"/>
    <mergeCell ref="J37:L37"/>
    <mergeCell ref="J38:L38"/>
    <mergeCell ref="J39:L39"/>
    <mergeCell ref="J40:L40"/>
    <mergeCell ref="J41:L41"/>
    <mergeCell ref="E8:E16"/>
    <mergeCell ref="F33:H33"/>
    <mergeCell ref="J33:L33"/>
    <mergeCell ref="N33:R33"/>
    <mergeCell ref="F34:H34"/>
    <mergeCell ref="N34:R34"/>
    <mergeCell ref="N35:R35"/>
    <mergeCell ref="F35:H35"/>
    <mergeCell ref="F36:H36"/>
    <mergeCell ref="F37:H37"/>
    <mergeCell ref="F38:H38"/>
    <mergeCell ref="F39:H39"/>
    <mergeCell ref="F40:H40"/>
    <mergeCell ref="F41:H41"/>
    <mergeCell ref="N36:R36"/>
    <mergeCell ref="N37:R37"/>
    <mergeCell ref="N38:R38"/>
    <mergeCell ref="N48:Q48"/>
    <mergeCell ref="N49:R50"/>
    <mergeCell ref="N54:Q54"/>
    <mergeCell ref="N55:R56"/>
    <mergeCell ref="N60:Q60"/>
    <mergeCell ref="N61:R62"/>
    <mergeCell ref="N64:Q64"/>
    <mergeCell ref="N65:R66"/>
    <mergeCell ref="N68:Q68"/>
    <mergeCell ref="N69:R70"/>
    <mergeCell ref="N74:Q74"/>
    <mergeCell ref="F47:L50"/>
    <mergeCell ref="F55:L55"/>
    <mergeCell ref="F60:L62"/>
    <mergeCell ref="D71:K73"/>
    <mergeCell ref="F76:L78"/>
    <mergeCell ref="F79:G79"/>
    <mergeCell ref="F80:G80"/>
    <mergeCell ref="N75:R76"/>
    <mergeCell ref="N78:Q78"/>
    <mergeCell ref="N79:R80"/>
    <mergeCell ref="N82:Q82"/>
    <mergeCell ref="N83:R84"/>
    <mergeCell ref="N86:Q86"/>
    <mergeCell ref="N87:R88"/>
    <mergeCell ref="N96:Q96"/>
  </mergeCells>
  <dataValidations>
    <dataValidation type="list" allowBlank="1" sqref="H79:H90">
      <formula1>"0,1,2,3,4,5,6,7,8,9,10"</formula1>
    </dataValidation>
    <dataValidation type="list" allowBlank="1" sqref="K242">
      <formula1>"SELECT,2 hours,3 hours,4 hours,5 hours,6 hours,7 hours,8 hours,9 hours,10 hours,11 hours,12 hours"</formula1>
    </dataValidation>
    <dataValidation type="list" allowBlank="1" sqref="N74 N78 N82 N86 N90">
      <formula1>Reference!$AC$45:$AC$66</formula1>
    </dataValidation>
    <dataValidation type="list" allowBlank="1" sqref="N102 N106 N110 N114 N118 N122">
      <formula1>Reference!$AE$44:$AE$64</formula1>
    </dataValidation>
    <dataValidation type="list" allowBlank="1" sqref="J205">
      <formula1>"possible scenarios:,missed repetitions,overshot weight,failed a set,everything felt heavy,injury,negative affect/attitude,lack of dietary adherence,went off program,didn't make weight in competition,bombed out in competition"</formula1>
    </dataValidation>
    <dataValidation type="list" allowBlank="1" sqref="N48">
      <formula1>Reference!$Z$45:$Z$50</formula1>
    </dataValidation>
    <dataValidation type="list" allowBlank="1" sqref="N60 N64 N68">
      <formula1>Reference!$AB$45:$AB$64</formula1>
    </dataValidation>
    <dataValidation type="list" allowBlank="1" sqref="N96">
      <formula1>Reference!$AD$44:$AD$60</formula1>
    </dataValidation>
    <dataValidation type="list" allowBlank="1" sqref="N128">
      <formula1>Reference!$AF$43:$AF$60</formula1>
    </dataValidation>
    <dataValidation type="list" allowBlank="1" sqref="N54">
      <formula1>Reference!$AA$45:$AA$64</formula1>
    </dataValidation>
  </dataValidations>
  <hyperlinks>
    <hyperlink r:id="rId1" ref="X52"/>
    <hyperlink r:id="rId2" ref="X57"/>
    <hyperlink r:id="rId3" ref="X58"/>
    <hyperlink r:id="rId4" ref="X60"/>
    <hyperlink r:id="rId5" ref="X61"/>
    <hyperlink r:id="rId6" ref="X62"/>
    <hyperlink r:id="rId7" ref="X63"/>
    <hyperlink r:id="rId8" ref="X64"/>
    <hyperlink r:id="rId9" ref="X65"/>
    <hyperlink r:id="rId10" ref="X66"/>
    <hyperlink r:id="rId11" ref="X67"/>
    <hyperlink r:id="rId12" ref="X69"/>
    <hyperlink r:id="rId13" ref="X71"/>
    <hyperlink r:id="rId14" ref="X72"/>
    <hyperlink r:id="rId15" ref="X73"/>
    <hyperlink r:id="rId16" ref="X74"/>
    <hyperlink r:id="rId17" ref="X75"/>
    <hyperlink r:id="rId18" ref="X76"/>
    <hyperlink r:id="rId19" ref="X78"/>
    <hyperlink r:id="rId20" ref="X79"/>
    <hyperlink r:id="rId21" ref="X80"/>
    <hyperlink r:id="rId22" ref="X81"/>
    <hyperlink r:id="rId23" ref="X83"/>
    <hyperlink r:id="rId24" ref="X84"/>
    <hyperlink r:id="rId25" ref="X85"/>
    <hyperlink r:id="rId26" ref="X87"/>
    <hyperlink r:id="rId27" ref="X88"/>
    <hyperlink r:id="rId28" ref="X89"/>
    <hyperlink r:id="rId29" ref="X90"/>
    <hyperlink r:id="rId30" ref="X91"/>
    <hyperlink r:id="rId31" ref="X92"/>
    <hyperlink r:id="rId32" ref="X93"/>
    <hyperlink r:id="rId33" ref="X96"/>
    <hyperlink display="On a good training day, click here" location="Reference!G236" ref="I129"/>
    <hyperlink display="On a bad training day, click here" location="Reference!G203" ref="I130"/>
  </hyperlinks>
  <drawing r:id="rId34"/>
  <tableParts count="1">
    <tablePart r:id="rId36"/>
  </tableParts>
</worksheet>
</file>